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55" yWindow="-15" windowWidth="9600" windowHeight="9105" firstSheet="38" activeTab="38"/>
  </bookViews>
  <sheets>
    <sheet name="Logo" sheetId="3" r:id="rId1"/>
    <sheet name="Index" sheetId="4" r:id="rId2"/>
    <sheet name="Budget Speech" sheetId="75" r:id="rId3"/>
    <sheet name="Resolution_1" sheetId="59" r:id="rId4"/>
    <sheet name="Exec_Sum_2-13" sheetId="8" r:id="rId5"/>
    <sheet name="Schedule 1 - Rev by Source_5" sheetId="25" r:id="rId6"/>
    <sheet name="Schedule 2 -Opex by Vote_6" sheetId="26" r:id="rId7"/>
    <sheet name="Schedule 3(a) - Capex by GFS_7" sheetId="27" r:id="rId8"/>
    <sheet name="Schedule 4 - Capex Funding_8" sheetId="28" r:id="rId9"/>
    <sheet name="Table 5 - Sum of R&amp; E by Vote_9" sheetId="40" r:id="rId10"/>
    <sheet name="S Table 1 - IDP Budget Rev_10" sheetId="44" r:id="rId11"/>
    <sheet name="S Table 2 - IDP Budget Opex_11" sheetId="45" r:id="rId12"/>
    <sheet name="S Table 3 - IDP Budget Capex_12" sheetId="46" r:id="rId13"/>
    <sheet name="S Table 4 - Investments_13" sheetId="47" r:id="rId14"/>
    <sheet name="S Table 4a - Investments_14" sheetId="48" r:id="rId15"/>
    <sheet name="S Table 5-Allocations Rec_15" sheetId="49" r:id="rId16"/>
    <sheet name="S Table 6 - New Borrowing" sheetId="60" r:id="rId17"/>
    <sheet name="S Table 7 - Allocations Made" sheetId="61" r:id="rId18"/>
    <sheet name="S Table 8 - Salaries etc" sheetId="62" r:id="rId19"/>
    <sheet name="S Table 8a - Personnel Costs" sheetId="63" r:id="rId20"/>
    <sheet name="S Table 8b - Personnel Numbers" sheetId="64" r:id="rId21"/>
    <sheet name="STable 9 - Cash Flow Projection" sheetId="65" r:id="rId22"/>
    <sheet name="STable 10 - Performance by Vote" sheetId="66" r:id="rId23"/>
    <sheet name="STable 11 - Capex by Category" sheetId="67" r:id="rId24"/>
    <sheet name="Chart - Rev by Major Source_G" sheetId="29" r:id="rId25"/>
    <sheet name="Chart - Rev By Minor Source_H" sheetId="31" r:id="rId26"/>
    <sheet name="Chart - Opex by Major Vote_I" sheetId="33" r:id="rId27"/>
    <sheet name="Chart - Opex by Minor Vote_J" sheetId="34" r:id="rId28"/>
    <sheet name="Chart - Capex by Major Vote_K" sheetId="36" r:id="rId29"/>
    <sheet name="Chart - Capex by Minor Vote_L" sheetId="37" r:id="rId30"/>
    <sheet name="Chart - Capex Funding_M" sheetId="39" r:id="rId31"/>
    <sheet name="Chart - Opex by Major Nature_N" sheetId="42" r:id="rId32"/>
    <sheet name="Chart - Opex by Minor Nature_O" sheetId="43" r:id="rId33"/>
    <sheet name=" Table 1 - Rev by Source" sheetId="30" r:id="rId34"/>
    <sheet name="Table 2 - Opex by Vote" sheetId="32" r:id="rId35"/>
    <sheet name="Table 3 - Capex by Vote" sheetId="35" r:id="rId36"/>
    <sheet name="Table 4 - Capex Funding" sheetId="38" r:id="rId37"/>
    <sheet name="Table 6 - Exp by Type" sheetId="41" r:id="rId38"/>
    <sheet name="OPEX_ Bdgt_F" sheetId="9" r:id="rId39"/>
    <sheet name="CAPEX_Bdgt" sheetId="73" r:id="rId40"/>
    <sheet name="Levies" sheetId="68" r:id="rId41"/>
    <sheet name="RATES_CALC" sheetId="72" r:id="rId42"/>
    <sheet name="TARIFF_TOWN" sheetId="70" r:id="rId43"/>
    <sheet name="TARIFF_FARMS" sheetId="69" r:id="rId44"/>
    <sheet name="DBSA" sheetId="71" r:id="rId45"/>
    <sheet name="Accounts" sheetId="74" r:id="rId46"/>
  </sheets>
  <externalReferences>
    <externalReference r:id="rId47"/>
    <externalReference r:id="rId48"/>
    <externalReference r:id="rId49"/>
    <externalReference r:id="rId50"/>
  </externalReferences>
  <definedNames>
    <definedName name="_1010_Council">'OPEX_ Bdgt_F'!$A$14</definedName>
    <definedName name="_1020_Municipal_Manager">'OPEX_ Bdgt_F'!$A$167</definedName>
    <definedName name="_1021_Manager_Admin">'OPEX_ Bdgt_F'!$A$255</definedName>
    <definedName name="_1022_CFO">'OPEX_ Bdgt_F'!$A$341</definedName>
    <definedName name="_1023_Manager_Comm">'OPEX_ Bdgt_F'!$A$422</definedName>
    <definedName name="_1024_Manager_Technical">'OPEX_ Bdgt_F'!$A$507</definedName>
    <definedName name="_1110_Finance">'OPEX_ Bdgt_F'!$A$588</definedName>
    <definedName name="_1111_Internal_Audit">'OPEX_ Bdgt_F'!$A$736</definedName>
    <definedName name="_1112_Property_Rates">'OPEX_ Bdgt_F'!$A$813</definedName>
    <definedName name="_1120_IT">'OPEX_ Bdgt_F'!$A$894</definedName>
    <definedName name="_1131_Council_Properties">'OPEX_ Bdgt_F'!$A$973</definedName>
    <definedName name="_1132_Camps">'OPEX_ Bdgt_F'!$A$1049</definedName>
    <definedName name="_1140_HR">'OPEX_ Bdgt_F'!$A$1122</definedName>
    <definedName name="_1150_Administration">'OPEX_ Bdgt_F'!$A$1199</definedName>
    <definedName name="_1210_IDP">'OPEX_ Bdgt_F'!$A$1351</definedName>
    <definedName name="_1310_Environmental_Health">'OPEX_ Bdgt_F'!$A$1426</definedName>
    <definedName name="_1410_Community_Services">'OPEX_ Bdgt_F'!$A$1512</definedName>
    <definedName name="_1420_Libraries">'OPEX_ Bdgt_F'!$A$1590</definedName>
    <definedName name="_1430_Halls">'OPEX_ Bdgt_F'!$A$1669</definedName>
    <definedName name="_1440_Cemeteries">'OPEX_ Bdgt_F'!$A$1746</definedName>
    <definedName name="_1510_Housing">'OPEX_ Bdgt_F'!$A$1826</definedName>
    <definedName name="_1610_Traffic">'OPEX_ Bdgt_F'!$A$1905</definedName>
    <definedName name="_1620_Fire_Fighting">'OPEX_ Bdgt_F'!$A$1980</definedName>
    <definedName name="_1630_Pound">'OPEX_ Bdgt_F'!$A$2054</definedName>
    <definedName name="_1710_Parks">'OPEX_ Bdgt_F'!$A$2135</definedName>
    <definedName name="_1720_Sport_Grounds">'OPEX_ Bdgt_F'!$A$2213</definedName>
    <definedName name="_1810_Refuse">'OPEX_ Bdgt_F'!$A$2296</definedName>
    <definedName name="_1910_Sanitation">'OPEX_ Bdgt_F'!$A$2447</definedName>
    <definedName name="_2010_Roads_Streets">'OPEX_ Bdgt_F'!$A$2592</definedName>
    <definedName name="_2110_Water">'OPEX_ Bdgt_F'!$A$2742</definedName>
    <definedName name="_2210_Electricity">'OPEX_ Bdgt_F'!$A$2891</definedName>
    <definedName name="_2310_Cattle_Farming">'OPEX_ Bdgt_F'!$A$3022</definedName>
    <definedName name="_xlnm._FilterDatabase" localSheetId="38" hidden="1">'OPEX_ Bdgt_F'!$A$6:$J$3264</definedName>
    <definedName name="BuiltIn_Print_Titles___0" localSheetId="39">'[1]Gen Info Pg 2'!#REF!</definedName>
    <definedName name="BuiltIn_Print_Titles___0">'[1]Gen Info Pg 2'!#REF!</definedName>
    <definedName name="_xlnm.Print_Area" localSheetId="33">' Table 1 - Rev by Source'!$A$1:$H$49</definedName>
    <definedName name="_xlnm.Print_Area" localSheetId="45">Accounts!$A$1:$I$177</definedName>
    <definedName name="_xlnm.Print_Area" localSheetId="39">CAPEX_Bdgt!$A$1:$H$50</definedName>
    <definedName name="_xlnm.Print_Area" localSheetId="44">DBSA!$A$1:$I$47</definedName>
    <definedName name="_xlnm.Print_Area" localSheetId="4">'Exec_Sum_2-13'!$A$1:$J$530</definedName>
    <definedName name="_xlnm.Print_Area" localSheetId="38">'OPEX_ Bdgt_F'!$A$1:$J$3262</definedName>
    <definedName name="_xlnm.Print_Area" localSheetId="3">Resolution_1!$A$1:$I$38</definedName>
    <definedName name="_xlnm.Print_Area" localSheetId="10">'S Table 1 - IDP Budget Rev_10'!$A$1:$I$58</definedName>
    <definedName name="_xlnm.Print_Area" localSheetId="11">'S Table 2 - IDP Budget Opex_11'!$A$1:$I$58</definedName>
    <definedName name="_xlnm.Print_Area" localSheetId="12">'S Table 3 - IDP Budget Capex_12'!$A$1:$I$58</definedName>
    <definedName name="_xlnm.Print_Area" localSheetId="13">'S Table 4 - Investments_13'!$A$1:$H$35</definedName>
    <definedName name="_xlnm.Print_Area" localSheetId="14">'S Table 4a - Investments_14'!$A$1:$F$26</definedName>
    <definedName name="_xlnm.Print_Area" localSheetId="15">'S Table 5-Allocations Rec_15'!$A$1:$H$58</definedName>
    <definedName name="_xlnm.Print_Area" localSheetId="19">'S Table 8a - Personnel Costs'!$A$1:$H$73</definedName>
    <definedName name="_xlnm.Print_Area" localSheetId="5">'Schedule 1 - Rev by Source_5'!$A$1:$H$46</definedName>
    <definedName name="_xlnm.Print_Area" localSheetId="6">'Schedule 2 -Opex by Vote_6'!$A$1:$H$42</definedName>
    <definedName name="_xlnm.Print_Area" localSheetId="7">'Schedule 3(a) - Capex by GFS_7'!$A$1:$H$39</definedName>
    <definedName name="_xlnm.Print_Area" localSheetId="8">'Schedule 4 - Capex Funding_8'!$A$1:$H$48</definedName>
    <definedName name="_xlnm.Print_Area" localSheetId="23">'STable 11 - Capex by Category'!$A$1:$I$66</definedName>
    <definedName name="_xlnm.Print_Area" localSheetId="21">'STable 9 - Cash Flow Projection'!$A$1:$P$68</definedName>
    <definedName name="_xlnm.Print_Area" localSheetId="34">'Table 2 - Opex by Vote'!$A$1:$H$44</definedName>
    <definedName name="_xlnm.Print_Area" localSheetId="35">'Table 3 - Capex by Vote'!$A$1:$H$41</definedName>
    <definedName name="_xlnm.Print_Area" localSheetId="36">'Table 4 - Capex Funding'!$A$1:$H$45</definedName>
    <definedName name="_xlnm.Print_Area" localSheetId="9">'Table 5 - Sum of R&amp; E by Vote_9'!$A$1:$V$35</definedName>
    <definedName name="_xlnm.Print_Area" localSheetId="37">'Table 6 - Exp by Type'!$A$1:$H$47</definedName>
    <definedName name="_xlnm.Print_Titles" localSheetId="38">'OPEX_ Bdgt_F'!$1:$10</definedName>
    <definedName name="Summary">'OPEX_ Bdgt_F'!$B$3111:$I$3230</definedName>
  </definedNames>
  <calcPr calcId="145621" fullCalcOnLoad="1"/>
</workbook>
</file>

<file path=xl/calcChain.xml><?xml version="1.0" encoding="utf-8"?>
<calcChain xmlns="http://schemas.openxmlformats.org/spreadsheetml/2006/main">
  <c r="F29" i="28" l="1"/>
  <c r="I276" i="8"/>
  <c r="I285" i="8"/>
  <c r="H1614" i="9"/>
  <c r="H1615" i="9"/>
  <c r="H1616" i="9"/>
  <c r="H1617" i="9"/>
  <c r="H1618" i="9"/>
  <c r="H1619" i="9"/>
  <c r="H1620" i="9"/>
  <c r="H1621" i="9"/>
  <c r="H1622" i="9"/>
  <c r="H1623" i="9"/>
  <c r="H1624" i="9"/>
  <c r="H1625" i="9"/>
  <c r="H1626" i="9"/>
  <c r="H1439" i="9"/>
  <c r="H1440" i="9"/>
  <c r="H1441" i="9"/>
  <c r="H1442" i="9"/>
  <c r="H1452" i="9" s="1"/>
  <c r="H1443" i="9"/>
  <c r="H1444" i="9"/>
  <c r="H1445" i="9"/>
  <c r="H1446" i="9"/>
  <c r="H1447" i="9"/>
  <c r="H1448" i="9"/>
  <c r="H1449" i="9"/>
  <c r="H1450" i="9"/>
  <c r="H1451" i="9"/>
  <c r="I1614" i="9"/>
  <c r="I1615" i="9"/>
  <c r="I1616" i="9"/>
  <c r="I1617" i="9"/>
  <c r="I1618" i="9"/>
  <c r="I1619" i="9"/>
  <c r="I1620" i="9"/>
  <c r="I1621" i="9"/>
  <c r="I1622" i="9"/>
  <c r="I1623" i="9"/>
  <c r="I1626" i="9" s="1"/>
  <c r="I1624" i="9"/>
  <c r="I1625" i="9"/>
  <c r="I1439" i="9"/>
  <c r="I1440" i="9"/>
  <c r="I1441" i="9"/>
  <c r="I1442" i="9"/>
  <c r="I1452" i="9" s="1"/>
  <c r="I1443" i="9"/>
  <c r="I1444" i="9"/>
  <c r="I1445" i="9"/>
  <c r="I1446" i="9"/>
  <c r="J1446" i="9" s="1"/>
  <c r="I1447" i="9"/>
  <c r="I1448" i="9"/>
  <c r="I1449" i="9"/>
  <c r="I1450" i="9"/>
  <c r="I1451" i="9"/>
  <c r="J1614" i="9"/>
  <c r="J1615" i="9"/>
  <c r="J1626" i="9" s="1"/>
  <c r="J1616" i="9"/>
  <c r="J1617" i="9"/>
  <c r="J1618" i="9"/>
  <c r="J1619" i="9"/>
  <c r="J1620" i="9"/>
  <c r="J1621" i="9"/>
  <c r="J1622" i="9"/>
  <c r="J1623" i="9"/>
  <c r="J1624" i="9"/>
  <c r="J1625" i="9"/>
  <c r="J1439" i="9"/>
  <c r="J1440" i="9"/>
  <c r="J1441" i="9"/>
  <c r="J1443" i="9"/>
  <c r="J1444" i="9"/>
  <c r="J1445" i="9"/>
  <c r="J1447" i="9"/>
  <c r="J1448" i="9"/>
  <c r="J1449" i="9"/>
  <c r="J1450" i="9"/>
  <c r="J1451" i="9"/>
  <c r="D182" i="9"/>
  <c r="D183" i="9"/>
  <c r="D184" i="9"/>
  <c r="D206" i="9" s="1"/>
  <c r="D185" i="9"/>
  <c r="D625" i="9"/>
  <c r="D628" i="9"/>
  <c r="D635" i="9" s="1"/>
  <c r="D629" i="9"/>
  <c r="D633" i="9"/>
  <c r="D1223" i="9"/>
  <c r="D1233" i="9" s="1"/>
  <c r="D1226" i="9"/>
  <c r="D1227" i="9"/>
  <c r="D1521" i="9"/>
  <c r="D1530" i="9" s="1"/>
  <c r="D1848" i="9"/>
  <c r="D1857" i="9" s="1"/>
  <c r="D1922" i="9"/>
  <c r="D1931" i="9" s="1"/>
  <c r="D2153" i="9"/>
  <c r="D2156" i="9"/>
  <c r="D2163" i="9"/>
  <c r="D2229" i="9"/>
  <c r="D2238" i="9" s="1"/>
  <c r="D2235" i="9"/>
  <c r="D2778" i="9"/>
  <c r="D2787" i="9" s="1"/>
  <c r="D41" i="9"/>
  <c r="D43" i="9"/>
  <c r="D52" i="9"/>
  <c r="D47" i="9"/>
  <c r="D48" i="9"/>
  <c r="D268" i="9"/>
  <c r="D270" i="9"/>
  <c r="D271" i="9"/>
  <c r="D272" i="9"/>
  <c r="D273" i="9"/>
  <c r="D294" i="9" s="1"/>
  <c r="D435" i="9"/>
  <c r="D461" i="9"/>
  <c r="D521" i="9"/>
  <c r="D547" i="9"/>
  <c r="D742" i="9"/>
  <c r="D745" i="9"/>
  <c r="D752" i="9"/>
  <c r="D754" i="9"/>
  <c r="D903" i="9"/>
  <c r="D906" i="9"/>
  <c r="D912" i="9" s="1"/>
  <c r="D1131" i="9"/>
  <c r="D1139" i="9" s="1"/>
  <c r="D1137" i="9"/>
  <c r="D1368" i="9"/>
  <c r="D1377" i="9"/>
  <c r="D2072" i="9"/>
  <c r="D2081" i="9"/>
  <c r="E182" i="9"/>
  <c r="E625" i="9"/>
  <c r="E628" i="9"/>
  <c r="E633" i="9"/>
  <c r="E1223" i="9"/>
  <c r="E1226" i="9"/>
  <c r="E1227" i="9"/>
  <c r="E1521" i="9"/>
  <c r="E1848" i="9"/>
  <c r="E1922" i="9"/>
  <c r="E2153" i="9"/>
  <c r="E2156" i="9"/>
  <c r="E2229" i="9"/>
  <c r="E2235" i="9"/>
  <c r="E2778" i="9"/>
  <c r="E43" i="9"/>
  <c r="E47" i="9"/>
  <c r="E268" i="9"/>
  <c r="E435" i="9"/>
  <c r="E521" i="9"/>
  <c r="E742" i="9"/>
  <c r="E903" i="9"/>
  <c r="E906" i="9"/>
  <c r="E1137" i="9"/>
  <c r="E1368" i="9"/>
  <c r="E2072"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H205" i="9"/>
  <c r="H206" i="9"/>
  <c r="H621" i="9"/>
  <c r="H622" i="9"/>
  <c r="H623" i="9"/>
  <c r="H635" i="9" s="1"/>
  <c r="H624" i="9"/>
  <c r="H625" i="9"/>
  <c r="H626" i="9"/>
  <c r="H627" i="9"/>
  <c r="H628" i="9"/>
  <c r="H629" i="9"/>
  <c r="H630" i="9"/>
  <c r="H631" i="9"/>
  <c r="H632" i="9"/>
  <c r="H633" i="9"/>
  <c r="H634" i="9"/>
  <c r="H1219" i="9"/>
  <c r="H1233" i="9" s="1"/>
  <c r="H1220" i="9"/>
  <c r="H1221" i="9"/>
  <c r="H1222" i="9"/>
  <c r="H1223" i="9"/>
  <c r="H1224" i="9"/>
  <c r="H1225" i="9"/>
  <c r="H1226" i="9"/>
  <c r="H1227" i="9"/>
  <c r="H1228" i="9"/>
  <c r="H1229" i="9"/>
  <c r="H1230" i="9"/>
  <c r="H1231" i="9"/>
  <c r="H1232" i="9"/>
  <c r="H1517" i="9"/>
  <c r="H1518" i="9"/>
  <c r="H1519" i="9"/>
  <c r="H1520" i="9"/>
  <c r="H1521" i="9"/>
  <c r="H1522" i="9"/>
  <c r="H1523" i="9"/>
  <c r="H1524" i="9"/>
  <c r="H1525" i="9"/>
  <c r="H1526" i="9"/>
  <c r="H1527" i="9"/>
  <c r="H1528" i="9"/>
  <c r="H1529" i="9"/>
  <c r="H1530" i="9"/>
  <c r="H1683" i="9"/>
  <c r="H1684" i="9"/>
  <c r="H1685" i="9"/>
  <c r="H1695" i="9" s="1"/>
  <c r="H1686" i="9"/>
  <c r="H1687" i="9"/>
  <c r="H1688" i="9"/>
  <c r="H1689" i="9"/>
  <c r="H1690" i="9"/>
  <c r="H1691" i="9"/>
  <c r="H1692" i="9"/>
  <c r="H1693" i="9"/>
  <c r="H1694" i="9"/>
  <c r="H1844" i="9"/>
  <c r="H1845" i="9"/>
  <c r="H1857" i="9" s="1"/>
  <c r="H1846" i="9"/>
  <c r="H1847" i="9"/>
  <c r="H1848" i="9"/>
  <c r="H1849" i="9"/>
  <c r="H1850" i="9"/>
  <c r="H1851" i="9"/>
  <c r="H1852" i="9"/>
  <c r="H1853" i="9"/>
  <c r="H1854" i="9"/>
  <c r="H1855" i="9"/>
  <c r="H1856" i="9"/>
  <c r="H1918" i="9"/>
  <c r="H1931" i="9" s="1"/>
  <c r="H1919" i="9"/>
  <c r="H1920" i="9"/>
  <c r="H1921" i="9"/>
  <c r="H1922" i="9"/>
  <c r="H1923" i="9"/>
  <c r="H1924" i="9"/>
  <c r="H1925" i="9"/>
  <c r="H1926" i="9"/>
  <c r="H1927" i="9"/>
  <c r="H1928" i="9"/>
  <c r="H1929" i="9"/>
  <c r="H1930" i="9"/>
  <c r="H2149" i="9"/>
  <c r="H2150" i="9"/>
  <c r="H2151" i="9"/>
  <c r="H2152" i="9"/>
  <c r="H2153" i="9"/>
  <c r="H2154" i="9"/>
  <c r="H2155" i="9"/>
  <c r="H2156" i="9"/>
  <c r="H2157" i="9"/>
  <c r="H2158" i="9"/>
  <c r="H2159" i="9"/>
  <c r="H2160" i="9"/>
  <c r="H2162" i="9"/>
  <c r="H2225" i="9"/>
  <c r="H2226" i="9"/>
  <c r="H2227" i="9"/>
  <c r="H2228" i="9"/>
  <c r="H2229" i="9"/>
  <c r="H2230" i="9"/>
  <c r="H2231" i="9"/>
  <c r="H2232" i="9"/>
  <c r="H2233" i="9"/>
  <c r="H2238" i="9" s="1"/>
  <c r="H2234" i="9"/>
  <c r="H2235" i="9"/>
  <c r="H2236" i="9"/>
  <c r="H2237" i="9"/>
  <c r="H2315" i="9"/>
  <c r="H2316" i="9"/>
  <c r="H2317" i="9"/>
  <c r="H2318" i="9"/>
  <c r="H2319" i="9"/>
  <c r="H2320" i="9"/>
  <c r="H2321" i="9"/>
  <c r="H2322" i="9"/>
  <c r="H2323" i="9"/>
  <c r="H2324" i="9"/>
  <c r="H2325" i="9"/>
  <c r="H2326" i="9"/>
  <c r="H2328" i="9"/>
  <c r="H2475" i="9"/>
  <c r="H2476" i="9"/>
  <c r="H2477" i="9"/>
  <c r="H2478" i="9"/>
  <c r="H2479" i="9"/>
  <c r="H2480" i="9"/>
  <c r="H2481" i="9"/>
  <c r="H2482" i="9"/>
  <c r="H2483" i="9"/>
  <c r="H2484" i="9"/>
  <c r="H2485" i="9"/>
  <c r="H2487" i="9"/>
  <c r="H2615" i="9"/>
  <c r="H2616" i="9"/>
  <c r="H2617" i="9"/>
  <c r="H2628" i="9" s="1"/>
  <c r="H2618" i="9"/>
  <c r="H2619" i="9"/>
  <c r="H2620" i="9"/>
  <c r="H2621" i="9"/>
  <c r="H2622" i="9"/>
  <c r="H2623" i="9"/>
  <c r="H2624" i="9"/>
  <c r="H2625" i="9"/>
  <c r="H2626" i="9"/>
  <c r="H2627" i="9"/>
  <c r="H2774" i="9"/>
  <c r="H2787" i="9" s="1"/>
  <c r="H2775" i="9"/>
  <c r="H2776" i="9"/>
  <c r="H2777" i="9"/>
  <c r="H2778" i="9"/>
  <c r="H2779" i="9"/>
  <c r="H2780" i="9"/>
  <c r="H2781" i="9"/>
  <c r="H2782" i="9"/>
  <c r="H2783" i="9"/>
  <c r="H2784" i="9"/>
  <c r="H2785" i="9"/>
  <c r="H2786" i="9"/>
  <c r="H39" i="9"/>
  <c r="H40" i="9"/>
  <c r="H41" i="9"/>
  <c r="H52" i="9" s="1"/>
  <c r="H42" i="9"/>
  <c r="H43" i="9"/>
  <c r="H44" i="9"/>
  <c r="H45" i="9"/>
  <c r="H46" i="9"/>
  <c r="H47" i="9"/>
  <c r="H48" i="9"/>
  <c r="H49" i="9"/>
  <c r="H50" i="9"/>
  <c r="H51" i="9"/>
  <c r="H268" i="9"/>
  <c r="H269" i="9"/>
  <c r="H270" i="9"/>
  <c r="H271" i="9"/>
  <c r="H272" i="9"/>
  <c r="H273" i="9"/>
  <c r="H274" i="9"/>
  <c r="H275" i="9"/>
  <c r="H276" i="9"/>
  <c r="H277" i="9"/>
  <c r="H278" i="9"/>
  <c r="H279" i="9"/>
  <c r="H294" i="9" s="1"/>
  <c r="H280" i="9"/>
  <c r="H281" i="9"/>
  <c r="H282" i="9"/>
  <c r="H283" i="9"/>
  <c r="H284" i="9"/>
  <c r="H285" i="9"/>
  <c r="H286" i="9"/>
  <c r="H287" i="9"/>
  <c r="H288" i="9"/>
  <c r="H289" i="9"/>
  <c r="H290" i="9"/>
  <c r="H291" i="9"/>
  <c r="H292" i="9"/>
  <c r="H293" i="9"/>
  <c r="H354" i="9"/>
  <c r="H355" i="9"/>
  <c r="H356" i="9"/>
  <c r="H357" i="9"/>
  <c r="H358" i="9"/>
  <c r="H359" i="9"/>
  <c r="H360" i="9"/>
  <c r="H361" i="9"/>
  <c r="H362" i="9"/>
  <c r="H363" i="9"/>
  <c r="H380" i="9" s="1"/>
  <c r="H364" i="9"/>
  <c r="H365" i="9"/>
  <c r="H366" i="9"/>
  <c r="H367" i="9"/>
  <c r="H368" i="9"/>
  <c r="H369" i="9"/>
  <c r="H370" i="9"/>
  <c r="H371" i="9"/>
  <c r="H372" i="9"/>
  <c r="H373" i="9"/>
  <c r="H374" i="9"/>
  <c r="H375" i="9"/>
  <c r="H376" i="9"/>
  <c r="H377" i="9"/>
  <c r="H378" i="9"/>
  <c r="H379" i="9"/>
  <c r="H435" i="9"/>
  <c r="H436" i="9"/>
  <c r="H461" i="9" s="1"/>
  <c r="H437" i="9"/>
  <c r="H438" i="9"/>
  <c r="H439" i="9"/>
  <c r="H440" i="9"/>
  <c r="H441" i="9"/>
  <c r="H442" i="9"/>
  <c r="H443" i="9"/>
  <c r="H444" i="9"/>
  <c r="H445" i="9"/>
  <c r="H446" i="9"/>
  <c r="H447" i="9"/>
  <c r="H448" i="9"/>
  <c r="H449" i="9"/>
  <c r="H450" i="9"/>
  <c r="H451" i="9"/>
  <c r="H452" i="9"/>
  <c r="H453" i="9"/>
  <c r="H454" i="9"/>
  <c r="H455" i="9"/>
  <c r="H456" i="9"/>
  <c r="H457" i="9"/>
  <c r="H458" i="9"/>
  <c r="H459" i="9"/>
  <c r="H460" i="9"/>
  <c r="H521" i="9"/>
  <c r="H522" i="9"/>
  <c r="H523" i="9"/>
  <c r="H524" i="9"/>
  <c r="H547" i="9" s="1"/>
  <c r="H525" i="9"/>
  <c r="H526" i="9"/>
  <c r="H527" i="9"/>
  <c r="H528" i="9"/>
  <c r="H529" i="9"/>
  <c r="H530" i="9"/>
  <c r="H531" i="9"/>
  <c r="H532" i="9"/>
  <c r="H533" i="9"/>
  <c r="H534" i="9"/>
  <c r="H535" i="9"/>
  <c r="H536" i="9"/>
  <c r="H537" i="9"/>
  <c r="H538" i="9"/>
  <c r="H539" i="9"/>
  <c r="H540" i="9"/>
  <c r="H541" i="9"/>
  <c r="H542" i="9"/>
  <c r="H543" i="9"/>
  <c r="H544" i="9"/>
  <c r="H545" i="9"/>
  <c r="H546" i="9"/>
  <c r="H741" i="9"/>
  <c r="H754" i="9" s="1"/>
  <c r="H742" i="9"/>
  <c r="H743" i="9"/>
  <c r="H744" i="9"/>
  <c r="H745" i="9"/>
  <c r="H746" i="9"/>
  <c r="H747" i="9"/>
  <c r="H748" i="9"/>
  <c r="H749" i="9"/>
  <c r="H750" i="9"/>
  <c r="H751" i="9"/>
  <c r="H752" i="9"/>
  <c r="H753" i="9"/>
  <c r="H899" i="9"/>
  <c r="H900" i="9"/>
  <c r="H901" i="9"/>
  <c r="H912" i="9" s="1"/>
  <c r="H902" i="9"/>
  <c r="H903" i="9"/>
  <c r="H904" i="9"/>
  <c r="H905" i="9"/>
  <c r="H906" i="9"/>
  <c r="H907" i="9"/>
  <c r="H908" i="9"/>
  <c r="H909" i="9"/>
  <c r="H910" i="9"/>
  <c r="H911" i="9"/>
  <c r="H1127" i="9"/>
  <c r="H1139" i="9" s="1"/>
  <c r="H1128" i="9"/>
  <c r="H1129" i="9"/>
  <c r="H1130" i="9"/>
  <c r="H1131" i="9"/>
  <c r="H1132" i="9"/>
  <c r="H1133" i="9"/>
  <c r="H1134" i="9"/>
  <c r="H1135" i="9"/>
  <c r="H1136" i="9"/>
  <c r="H1137" i="9"/>
  <c r="H1138" i="9"/>
  <c r="H1364" i="9"/>
  <c r="H1377" i="9" s="1"/>
  <c r="H1365" i="9"/>
  <c r="H1366" i="9"/>
  <c r="H1367" i="9"/>
  <c r="H1368" i="9"/>
  <c r="H1369" i="9"/>
  <c r="H1370" i="9"/>
  <c r="H1371" i="9"/>
  <c r="H1372" i="9"/>
  <c r="H1373" i="9"/>
  <c r="H1374" i="9"/>
  <c r="H1375" i="9"/>
  <c r="H1376" i="9"/>
  <c r="H2068" i="9"/>
  <c r="H2069" i="9"/>
  <c r="H2070" i="9"/>
  <c r="H2071" i="9"/>
  <c r="H2072" i="9"/>
  <c r="H2081" i="9" s="1"/>
  <c r="H2073" i="9"/>
  <c r="H2074" i="9"/>
  <c r="H2075" i="9"/>
  <c r="H2076" i="9"/>
  <c r="H2077" i="9"/>
  <c r="H2078" i="9"/>
  <c r="H2079" i="9"/>
  <c r="H2080" i="9"/>
  <c r="H2925" i="9"/>
  <c r="H2926" i="9"/>
  <c r="H2927" i="9"/>
  <c r="H2938" i="9" s="1"/>
  <c r="H2928" i="9"/>
  <c r="H2929" i="9"/>
  <c r="H2930" i="9"/>
  <c r="H2931" i="9"/>
  <c r="H2932" i="9"/>
  <c r="H2933" i="9"/>
  <c r="H2934" i="9"/>
  <c r="H2935" i="9"/>
  <c r="H2936" i="9"/>
  <c r="H2937" i="9"/>
  <c r="I180" i="9"/>
  <c r="I181" i="9"/>
  <c r="I182" i="9"/>
  <c r="I183" i="9"/>
  <c r="I184" i="9"/>
  <c r="I185" i="9"/>
  <c r="I186" i="9"/>
  <c r="I187" i="9"/>
  <c r="I206" i="9" s="1"/>
  <c r="I188" i="9"/>
  <c r="I189" i="9"/>
  <c r="I190" i="9"/>
  <c r="I191" i="9"/>
  <c r="I192" i="9"/>
  <c r="I193" i="9"/>
  <c r="I194" i="9"/>
  <c r="I195" i="9"/>
  <c r="I196" i="9"/>
  <c r="I197" i="9"/>
  <c r="I198" i="9"/>
  <c r="I199" i="9"/>
  <c r="I200" i="9"/>
  <c r="I201" i="9"/>
  <c r="I202" i="9"/>
  <c r="I203" i="9"/>
  <c r="I204" i="9"/>
  <c r="I205" i="9"/>
  <c r="I621" i="9"/>
  <c r="I622" i="9"/>
  <c r="I623" i="9"/>
  <c r="I624" i="9"/>
  <c r="I625" i="9"/>
  <c r="I626" i="9"/>
  <c r="I627" i="9"/>
  <c r="I628" i="9"/>
  <c r="I629" i="9"/>
  <c r="I630" i="9"/>
  <c r="I631" i="9"/>
  <c r="I632" i="9"/>
  <c r="I633" i="9"/>
  <c r="I634" i="9"/>
  <c r="I635" i="9" s="1"/>
  <c r="I1219" i="9"/>
  <c r="I1220" i="9"/>
  <c r="I1221" i="9"/>
  <c r="I1222" i="9"/>
  <c r="I1223" i="9"/>
  <c r="I1224" i="9"/>
  <c r="I1233" i="9" s="1"/>
  <c r="I1225" i="9"/>
  <c r="I1226" i="9"/>
  <c r="I1227" i="9"/>
  <c r="I1228" i="9"/>
  <c r="I1229" i="9"/>
  <c r="I1230" i="9"/>
  <c r="I1231" i="9"/>
  <c r="I1232" i="9"/>
  <c r="I1517" i="9"/>
  <c r="I1518" i="9"/>
  <c r="I1519" i="9"/>
  <c r="I1520" i="9"/>
  <c r="I1530" i="9" s="1"/>
  <c r="I1521" i="9"/>
  <c r="I1522" i="9"/>
  <c r="I1523" i="9"/>
  <c r="I1524" i="9"/>
  <c r="I1525" i="9"/>
  <c r="I1526" i="9"/>
  <c r="I1527" i="9"/>
  <c r="I1528" i="9"/>
  <c r="I1529" i="9"/>
  <c r="I1683" i="9"/>
  <c r="I1684" i="9"/>
  <c r="I1685" i="9"/>
  <c r="I1686" i="9"/>
  <c r="I1687" i="9"/>
  <c r="I1688" i="9"/>
  <c r="I1689" i="9"/>
  <c r="I1690" i="9"/>
  <c r="I1691" i="9"/>
  <c r="I1692" i="9"/>
  <c r="I1693" i="9"/>
  <c r="I1694" i="9"/>
  <c r="I1695" i="9"/>
  <c r="I1844" i="9"/>
  <c r="I1845" i="9"/>
  <c r="I1846" i="9"/>
  <c r="I1847" i="9"/>
  <c r="I1848" i="9"/>
  <c r="I1849" i="9"/>
  <c r="I1850" i="9"/>
  <c r="I1851" i="9"/>
  <c r="I1852" i="9"/>
  <c r="I1853" i="9"/>
  <c r="I1854" i="9"/>
  <c r="I1855" i="9"/>
  <c r="I1856" i="9"/>
  <c r="I1857" i="9" s="1"/>
  <c r="I1918" i="9"/>
  <c r="I1919" i="9"/>
  <c r="I1920" i="9"/>
  <c r="I1921" i="9"/>
  <c r="I1922" i="9"/>
  <c r="I1923" i="9"/>
  <c r="I1924" i="9"/>
  <c r="I1925" i="9"/>
  <c r="I1926" i="9"/>
  <c r="I1927" i="9"/>
  <c r="I1928" i="9"/>
  <c r="I1929" i="9"/>
  <c r="I1930" i="9"/>
  <c r="I1931" i="9" s="1"/>
  <c r="I2149" i="9"/>
  <c r="I2150" i="9"/>
  <c r="I2151" i="9"/>
  <c r="I2152" i="9"/>
  <c r="I2153" i="9"/>
  <c r="I2154" i="9"/>
  <c r="I2155" i="9"/>
  <c r="I2156" i="9"/>
  <c r="I2157" i="9"/>
  <c r="I2158" i="9"/>
  <c r="I2159" i="9"/>
  <c r="I2160" i="9"/>
  <c r="I2162" i="9"/>
  <c r="I2225" i="9"/>
  <c r="I2226" i="9"/>
  <c r="I2227" i="9"/>
  <c r="I2228" i="9"/>
  <c r="I2229" i="9"/>
  <c r="I2230" i="9"/>
  <c r="I2231" i="9"/>
  <c r="I2232" i="9"/>
  <c r="I2233" i="9"/>
  <c r="I2234" i="9"/>
  <c r="I2235" i="9"/>
  <c r="I2238" i="9" s="1"/>
  <c r="I2236" i="9"/>
  <c r="I2237" i="9"/>
  <c r="I2315" i="9"/>
  <c r="I2316" i="9"/>
  <c r="I2317" i="9"/>
  <c r="I2318" i="9"/>
  <c r="I2319" i="9"/>
  <c r="I2320" i="9"/>
  <c r="I2321" i="9"/>
  <c r="I2322" i="9"/>
  <c r="I2323" i="9"/>
  <c r="I2324" i="9"/>
  <c r="I2325" i="9"/>
  <c r="I2326" i="9"/>
  <c r="I2328" i="9"/>
  <c r="I2475" i="9"/>
  <c r="I2476" i="9"/>
  <c r="I2477" i="9"/>
  <c r="I2478" i="9"/>
  <c r="I2479" i="9"/>
  <c r="I2480" i="9"/>
  <c r="I2481" i="9"/>
  <c r="I2482" i="9"/>
  <c r="I2483" i="9"/>
  <c r="I2484" i="9"/>
  <c r="I2485" i="9"/>
  <c r="I2487" i="9"/>
  <c r="I2615" i="9"/>
  <c r="I2616" i="9"/>
  <c r="I2617" i="9"/>
  <c r="I2618" i="9"/>
  <c r="I2619" i="9"/>
  <c r="I2620" i="9"/>
  <c r="I2621" i="9"/>
  <c r="I2622" i="9"/>
  <c r="I2623" i="9"/>
  <c r="I2624" i="9"/>
  <c r="I2625" i="9"/>
  <c r="I2626" i="9"/>
  <c r="I2627" i="9"/>
  <c r="I2628" i="9" s="1"/>
  <c r="I2774" i="9"/>
  <c r="I2775" i="9"/>
  <c r="I2776" i="9"/>
  <c r="I2777" i="9"/>
  <c r="I2778" i="9"/>
  <c r="I2779" i="9"/>
  <c r="I2780" i="9"/>
  <c r="I2787" i="9" s="1"/>
  <c r="I2781" i="9"/>
  <c r="I2782" i="9"/>
  <c r="I2783" i="9"/>
  <c r="I2784" i="9"/>
  <c r="I2785" i="9"/>
  <c r="I2786" i="9"/>
  <c r="I39" i="9"/>
  <c r="I40" i="9"/>
  <c r="I41" i="9"/>
  <c r="I42" i="9"/>
  <c r="I43" i="9"/>
  <c r="I44" i="9"/>
  <c r="I45" i="9"/>
  <c r="I46" i="9"/>
  <c r="I47" i="9"/>
  <c r="I48" i="9"/>
  <c r="I49" i="9"/>
  <c r="I50" i="9"/>
  <c r="I51" i="9"/>
  <c r="I52" i="9"/>
  <c r="I268" i="9"/>
  <c r="I269" i="9"/>
  <c r="I270" i="9"/>
  <c r="I271" i="9"/>
  <c r="I272" i="9"/>
  <c r="I273" i="9"/>
  <c r="I274" i="9"/>
  <c r="I275" i="9"/>
  <c r="I276" i="9"/>
  <c r="I277" i="9"/>
  <c r="I278" i="9"/>
  <c r="I279" i="9"/>
  <c r="I280" i="9"/>
  <c r="I281" i="9"/>
  <c r="I282" i="9"/>
  <c r="I283" i="9"/>
  <c r="I284" i="9"/>
  <c r="I285" i="9"/>
  <c r="I286" i="9"/>
  <c r="I287" i="9"/>
  <c r="I288" i="9"/>
  <c r="I289" i="9"/>
  <c r="I290" i="9"/>
  <c r="I291" i="9"/>
  <c r="I292" i="9"/>
  <c r="I293" i="9"/>
  <c r="I294" i="9"/>
  <c r="I354" i="9"/>
  <c r="I355" i="9"/>
  <c r="I356" i="9"/>
  <c r="I357" i="9"/>
  <c r="I358" i="9"/>
  <c r="I359" i="9"/>
  <c r="I360" i="9"/>
  <c r="I362" i="9"/>
  <c r="I363" i="9"/>
  <c r="I364" i="9"/>
  <c r="I365" i="9"/>
  <c r="I366" i="9"/>
  <c r="I367" i="9"/>
  <c r="I368" i="9"/>
  <c r="I369" i="9"/>
  <c r="I370" i="9"/>
  <c r="I371" i="9"/>
  <c r="I372" i="9"/>
  <c r="I373" i="9"/>
  <c r="I374" i="9"/>
  <c r="I375" i="9"/>
  <c r="I376" i="9"/>
  <c r="I377" i="9"/>
  <c r="I378" i="9"/>
  <c r="I379" i="9"/>
  <c r="I380" i="9" s="1"/>
  <c r="I435" i="9"/>
  <c r="I436" i="9"/>
  <c r="I437" i="9"/>
  <c r="I438" i="9"/>
  <c r="I439" i="9"/>
  <c r="I440" i="9"/>
  <c r="I441" i="9"/>
  <c r="I442" i="9"/>
  <c r="I443" i="9"/>
  <c r="I444" i="9"/>
  <c r="I445" i="9"/>
  <c r="I446" i="9"/>
  <c r="I447" i="9"/>
  <c r="I448" i="9"/>
  <c r="I449" i="9"/>
  <c r="I450" i="9"/>
  <c r="I451" i="9"/>
  <c r="I452" i="9"/>
  <c r="I453" i="9"/>
  <c r="I454" i="9"/>
  <c r="I455" i="9"/>
  <c r="I456" i="9"/>
  <c r="I457" i="9"/>
  <c r="I458" i="9"/>
  <c r="I459" i="9"/>
  <c r="I460" i="9"/>
  <c r="I461" i="9"/>
  <c r="I521" i="9"/>
  <c r="I522" i="9"/>
  <c r="I523" i="9"/>
  <c r="I524" i="9"/>
  <c r="I525" i="9"/>
  <c r="I526" i="9"/>
  <c r="I527" i="9"/>
  <c r="I528" i="9"/>
  <c r="I529" i="9"/>
  <c r="I530" i="9"/>
  <c r="I531" i="9"/>
  <c r="I532" i="9"/>
  <c r="I533" i="9"/>
  <c r="I534" i="9"/>
  <c r="I535" i="9"/>
  <c r="I536" i="9"/>
  <c r="I537" i="9"/>
  <c r="I538" i="9"/>
  <c r="I539" i="9"/>
  <c r="I540" i="9"/>
  <c r="I547" i="9" s="1"/>
  <c r="I541" i="9"/>
  <c r="I542" i="9"/>
  <c r="I543" i="9"/>
  <c r="I544" i="9"/>
  <c r="I545" i="9"/>
  <c r="I546" i="9"/>
  <c r="I741" i="9"/>
  <c r="I742" i="9"/>
  <c r="I743" i="9"/>
  <c r="I744" i="9"/>
  <c r="I745" i="9"/>
  <c r="I746" i="9"/>
  <c r="I747" i="9"/>
  <c r="I748" i="9"/>
  <c r="I749" i="9"/>
  <c r="I750" i="9"/>
  <c r="I751" i="9"/>
  <c r="I752" i="9"/>
  <c r="I753" i="9"/>
  <c r="I754" i="9" s="1"/>
  <c r="I899" i="9"/>
  <c r="I900" i="9"/>
  <c r="I901" i="9"/>
  <c r="I902" i="9"/>
  <c r="I903" i="9"/>
  <c r="I904" i="9"/>
  <c r="I905" i="9"/>
  <c r="I912" i="9" s="1"/>
  <c r="I906" i="9"/>
  <c r="I907" i="9"/>
  <c r="I908" i="9"/>
  <c r="I909" i="9"/>
  <c r="I910" i="9"/>
  <c r="I911" i="9"/>
  <c r="I1127" i="9"/>
  <c r="I1128" i="9"/>
  <c r="I1129" i="9"/>
  <c r="I1130" i="9"/>
  <c r="I1131" i="9"/>
  <c r="I1132" i="9"/>
  <c r="I1133" i="9"/>
  <c r="I1134" i="9"/>
  <c r="I1135" i="9"/>
  <c r="I1136" i="9"/>
  <c r="I1137" i="9"/>
  <c r="I1138" i="9"/>
  <c r="I1139" i="9"/>
  <c r="I1364" i="9"/>
  <c r="I1365" i="9"/>
  <c r="I1366" i="9"/>
  <c r="I1367" i="9"/>
  <c r="I1377" i="9" s="1"/>
  <c r="I1368" i="9"/>
  <c r="I1369" i="9"/>
  <c r="I1370" i="9"/>
  <c r="I1371" i="9"/>
  <c r="I1372" i="9"/>
  <c r="I1373" i="9"/>
  <c r="I1374" i="9"/>
  <c r="I1375" i="9"/>
  <c r="I1376" i="9"/>
  <c r="I2068" i="9"/>
  <c r="I2069" i="9"/>
  <c r="I2070" i="9"/>
  <c r="I2071" i="9"/>
  <c r="I2072" i="9"/>
  <c r="I2073" i="9"/>
  <c r="I2074" i="9"/>
  <c r="I2075" i="9"/>
  <c r="I2076" i="9"/>
  <c r="I2077" i="9"/>
  <c r="I2078" i="9"/>
  <c r="I2079" i="9"/>
  <c r="I2080" i="9"/>
  <c r="I2081" i="9"/>
  <c r="I2925" i="9"/>
  <c r="I2926" i="9"/>
  <c r="I2927" i="9"/>
  <c r="I2928" i="9"/>
  <c r="I2938" i="9" s="1"/>
  <c r="I2929" i="9"/>
  <c r="I2930" i="9"/>
  <c r="I2931" i="9"/>
  <c r="I2932" i="9"/>
  <c r="I2933" i="9"/>
  <c r="I2934" i="9"/>
  <c r="I2935" i="9"/>
  <c r="I2936" i="9"/>
  <c r="I2937" i="9"/>
  <c r="J180" i="9"/>
  <c r="J181" i="9"/>
  <c r="J182" i="9"/>
  <c r="J183" i="9"/>
  <c r="J184" i="9"/>
  <c r="J185" i="9"/>
  <c r="J186" i="9"/>
  <c r="J187" i="9"/>
  <c r="J188" i="9"/>
  <c r="J189" i="9"/>
  <c r="J190" i="9"/>
  <c r="J191" i="9"/>
  <c r="J192" i="9"/>
  <c r="J193" i="9"/>
  <c r="J194" i="9"/>
  <c r="J195" i="9"/>
  <c r="J196" i="9"/>
  <c r="J197" i="9"/>
  <c r="J198" i="9"/>
  <c r="J199" i="9"/>
  <c r="J200" i="9"/>
  <c r="J201" i="9"/>
  <c r="J202" i="9"/>
  <c r="J203" i="9"/>
  <c r="J204" i="9"/>
  <c r="J205" i="9"/>
  <c r="J206" i="9"/>
  <c r="J621" i="9"/>
  <c r="J622" i="9"/>
  <c r="J623" i="9"/>
  <c r="J624" i="9"/>
  <c r="J625" i="9"/>
  <c r="J626" i="9"/>
  <c r="J627" i="9"/>
  <c r="J628" i="9"/>
  <c r="J629" i="9"/>
  <c r="J630" i="9"/>
  <c r="J631" i="9"/>
  <c r="J632" i="9"/>
  <c r="J635" i="9" s="1"/>
  <c r="J633" i="9"/>
  <c r="J634" i="9"/>
  <c r="J1219" i="9"/>
  <c r="J1220" i="9"/>
  <c r="J1221" i="9"/>
  <c r="J1222" i="9"/>
  <c r="J1223" i="9"/>
  <c r="J1233" i="9" s="1"/>
  <c r="J1224" i="9"/>
  <c r="J1225" i="9"/>
  <c r="J1226" i="9"/>
  <c r="J1227" i="9"/>
  <c r="J1228" i="9"/>
  <c r="J1229" i="9"/>
  <c r="J1230" i="9"/>
  <c r="J1231" i="9"/>
  <c r="J1232" i="9"/>
  <c r="J1517" i="9"/>
  <c r="J1518" i="9"/>
  <c r="J1519" i="9"/>
  <c r="J1520" i="9"/>
  <c r="J1521" i="9"/>
  <c r="J1522" i="9"/>
  <c r="J1523" i="9"/>
  <c r="J1524" i="9"/>
  <c r="J1525" i="9"/>
  <c r="J1526" i="9"/>
  <c r="J1527" i="9"/>
  <c r="J1528" i="9"/>
  <c r="J1529" i="9"/>
  <c r="J1530" i="9"/>
  <c r="J1683" i="9"/>
  <c r="J1684" i="9"/>
  <c r="J1685" i="9"/>
  <c r="J1695" i="9" s="1"/>
  <c r="J1686" i="9"/>
  <c r="J1687" i="9"/>
  <c r="J1688" i="9"/>
  <c r="J1689" i="9"/>
  <c r="J1690" i="9"/>
  <c r="J1691" i="9"/>
  <c r="J1692" i="9"/>
  <c r="J1693" i="9"/>
  <c r="J1694" i="9"/>
  <c r="J1844" i="9"/>
  <c r="J1845" i="9"/>
  <c r="J1846" i="9"/>
  <c r="J1847" i="9"/>
  <c r="J1848" i="9"/>
  <c r="J1849" i="9"/>
  <c r="J1850" i="9"/>
  <c r="J1851" i="9"/>
  <c r="J1852" i="9"/>
  <c r="J1853" i="9"/>
  <c r="J1854" i="9"/>
  <c r="J1857" i="9" s="1"/>
  <c r="J1855" i="9"/>
  <c r="J1856" i="9"/>
  <c r="J1918" i="9"/>
  <c r="J1931" i="9" s="1"/>
  <c r="J1919" i="9"/>
  <c r="J1920" i="9"/>
  <c r="J1921" i="9"/>
  <c r="J1922" i="9"/>
  <c r="J1923" i="9"/>
  <c r="J1924" i="9"/>
  <c r="J1925" i="9"/>
  <c r="J1926" i="9"/>
  <c r="J1927" i="9"/>
  <c r="J1928" i="9"/>
  <c r="J1929" i="9"/>
  <c r="J1930" i="9"/>
  <c r="J2149" i="9"/>
  <c r="J2150" i="9"/>
  <c r="J2151" i="9"/>
  <c r="J2152" i="9"/>
  <c r="J2153" i="9"/>
  <c r="J2154" i="9"/>
  <c r="J2155" i="9"/>
  <c r="J2156" i="9"/>
  <c r="J2157" i="9"/>
  <c r="J2158" i="9"/>
  <c r="J2159" i="9"/>
  <c r="J2160" i="9"/>
  <c r="J2162" i="9"/>
  <c r="J2225" i="9"/>
  <c r="J2226" i="9"/>
  <c r="J2227" i="9"/>
  <c r="J2228" i="9"/>
  <c r="J2229" i="9"/>
  <c r="J2230" i="9"/>
  <c r="J2231" i="9"/>
  <c r="J2232" i="9"/>
  <c r="J2233" i="9"/>
  <c r="J2234" i="9"/>
  <c r="J2235" i="9"/>
  <c r="J2236" i="9"/>
  <c r="J2237" i="9"/>
  <c r="J2238" i="9" s="1"/>
  <c r="J2315" i="9"/>
  <c r="J2316" i="9"/>
  <c r="J2317" i="9"/>
  <c r="J2318" i="9"/>
  <c r="J2319" i="9"/>
  <c r="J2320" i="9"/>
  <c r="J2321" i="9"/>
  <c r="J2322" i="9"/>
  <c r="J2323" i="9"/>
  <c r="J2324" i="9"/>
  <c r="J2325" i="9"/>
  <c r="J2326" i="9"/>
  <c r="J2328" i="9"/>
  <c r="J2475" i="9"/>
  <c r="J2476" i="9"/>
  <c r="J2477" i="9"/>
  <c r="J2478" i="9"/>
  <c r="J2479" i="9"/>
  <c r="J2480" i="9"/>
  <c r="J2481" i="9"/>
  <c r="J2482" i="9"/>
  <c r="J2483" i="9"/>
  <c r="J2484" i="9"/>
  <c r="J2485" i="9"/>
  <c r="J2487" i="9"/>
  <c r="J2615" i="9"/>
  <c r="J2616" i="9"/>
  <c r="J2617" i="9"/>
  <c r="J2618" i="9"/>
  <c r="J2619" i="9"/>
  <c r="J2620" i="9"/>
  <c r="J2621" i="9"/>
  <c r="J2622" i="9"/>
  <c r="J2623" i="9"/>
  <c r="J2624" i="9"/>
  <c r="J2625" i="9"/>
  <c r="J2626" i="9"/>
  <c r="J2627" i="9"/>
  <c r="J2628" i="9"/>
  <c r="J2774" i="9"/>
  <c r="J2787" i="9" s="1"/>
  <c r="J2775" i="9"/>
  <c r="J2776" i="9"/>
  <c r="J2777" i="9"/>
  <c r="J2778" i="9"/>
  <c r="J2779" i="9"/>
  <c r="J2780" i="9"/>
  <c r="J2781" i="9"/>
  <c r="J2782" i="9"/>
  <c r="J2783" i="9"/>
  <c r="J2784" i="9"/>
  <c r="J2785" i="9"/>
  <c r="J2786" i="9"/>
  <c r="J39" i="9"/>
  <c r="J40" i="9"/>
  <c r="J41" i="9"/>
  <c r="J42" i="9"/>
  <c r="J43" i="9"/>
  <c r="J44" i="9"/>
  <c r="J45" i="9"/>
  <c r="J46" i="9"/>
  <c r="J47" i="9"/>
  <c r="J48" i="9"/>
  <c r="J49" i="9"/>
  <c r="J52" i="9" s="1"/>
  <c r="J50" i="9"/>
  <c r="J51" i="9"/>
  <c r="J268" i="9"/>
  <c r="J269" i="9"/>
  <c r="J270" i="9"/>
  <c r="J271" i="9"/>
  <c r="J272" i="9"/>
  <c r="J273" i="9"/>
  <c r="J274" i="9"/>
  <c r="J275" i="9"/>
  <c r="J276" i="9"/>
  <c r="J277" i="9"/>
  <c r="J278" i="9"/>
  <c r="J279" i="9"/>
  <c r="J280" i="9"/>
  <c r="J281" i="9"/>
  <c r="J282" i="9"/>
  <c r="J283" i="9"/>
  <c r="J284" i="9"/>
  <c r="J294" i="9" s="1"/>
  <c r="J285" i="9"/>
  <c r="J286" i="9"/>
  <c r="J287" i="9"/>
  <c r="J288" i="9"/>
  <c r="J289" i="9"/>
  <c r="J290" i="9"/>
  <c r="J291" i="9"/>
  <c r="J292" i="9"/>
  <c r="J293" i="9"/>
  <c r="J354" i="9"/>
  <c r="J355" i="9"/>
  <c r="J356" i="9"/>
  <c r="J357" i="9"/>
  <c r="J358" i="9"/>
  <c r="J359" i="9"/>
  <c r="J360" i="9"/>
  <c r="J362" i="9"/>
  <c r="J363" i="9"/>
  <c r="J364" i="9"/>
  <c r="J365" i="9"/>
  <c r="J366" i="9"/>
  <c r="J367" i="9"/>
  <c r="J368" i="9"/>
  <c r="J369" i="9"/>
  <c r="J370" i="9"/>
  <c r="J371" i="9"/>
  <c r="J372" i="9"/>
  <c r="J380" i="9" s="1"/>
  <c r="J373" i="9"/>
  <c r="J374" i="9"/>
  <c r="J375" i="9"/>
  <c r="J376" i="9"/>
  <c r="J377" i="9"/>
  <c r="J378" i="9"/>
  <c r="J379" i="9"/>
  <c r="J435" i="9"/>
  <c r="J436" i="9"/>
  <c r="J437" i="9"/>
  <c r="J438" i="9"/>
  <c r="J439" i="9"/>
  <c r="J440" i="9"/>
  <c r="J441" i="9"/>
  <c r="J442" i="9"/>
  <c r="J443" i="9"/>
  <c r="J444" i="9"/>
  <c r="J445" i="9"/>
  <c r="J446" i="9"/>
  <c r="J447" i="9"/>
  <c r="J448" i="9"/>
  <c r="J449" i="9"/>
  <c r="J450" i="9"/>
  <c r="J461" i="9" s="1"/>
  <c r="J451" i="9"/>
  <c r="J452" i="9"/>
  <c r="J453" i="9"/>
  <c r="J454" i="9"/>
  <c r="J455" i="9"/>
  <c r="J456" i="9"/>
  <c r="J457" i="9"/>
  <c r="J458" i="9"/>
  <c r="J459" i="9"/>
  <c r="J460" i="9"/>
  <c r="J521" i="9"/>
  <c r="J522" i="9"/>
  <c r="J523" i="9"/>
  <c r="J524" i="9"/>
  <c r="J525" i="9"/>
  <c r="J547" i="9" s="1"/>
  <c r="J526" i="9"/>
  <c r="J527" i="9"/>
  <c r="J528" i="9"/>
  <c r="J529" i="9"/>
  <c r="J530" i="9"/>
  <c r="J531" i="9"/>
  <c r="J532" i="9"/>
  <c r="J533" i="9"/>
  <c r="J534" i="9"/>
  <c r="J535" i="9"/>
  <c r="J536" i="9"/>
  <c r="J537" i="9"/>
  <c r="J538" i="9"/>
  <c r="J539" i="9"/>
  <c r="J540" i="9"/>
  <c r="J541" i="9"/>
  <c r="J542" i="9"/>
  <c r="J543" i="9"/>
  <c r="J544" i="9"/>
  <c r="J545" i="9"/>
  <c r="J546" i="9"/>
  <c r="J741" i="9"/>
  <c r="J742" i="9"/>
  <c r="J754" i="9" s="1"/>
  <c r="J743" i="9"/>
  <c r="J744" i="9"/>
  <c r="J745" i="9"/>
  <c r="J746" i="9"/>
  <c r="J747" i="9"/>
  <c r="J748" i="9"/>
  <c r="J749" i="9"/>
  <c r="J750" i="9"/>
  <c r="J751" i="9"/>
  <c r="J752" i="9"/>
  <c r="J753" i="9"/>
  <c r="J899" i="9"/>
  <c r="J900" i="9"/>
  <c r="J901" i="9"/>
  <c r="J902" i="9"/>
  <c r="J903" i="9"/>
  <c r="J904" i="9"/>
  <c r="J905" i="9"/>
  <c r="J906" i="9"/>
  <c r="J907" i="9"/>
  <c r="J908" i="9"/>
  <c r="J909" i="9"/>
  <c r="J912" i="9" s="1"/>
  <c r="J910" i="9"/>
  <c r="J911" i="9"/>
  <c r="J1127" i="9"/>
  <c r="J1128" i="9"/>
  <c r="J1139" i="9" s="1"/>
  <c r="J1129" i="9"/>
  <c r="J1130" i="9"/>
  <c r="J1131" i="9"/>
  <c r="J1132" i="9"/>
  <c r="J1133" i="9"/>
  <c r="J1134" i="9"/>
  <c r="J1135" i="9"/>
  <c r="J1136" i="9"/>
  <c r="J1137" i="9"/>
  <c r="J1138" i="9"/>
  <c r="J1364" i="9"/>
  <c r="J1377" i="9" s="1"/>
  <c r="J1365" i="9"/>
  <c r="J1366" i="9"/>
  <c r="J1367" i="9"/>
  <c r="J1368" i="9"/>
  <c r="J1369" i="9"/>
  <c r="J1370" i="9"/>
  <c r="J1371" i="9"/>
  <c r="J1372" i="9"/>
  <c r="J1373" i="9"/>
  <c r="J1374" i="9"/>
  <c r="J1375" i="9"/>
  <c r="J1376" i="9"/>
  <c r="J2068" i="9"/>
  <c r="J2069" i="9"/>
  <c r="J2070" i="9"/>
  <c r="J2081" i="9" s="1"/>
  <c r="J2071" i="9"/>
  <c r="J2072" i="9"/>
  <c r="J2073" i="9"/>
  <c r="J2074" i="9"/>
  <c r="J2075" i="9"/>
  <c r="J2076" i="9"/>
  <c r="J2077" i="9"/>
  <c r="J2078" i="9"/>
  <c r="J2079" i="9"/>
  <c r="J2080" i="9"/>
  <c r="J2925" i="9"/>
  <c r="J2938" i="9" s="1"/>
  <c r="J2926" i="9"/>
  <c r="J2927" i="9"/>
  <c r="J2928" i="9"/>
  <c r="J2929" i="9"/>
  <c r="J2930" i="9"/>
  <c r="J2931" i="9"/>
  <c r="J2932" i="9"/>
  <c r="J2933" i="9"/>
  <c r="J2934" i="9"/>
  <c r="J2935" i="9"/>
  <c r="J2936" i="9"/>
  <c r="J2937" i="9"/>
  <c r="D31" i="9"/>
  <c r="E31" i="9" s="1"/>
  <c r="D32" i="9"/>
  <c r="D33" i="9"/>
  <c r="D36" i="9" s="1"/>
  <c r="D3154" i="9" s="1"/>
  <c r="C56" i="8" s="1"/>
  <c r="D34" i="9"/>
  <c r="E32" i="9"/>
  <c r="E34" i="9"/>
  <c r="H29" i="9"/>
  <c r="H36" i="9" s="1"/>
  <c r="H3154" i="9" s="1"/>
  <c r="H30" i="9"/>
  <c r="I30" i="9" s="1"/>
  <c r="J30" i="9" s="1"/>
  <c r="H31" i="9"/>
  <c r="I31" i="9" s="1"/>
  <c r="J31" i="9" s="1"/>
  <c r="H32" i="9"/>
  <c r="H33" i="9"/>
  <c r="I33" i="9" s="1"/>
  <c r="J33" i="9" s="1"/>
  <c r="H34" i="9"/>
  <c r="I34" i="9" s="1"/>
  <c r="J34" i="9" s="1"/>
  <c r="H35" i="9"/>
  <c r="I35" i="9" s="1"/>
  <c r="J35" i="9" s="1"/>
  <c r="I32" i="9"/>
  <c r="J32" i="9" s="1"/>
  <c r="G474" i="8"/>
  <c r="F461" i="8"/>
  <c r="I451" i="8" s="1"/>
  <c r="I453" i="8"/>
  <c r="I457" i="8"/>
  <c r="C461" i="8"/>
  <c r="D461" i="8"/>
  <c r="E461" i="8"/>
  <c r="G461" i="8"/>
  <c r="H461" i="8"/>
  <c r="B461" i="8"/>
  <c r="F437" i="8"/>
  <c r="I430" i="8" s="1"/>
  <c r="I428" i="8"/>
  <c r="I431" i="8"/>
  <c r="I432" i="8"/>
  <c r="I433" i="8"/>
  <c r="I435" i="8"/>
  <c r="I436" i="8"/>
  <c r="C437" i="8"/>
  <c r="D437" i="8"/>
  <c r="E437" i="8"/>
  <c r="G437" i="8"/>
  <c r="H437" i="8"/>
  <c r="B437" i="8"/>
  <c r="F416" i="8"/>
  <c r="F423" i="8"/>
  <c r="I417" i="8" s="1"/>
  <c r="I413" i="8"/>
  <c r="I415" i="8"/>
  <c r="I416" i="8"/>
  <c r="I418" i="8"/>
  <c r="I419" i="8"/>
  <c r="I420" i="8"/>
  <c r="I422" i="8"/>
  <c r="C416" i="8"/>
  <c r="C423" i="8"/>
  <c r="D416" i="8"/>
  <c r="D423" i="8"/>
  <c r="E416" i="8"/>
  <c r="E423" i="8"/>
  <c r="G423" i="8"/>
  <c r="H423" i="8"/>
  <c r="B416" i="8"/>
  <c r="B423" i="8"/>
  <c r="I393" i="8"/>
  <c r="I392" i="8"/>
  <c r="I391" i="8"/>
  <c r="I388" i="8"/>
  <c r="I387" i="8"/>
  <c r="I386" i="8"/>
  <c r="I385" i="8"/>
  <c r="I382" i="8"/>
  <c r="I379" i="8"/>
  <c r="I380" i="8"/>
  <c r="I381" i="8"/>
  <c r="I378" i="8"/>
  <c r="I374" i="8"/>
  <c r="I373" i="8"/>
  <c r="I372" i="8"/>
  <c r="I368" i="8"/>
  <c r="I364" i="8"/>
  <c r="I365" i="8"/>
  <c r="I366" i="8"/>
  <c r="I367" i="8"/>
  <c r="I363" i="8"/>
  <c r="F328" i="8"/>
  <c r="F332" i="8" s="1"/>
  <c r="D328" i="8"/>
  <c r="D332" i="8" s="1"/>
  <c r="D330" i="8"/>
  <c r="H328" i="8"/>
  <c r="H332" i="8"/>
  <c r="G328" i="8"/>
  <c r="G332" i="8" s="1"/>
  <c r="E328" i="8"/>
  <c r="E332" i="8"/>
  <c r="C328" i="8"/>
  <c r="C330" i="8"/>
  <c r="C332" i="8"/>
  <c r="B328" i="8"/>
  <c r="B332" i="8" s="1"/>
  <c r="I330" i="8"/>
  <c r="I328" i="8"/>
  <c r="I326" i="8"/>
  <c r="F301" i="8"/>
  <c r="F305" i="8" s="1"/>
  <c r="D301" i="8"/>
  <c r="D305" i="8" s="1"/>
  <c r="D303" i="8"/>
  <c r="C301" i="8"/>
  <c r="C305" i="8" s="1"/>
  <c r="C303" i="8"/>
  <c r="E301" i="8"/>
  <c r="E305" i="8"/>
  <c r="G301" i="8"/>
  <c r="G305" i="8" s="1"/>
  <c r="H301" i="8"/>
  <c r="H305" i="8"/>
  <c r="B301" i="8"/>
  <c r="B305" i="8" s="1"/>
  <c r="I303" i="8"/>
  <c r="I298" i="8"/>
  <c r="I299" i="8"/>
  <c r="I300" i="8"/>
  <c r="I297" i="8"/>
  <c r="I296" i="8"/>
  <c r="H2756" i="9"/>
  <c r="C289" i="8"/>
  <c r="C293" i="8" s="1"/>
  <c r="D289" i="8"/>
  <c r="D293" i="8" s="1"/>
  <c r="E289" i="8"/>
  <c r="E293" i="8" s="1"/>
  <c r="F289" i="8"/>
  <c r="F293" i="8" s="1"/>
  <c r="G289" i="8"/>
  <c r="G293" i="8" s="1"/>
  <c r="H289" i="8"/>
  <c r="H293" i="8" s="1"/>
  <c r="B289" i="8"/>
  <c r="B293" i="8" s="1"/>
  <c r="I291" i="8"/>
  <c r="C278" i="8"/>
  <c r="C282" i="8"/>
  <c r="D278" i="8"/>
  <c r="D282" i="8"/>
  <c r="E278" i="8"/>
  <c r="E282" i="8"/>
  <c r="F278" i="8"/>
  <c r="F282" i="8"/>
  <c r="G278" i="8"/>
  <c r="G282" i="8"/>
  <c r="H278" i="8"/>
  <c r="H282" i="8"/>
  <c r="B278" i="8"/>
  <c r="B282" i="8"/>
  <c r="I288" i="8"/>
  <c r="I286" i="8"/>
  <c r="I287" i="8"/>
  <c r="I280" i="8"/>
  <c r="I277" i="8"/>
  <c r="F100" i="8"/>
  <c r="F119" i="8" s="1"/>
  <c r="F118" i="8"/>
  <c r="H2452" i="9"/>
  <c r="H2301" i="9"/>
  <c r="N19" i="68"/>
  <c r="I278" i="8"/>
  <c r="B233" i="8"/>
  <c r="G232" i="8"/>
  <c r="G234" i="8"/>
  <c r="G188" i="8"/>
  <c r="E232" i="8"/>
  <c r="E234" i="8" s="1"/>
  <c r="E233" i="8"/>
  <c r="F237" i="8"/>
  <c r="G237" i="8"/>
  <c r="F240" i="8"/>
  <c r="G240" i="8" s="1"/>
  <c r="H240" i="8" s="1"/>
  <c r="I240" i="8" s="1"/>
  <c r="F241" i="8"/>
  <c r="G241" i="8"/>
  <c r="H241" i="8" s="1"/>
  <c r="I241" i="8" s="1"/>
  <c r="F243" i="8"/>
  <c r="G243" i="8" s="1"/>
  <c r="H243" i="8" s="1"/>
  <c r="I243" i="8" s="1"/>
  <c r="F245" i="8"/>
  <c r="G245" i="8"/>
  <c r="H245" i="8" s="1"/>
  <c r="I245" i="8" s="1"/>
  <c r="E237" i="8"/>
  <c r="E240" i="8"/>
  <c r="E241" i="8"/>
  <c r="E243" i="8"/>
  <c r="E245" i="8"/>
  <c r="H236" i="8"/>
  <c r="F236" i="8"/>
  <c r="H233" i="8"/>
  <c r="I233" i="8" s="1"/>
  <c r="H232" i="8"/>
  <c r="I232" i="8" s="1"/>
  <c r="E188" i="8"/>
  <c r="E190" i="8" s="1"/>
  <c r="G190" i="8"/>
  <c r="F193" i="8"/>
  <c r="G193" i="8" s="1"/>
  <c r="F196" i="8"/>
  <c r="G196" i="8" s="1"/>
  <c r="H196" i="8" s="1"/>
  <c r="I196" i="8" s="1"/>
  <c r="F197" i="8"/>
  <c r="G197" i="8" s="1"/>
  <c r="H197" i="8" s="1"/>
  <c r="I197" i="8" s="1"/>
  <c r="F199" i="8"/>
  <c r="G199" i="8" s="1"/>
  <c r="H199" i="8" s="1"/>
  <c r="I199" i="8" s="1"/>
  <c r="F201" i="8"/>
  <c r="G201" i="8" s="1"/>
  <c r="H201" i="8" s="1"/>
  <c r="I201" i="8" s="1"/>
  <c r="E189" i="8"/>
  <c r="E193" i="8"/>
  <c r="E196" i="8"/>
  <c r="E197" i="8"/>
  <c r="E199" i="8"/>
  <c r="E201" i="8"/>
  <c r="H192" i="8"/>
  <c r="F192" i="8"/>
  <c r="H189" i="8"/>
  <c r="F189" i="8"/>
  <c r="H188" i="8"/>
  <c r="I188" i="8"/>
  <c r="F143" i="8"/>
  <c r="G143" i="8" s="1"/>
  <c r="F146" i="8"/>
  <c r="G146" i="8"/>
  <c r="F149" i="8"/>
  <c r="G149" i="8" s="1"/>
  <c r="H149" i="8" s="1"/>
  <c r="F150" i="8"/>
  <c r="G150" i="8"/>
  <c r="H150" i="8" s="1"/>
  <c r="I150" i="8" s="1"/>
  <c r="F152" i="8"/>
  <c r="G152" i="8" s="1"/>
  <c r="H152" i="8" s="1"/>
  <c r="I152" i="8" s="1"/>
  <c r="F154" i="8"/>
  <c r="G154" i="8"/>
  <c r="H154" i="8" s="1"/>
  <c r="I154" i="8" s="1"/>
  <c r="E146" i="8"/>
  <c r="E156" i="8" s="1"/>
  <c r="E149" i="8"/>
  <c r="E150" i="8"/>
  <c r="E152" i="8"/>
  <c r="E154" i="8"/>
  <c r="E158" i="8" s="1"/>
  <c r="H146" i="8"/>
  <c r="I146" i="8" s="1"/>
  <c r="H145" i="8"/>
  <c r="F145" i="8"/>
  <c r="C125" i="8"/>
  <c r="C129" i="8"/>
  <c r="D125" i="8"/>
  <c r="D129" i="8" s="1"/>
  <c r="E125" i="8"/>
  <c r="E129" i="8"/>
  <c r="F125" i="8"/>
  <c r="F129" i="8" s="1"/>
  <c r="G125" i="8"/>
  <c r="G129" i="8"/>
  <c r="H125" i="8"/>
  <c r="H129" i="8" s="1"/>
  <c r="B125" i="8"/>
  <c r="B129" i="8"/>
  <c r="C118" i="8"/>
  <c r="C120" i="8" s="1"/>
  <c r="C100" i="8"/>
  <c r="D118" i="8"/>
  <c r="D120" i="8" s="1"/>
  <c r="D100" i="8"/>
  <c r="E118" i="8"/>
  <c r="E100" i="8"/>
  <c r="E120" i="8" s="1"/>
  <c r="F120" i="8"/>
  <c r="G118" i="8"/>
  <c r="G100" i="8"/>
  <c r="G120" i="8" s="1"/>
  <c r="H118" i="8"/>
  <c r="H100" i="8"/>
  <c r="H120" i="8"/>
  <c r="B118" i="8"/>
  <c r="B102" i="8" s="1"/>
  <c r="B100" i="8"/>
  <c r="C102" i="8"/>
  <c r="D102" i="8"/>
  <c r="F102" i="8"/>
  <c r="G102" i="8"/>
  <c r="H102" i="8"/>
  <c r="C10" i="8"/>
  <c r="C12" i="8"/>
  <c r="C14" i="8"/>
  <c r="C16" i="8"/>
  <c r="C18" i="8"/>
  <c r="C80" i="8"/>
  <c r="C82" i="8"/>
  <c r="D10" i="8"/>
  <c r="D12" i="8"/>
  <c r="D14" i="8"/>
  <c r="D16" i="8"/>
  <c r="D18" i="8"/>
  <c r="D82" i="8"/>
  <c r="E16" i="8"/>
  <c r="E80" i="8"/>
  <c r="E82" i="8"/>
  <c r="E84" i="8"/>
  <c r="M361" i="72"/>
  <c r="M362" i="72"/>
  <c r="M363" i="72"/>
  <c r="M364" i="72"/>
  <c r="M365" i="72"/>
  <c r="M366" i="72"/>
  <c r="M367" i="72"/>
  <c r="M368" i="72"/>
  <c r="M369" i="72"/>
  <c r="M370" i="72"/>
  <c r="M371" i="72"/>
  <c r="M372" i="72"/>
  <c r="M373" i="72"/>
  <c r="M374" i="72"/>
  <c r="M375" i="72"/>
  <c r="M376" i="72"/>
  <c r="M377" i="72"/>
  <c r="M378" i="72"/>
  <c r="M379" i="72"/>
  <c r="M380" i="72"/>
  <c r="M381" i="72"/>
  <c r="M382" i="72"/>
  <c r="M383" i="72"/>
  <c r="M384" i="72"/>
  <c r="M385" i="72"/>
  <c r="M386" i="72"/>
  <c r="M387" i="72"/>
  <c r="M388" i="72"/>
  <c r="M389" i="72"/>
  <c r="M390" i="72"/>
  <c r="M391" i="72"/>
  <c r="M392" i="72"/>
  <c r="M393" i="72"/>
  <c r="M394" i="72"/>
  <c r="M395" i="72"/>
  <c r="M396" i="72"/>
  <c r="M397" i="72"/>
  <c r="M398" i="72"/>
  <c r="M399" i="72"/>
  <c r="M400" i="72"/>
  <c r="M401" i="72"/>
  <c r="M402" i="72"/>
  <c r="M403" i="72"/>
  <c r="M404" i="72"/>
  <c r="M405" i="72"/>
  <c r="M406" i="72"/>
  <c r="M407" i="72"/>
  <c r="M408" i="72"/>
  <c r="M409" i="72"/>
  <c r="M410" i="72"/>
  <c r="M411" i="72"/>
  <c r="M412" i="72"/>
  <c r="M413" i="72"/>
  <c r="M414" i="72"/>
  <c r="M415" i="72"/>
  <c r="M416" i="72"/>
  <c r="M417" i="72"/>
  <c r="M418" i="72"/>
  <c r="M419" i="72"/>
  <c r="M420" i="72"/>
  <c r="M421" i="72"/>
  <c r="M422" i="72"/>
  <c r="M423" i="72"/>
  <c r="M424" i="72"/>
  <c r="M425" i="72"/>
  <c r="M426" i="72"/>
  <c r="M427" i="72"/>
  <c r="M428" i="72"/>
  <c r="M429" i="72"/>
  <c r="M430" i="72"/>
  <c r="M431" i="72"/>
  <c r="M432" i="72"/>
  <c r="M433" i="72"/>
  <c r="M434" i="72"/>
  <c r="M435" i="72"/>
  <c r="M436" i="72"/>
  <c r="M437" i="72"/>
  <c r="M438" i="72"/>
  <c r="M439" i="72"/>
  <c r="M440" i="72"/>
  <c r="M441" i="72"/>
  <c r="M442" i="72"/>
  <c r="M443" i="72"/>
  <c r="M444" i="72"/>
  <c r="M445" i="72"/>
  <c r="M446" i="72"/>
  <c r="M447" i="72"/>
  <c r="M448" i="72"/>
  <c r="M449" i="72"/>
  <c r="M450" i="72"/>
  <c r="M451" i="72"/>
  <c r="M452" i="72"/>
  <c r="M453" i="72"/>
  <c r="M454" i="72"/>
  <c r="M455" i="72"/>
  <c r="M456" i="72"/>
  <c r="M457" i="72"/>
  <c r="M458" i="72"/>
  <c r="M459" i="72"/>
  <c r="M460" i="72"/>
  <c r="M461" i="72"/>
  <c r="M462" i="72"/>
  <c r="M463" i="72"/>
  <c r="M464" i="72"/>
  <c r="M465" i="72"/>
  <c r="M466" i="72"/>
  <c r="M467" i="72"/>
  <c r="M468" i="72"/>
  <c r="M469" i="72"/>
  <c r="M470" i="72"/>
  <c r="M471" i="72"/>
  <c r="M472" i="72"/>
  <c r="M473" i="72"/>
  <c r="M474" i="72"/>
  <c r="M475" i="72"/>
  <c r="M476" i="72"/>
  <c r="M477" i="72"/>
  <c r="M478" i="72"/>
  <c r="M479" i="72"/>
  <c r="M480" i="72"/>
  <c r="M481" i="72"/>
  <c r="M482" i="72"/>
  <c r="M483" i="72"/>
  <c r="M484" i="72"/>
  <c r="M485" i="72"/>
  <c r="M486" i="72"/>
  <c r="M487" i="72"/>
  <c r="M488" i="72"/>
  <c r="M489" i="72"/>
  <c r="M490" i="72"/>
  <c r="M491" i="72"/>
  <c r="M492" i="72"/>
  <c r="M493" i="72"/>
  <c r="M494" i="72"/>
  <c r="M495" i="72"/>
  <c r="M496" i="72"/>
  <c r="M497" i="72"/>
  <c r="M498" i="72"/>
  <c r="M499" i="72"/>
  <c r="M500" i="72"/>
  <c r="M501" i="72"/>
  <c r="M502" i="72"/>
  <c r="M503" i="72"/>
  <c r="M504" i="72"/>
  <c r="M505" i="72"/>
  <c r="M506" i="72"/>
  <c r="M507" i="72"/>
  <c r="M508" i="72"/>
  <c r="M509" i="72"/>
  <c r="M510" i="72"/>
  <c r="M511" i="72"/>
  <c r="M512" i="72"/>
  <c r="M513" i="72"/>
  <c r="M514" i="72"/>
  <c r="M515" i="72"/>
  <c r="M516" i="72"/>
  <c r="M517" i="72"/>
  <c r="M518" i="72"/>
  <c r="M519" i="72"/>
  <c r="M520" i="72"/>
  <c r="M521" i="72"/>
  <c r="M522" i="72"/>
  <c r="M523" i="72"/>
  <c r="M524" i="72"/>
  <c r="M525" i="72"/>
  <c r="M526" i="72"/>
  <c r="M527" i="72"/>
  <c r="M528" i="72"/>
  <c r="M529" i="72"/>
  <c r="M530" i="72"/>
  <c r="M531" i="72"/>
  <c r="M532" i="72"/>
  <c r="M533" i="72"/>
  <c r="M534" i="72"/>
  <c r="M535" i="72"/>
  <c r="M536" i="72"/>
  <c r="M537" i="72"/>
  <c r="M538" i="72"/>
  <c r="M539" i="72"/>
  <c r="M540" i="72"/>
  <c r="M541" i="72"/>
  <c r="M542" i="72"/>
  <c r="M543" i="72"/>
  <c r="M544" i="72"/>
  <c r="M545" i="72"/>
  <c r="M546" i="72"/>
  <c r="M547" i="72"/>
  <c r="M548" i="72"/>
  <c r="M549" i="72"/>
  <c r="M550" i="72"/>
  <c r="M551" i="72"/>
  <c r="M552" i="72"/>
  <c r="M553" i="72"/>
  <c r="M554" i="72"/>
  <c r="M555" i="72"/>
  <c r="M556" i="72"/>
  <c r="M557" i="72"/>
  <c r="M558" i="72"/>
  <c r="M559" i="72"/>
  <c r="M560" i="72"/>
  <c r="M561" i="72"/>
  <c r="M562" i="72"/>
  <c r="M563" i="72"/>
  <c r="M564" i="72"/>
  <c r="M565" i="72"/>
  <c r="M566" i="72"/>
  <c r="M567" i="72"/>
  <c r="M568" i="72"/>
  <c r="M569" i="72"/>
  <c r="M570" i="72"/>
  <c r="M571" i="72"/>
  <c r="M572" i="72"/>
  <c r="M573" i="72"/>
  <c r="M574" i="72"/>
  <c r="M575" i="72"/>
  <c r="M576" i="72"/>
  <c r="M577" i="72"/>
  <c r="M578" i="72"/>
  <c r="M579" i="72"/>
  <c r="M580" i="72"/>
  <c r="M581" i="72"/>
  <c r="M582" i="72"/>
  <c r="M583" i="72"/>
  <c r="M584" i="72"/>
  <c r="M585" i="72"/>
  <c r="M586" i="72"/>
  <c r="M587" i="72"/>
  <c r="M588" i="72"/>
  <c r="M589" i="72"/>
  <c r="M590" i="72"/>
  <c r="M591" i="72"/>
  <c r="M592" i="72"/>
  <c r="M593" i="72"/>
  <c r="M594" i="72"/>
  <c r="M595" i="72"/>
  <c r="M596" i="72"/>
  <c r="M597" i="72"/>
  <c r="M598" i="72"/>
  <c r="M599" i="72"/>
  <c r="M600" i="72"/>
  <c r="M601" i="72"/>
  <c r="M602" i="72"/>
  <c r="M603" i="72"/>
  <c r="M604" i="72"/>
  <c r="M605" i="72"/>
  <c r="M606" i="72"/>
  <c r="M607" i="72"/>
  <c r="M608" i="72"/>
  <c r="M609" i="72"/>
  <c r="M610" i="72"/>
  <c r="M611" i="72"/>
  <c r="M612" i="72"/>
  <c r="M613" i="72"/>
  <c r="M614" i="72"/>
  <c r="M615" i="72"/>
  <c r="M616" i="72"/>
  <c r="M617" i="72"/>
  <c r="M618" i="72"/>
  <c r="M619" i="72"/>
  <c r="M620" i="72"/>
  <c r="M621" i="72"/>
  <c r="M622" i="72"/>
  <c r="M623" i="72"/>
  <c r="M624" i="72"/>
  <c r="M625" i="72"/>
  <c r="M626" i="72"/>
  <c r="M627" i="72"/>
  <c r="M628" i="72"/>
  <c r="M629" i="72"/>
  <c r="M630" i="72"/>
  <c r="M631" i="72"/>
  <c r="M632" i="72"/>
  <c r="M633" i="72"/>
  <c r="M634" i="72"/>
  <c r="M635" i="72"/>
  <c r="M636" i="72"/>
  <c r="M637" i="72"/>
  <c r="M638" i="72"/>
  <c r="M639" i="72"/>
  <c r="M640" i="72"/>
  <c r="M641" i="72"/>
  <c r="M642" i="72"/>
  <c r="M643" i="72"/>
  <c r="M644" i="72"/>
  <c r="M645" i="72"/>
  <c r="M646" i="72"/>
  <c r="M647" i="72"/>
  <c r="M648" i="72"/>
  <c r="M649" i="72"/>
  <c r="M650" i="72"/>
  <c r="M651" i="72"/>
  <c r="M652" i="72"/>
  <c r="M653" i="72"/>
  <c r="M654" i="72"/>
  <c r="M655" i="72"/>
  <c r="M656" i="72"/>
  <c r="M657" i="72"/>
  <c r="M658" i="72"/>
  <c r="M659" i="72"/>
  <c r="M660" i="72"/>
  <c r="M661" i="72"/>
  <c r="M662" i="72"/>
  <c r="M663" i="72"/>
  <c r="M664" i="72"/>
  <c r="M665" i="72"/>
  <c r="M666" i="72"/>
  <c r="M667" i="72"/>
  <c r="M668" i="72"/>
  <c r="M669" i="72"/>
  <c r="M670" i="72"/>
  <c r="M671" i="72"/>
  <c r="M672" i="72"/>
  <c r="M673" i="72"/>
  <c r="M674" i="72"/>
  <c r="M675" i="72"/>
  <c r="M676" i="72"/>
  <c r="M677" i="72"/>
  <c r="M678" i="72"/>
  <c r="M679" i="72"/>
  <c r="M680" i="72"/>
  <c r="M681" i="72"/>
  <c r="M682" i="72"/>
  <c r="M683" i="72"/>
  <c r="M684" i="72"/>
  <c r="M685" i="72"/>
  <c r="M686" i="72"/>
  <c r="M687" i="72"/>
  <c r="M688" i="72"/>
  <c r="M689" i="72"/>
  <c r="M690" i="72"/>
  <c r="M691" i="72"/>
  <c r="M692" i="72"/>
  <c r="M693" i="72"/>
  <c r="M694" i="72"/>
  <c r="M695" i="72"/>
  <c r="M696" i="72"/>
  <c r="M697" i="72"/>
  <c r="M698" i="72"/>
  <c r="M699" i="72"/>
  <c r="M700" i="72"/>
  <c r="M701" i="72"/>
  <c r="M702" i="72"/>
  <c r="M703" i="72"/>
  <c r="M704" i="72"/>
  <c r="M705" i="72"/>
  <c r="M706" i="72"/>
  <c r="M707" i="72"/>
  <c r="M708" i="72"/>
  <c r="M709" i="72"/>
  <c r="M710" i="72"/>
  <c r="M711" i="72"/>
  <c r="M712" i="72"/>
  <c r="M713" i="72"/>
  <c r="M714" i="72"/>
  <c r="M715" i="72"/>
  <c r="M716" i="72"/>
  <c r="M717" i="72"/>
  <c r="M718" i="72"/>
  <c r="M719" i="72"/>
  <c r="M720" i="72"/>
  <c r="M721" i="72"/>
  <c r="M722" i="72"/>
  <c r="M723" i="72"/>
  <c r="M724" i="72"/>
  <c r="M725" i="72"/>
  <c r="M726" i="72"/>
  <c r="M727" i="72"/>
  <c r="M728" i="72"/>
  <c r="M729" i="72"/>
  <c r="M730" i="72"/>
  <c r="M731" i="72"/>
  <c r="M732" i="72"/>
  <c r="M733" i="72"/>
  <c r="M734" i="72"/>
  <c r="M735" i="72"/>
  <c r="M736" i="72"/>
  <c r="M737" i="72"/>
  <c r="M738" i="72"/>
  <c r="M739" i="72"/>
  <c r="M740" i="72"/>
  <c r="M741" i="72"/>
  <c r="M742" i="72"/>
  <c r="M743" i="72"/>
  <c r="M744" i="72"/>
  <c r="M745" i="72"/>
  <c r="M746" i="72"/>
  <c r="M747" i="72"/>
  <c r="M748" i="72"/>
  <c r="M749" i="72"/>
  <c r="M750" i="72"/>
  <c r="M751" i="72"/>
  <c r="M752" i="72"/>
  <c r="M753" i="72"/>
  <c r="M754" i="72"/>
  <c r="M755" i="72"/>
  <c r="M756" i="72"/>
  <c r="M757" i="72"/>
  <c r="M758" i="72"/>
  <c r="M759" i="72"/>
  <c r="M760" i="72"/>
  <c r="M761" i="72"/>
  <c r="M762" i="72"/>
  <c r="M763" i="72"/>
  <c r="M764" i="72"/>
  <c r="M765" i="72"/>
  <c r="M766" i="72"/>
  <c r="M767" i="72"/>
  <c r="M768" i="72"/>
  <c r="M769" i="72"/>
  <c r="M770" i="72"/>
  <c r="M771" i="72"/>
  <c r="M772" i="72"/>
  <c r="M773" i="72"/>
  <c r="M774" i="72"/>
  <c r="M775" i="72"/>
  <c r="M776" i="72"/>
  <c r="M777" i="72"/>
  <c r="M778" i="72"/>
  <c r="M779" i="72"/>
  <c r="M780" i="72"/>
  <c r="M781" i="72"/>
  <c r="M782" i="72"/>
  <c r="M783" i="72"/>
  <c r="M784" i="72"/>
  <c r="M785" i="72"/>
  <c r="M786" i="72"/>
  <c r="M787" i="72"/>
  <c r="M788" i="72"/>
  <c r="M789" i="72"/>
  <c r="M790" i="72"/>
  <c r="M791" i="72"/>
  <c r="M792" i="72"/>
  <c r="M793" i="72"/>
  <c r="M794" i="72"/>
  <c r="M795" i="72"/>
  <c r="M796" i="72"/>
  <c r="M797" i="72"/>
  <c r="M798" i="72"/>
  <c r="M799" i="72"/>
  <c r="M800" i="72"/>
  <c r="M801" i="72"/>
  <c r="M802" i="72"/>
  <c r="M803" i="72"/>
  <c r="M804" i="72"/>
  <c r="M805" i="72"/>
  <c r="M806" i="72"/>
  <c r="M807" i="72"/>
  <c r="M808" i="72"/>
  <c r="M809" i="72"/>
  <c r="M810" i="72"/>
  <c r="M811" i="72"/>
  <c r="M812" i="72"/>
  <c r="M813" i="72"/>
  <c r="M814" i="72"/>
  <c r="M815" i="72"/>
  <c r="M816" i="72"/>
  <c r="M817" i="72"/>
  <c r="M818" i="72"/>
  <c r="M819" i="72"/>
  <c r="M820" i="72"/>
  <c r="M821" i="72"/>
  <c r="M822" i="72"/>
  <c r="M823" i="72"/>
  <c r="M824" i="72"/>
  <c r="M825" i="72"/>
  <c r="M826" i="72"/>
  <c r="M827" i="72"/>
  <c r="M828" i="72"/>
  <c r="M829" i="72"/>
  <c r="M830" i="72"/>
  <c r="M831" i="72"/>
  <c r="M832" i="72"/>
  <c r="M833" i="72"/>
  <c r="M834" i="72"/>
  <c r="M835" i="72"/>
  <c r="M836" i="72"/>
  <c r="M837" i="72"/>
  <c r="M838" i="72"/>
  <c r="M839" i="72"/>
  <c r="M840" i="72"/>
  <c r="M841" i="72"/>
  <c r="M842" i="72"/>
  <c r="M843" i="72"/>
  <c r="M844" i="72"/>
  <c r="M845" i="72"/>
  <c r="M846" i="72"/>
  <c r="M847" i="72"/>
  <c r="M848" i="72"/>
  <c r="M849" i="72"/>
  <c r="M850" i="72"/>
  <c r="M851" i="72"/>
  <c r="M852" i="72"/>
  <c r="M853" i="72"/>
  <c r="M854" i="72"/>
  <c r="M855" i="72"/>
  <c r="M856" i="72"/>
  <c r="M857" i="72"/>
  <c r="M858" i="72"/>
  <c r="M859" i="72"/>
  <c r="M860" i="72"/>
  <c r="M861" i="72"/>
  <c r="M862" i="72"/>
  <c r="M863" i="72"/>
  <c r="M864" i="72"/>
  <c r="M865" i="72"/>
  <c r="M866" i="72"/>
  <c r="M867" i="72"/>
  <c r="M868" i="72"/>
  <c r="M869" i="72"/>
  <c r="M870" i="72"/>
  <c r="M871" i="72"/>
  <c r="M872" i="72"/>
  <c r="M873" i="72"/>
  <c r="M874" i="72"/>
  <c r="M875" i="72"/>
  <c r="M876" i="72"/>
  <c r="M877" i="72"/>
  <c r="M878" i="72"/>
  <c r="M879" i="72"/>
  <c r="M880" i="72"/>
  <c r="M881" i="72"/>
  <c r="M882" i="72"/>
  <c r="M883" i="72"/>
  <c r="M884" i="72"/>
  <c r="M885" i="72"/>
  <c r="M886" i="72"/>
  <c r="M887" i="72"/>
  <c r="M888" i="72"/>
  <c r="M889" i="72"/>
  <c r="M890" i="72"/>
  <c r="M891" i="72"/>
  <c r="M892" i="72"/>
  <c r="M893" i="72"/>
  <c r="M894" i="72"/>
  <c r="M895" i="72"/>
  <c r="M896" i="72"/>
  <c r="M897" i="72"/>
  <c r="M898" i="72"/>
  <c r="M899" i="72"/>
  <c r="M900" i="72"/>
  <c r="M901" i="72"/>
  <c r="M902" i="72"/>
  <c r="M903" i="72"/>
  <c r="M904" i="72"/>
  <c r="M905" i="72"/>
  <c r="M906" i="72"/>
  <c r="M907" i="72"/>
  <c r="M908" i="72"/>
  <c r="M909" i="72"/>
  <c r="M910" i="72"/>
  <c r="M911" i="72"/>
  <c r="M912" i="72"/>
  <c r="M913" i="72"/>
  <c r="M914" i="72"/>
  <c r="M915" i="72"/>
  <c r="M916" i="72"/>
  <c r="M917" i="72"/>
  <c r="M918" i="72"/>
  <c r="M919" i="72"/>
  <c r="M920" i="72"/>
  <c r="M921" i="72"/>
  <c r="M922" i="72"/>
  <c r="M923" i="72"/>
  <c r="M924" i="72"/>
  <c r="M925" i="72"/>
  <c r="M926" i="72"/>
  <c r="M927" i="72"/>
  <c r="M928" i="72"/>
  <c r="M929" i="72"/>
  <c r="M930" i="72"/>
  <c r="M931" i="72"/>
  <c r="M932" i="72"/>
  <c r="M933" i="72"/>
  <c r="M934" i="72"/>
  <c r="M935" i="72"/>
  <c r="M936" i="72"/>
  <c r="M937" i="72"/>
  <c r="M938" i="72"/>
  <c r="M939" i="72"/>
  <c r="M940" i="72"/>
  <c r="M941" i="72"/>
  <c r="M942" i="72"/>
  <c r="M943" i="72"/>
  <c r="M944" i="72"/>
  <c r="M945" i="72"/>
  <c r="M946" i="72"/>
  <c r="M947" i="72"/>
  <c r="M948" i="72"/>
  <c r="M949" i="72"/>
  <c r="M950" i="72"/>
  <c r="M951" i="72"/>
  <c r="M952" i="72"/>
  <c r="M953" i="72"/>
  <c r="M954" i="72"/>
  <c r="M955" i="72"/>
  <c r="M956" i="72"/>
  <c r="M957" i="72"/>
  <c r="M958" i="72"/>
  <c r="M959" i="72"/>
  <c r="M960" i="72"/>
  <c r="M961" i="72"/>
  <c r="M962" i="72"/>
  <c r="M963" i="72"/>
  <c r="M964" i="72"/>
  <c r="M965" i="72"/>
  <c r="M966" i="72"/>
  <c r="M967" i="72"/>
  <c r="M968" i="72"/>
  <c r="M969" i="72"/>
  <c r="M970" i="72"/>
  <c r="M971" i="72"/>
  <c r="M972" i="72"/>
  <c r="M973" i="72"/>
  <c r="M974" i="72"/>
  <c r="M975" i="72"/>
  <c r="M976" i="72"/>
  <c r="M977" i="72"/>
  <c r="M978" i="72"/>
  <c r="M979" i="72"/>
  <c r="M980" i="72"/>
  <c r="M981" i="72"/>
  <c r="M982" i="72"/>
  <c r="M983" i="72"/>
  <c r="M984" i="72"/>
  <c r="M985" i="72"/>
  <c r="M986" i="72"/>
  <c r="M987" i="72"/>
  <c r="M988" i="72"/>
  <c r="M989" i="72"/>
  <c r="M990" i="72"/>
  <c r="M991" i="72"/>
  <c r="M992" i="72"/>
  <c r="M993" i="72"/>
  <c r="M994" i="72"/>
  <c r="M995" i="72"/>
  <c r="M996" i="72"/>
  <c r="M997" i="72"/>
  <c r="M998" i="72"/>
  <c r="M999" i="72"/>
  <c r="M1000" i="72"/>
  <c r="M1001" i="72"/>
  <c r="M1002" i="72"/>
  <c r="M1003" i="72"/>
  <c r="M1004" i="72"/>
  <c r="M1005" i="72"/>
  <c r="M1006" i="72"/>
  <c r="M1007" i="72"/>
  <c r="M1008" i="72"/>
  <c r="M1009" i="72"/>
  <c r="M1010" i="72"/>
  <c r="M1011" i="72"/>
  <c r="M1012" i="72"/>
  <c r="M1013" i="72"/>
  <c r="M1014" i="72"/>
  <c r="M1015" i="72"/>
  <c r="M1016" i="72"/>
  <c r="M1017" i="72"/>
  <c r="M1018" i="72"/>
  <c r="M1019" i="72"/>
  <c r="M1020" i="72"/>
  <c r="M1021" i="72"/>
  <c r="M1022" i="72"/>
  <c r="M1023" i="72"/>
  <c r="M1024" i="72"/>
  <c r="M1025" i="72"/>
  <c r="M1026" i="72"/>
  <c r="M1027" i="72"/>
  <c r="M1028" i="72"/>
  <c r="M1029" i="72"/>
  <c r="M1030" i="72"/>
  <c r="M1031" i="72"/>
  <c r="M1032" i="72"/>
  <c r="M1033" i="72"/>
  <c r="M1034" i="72"/>
  <c r="M1035" i="72"/>
  <c r="M1036" i="72"/>
  <c r="M1037" i="72"/>
  <c r="M1038" i="72"/>
  <c r="M1039" i="72"/>
  <c r="M1040" i="72"/>
  <c r="M1041" i="72"/>
  <c r="M1042" i="72"/>
  <c r="M1043" i="72"/>
  <c r="M1044" i="72"/>
  <c r="M1045" i="72"/>
  <c r="M1046" i="72"/>
  <c r="M1047" i="72"/>
  <c r="M1048" i="72"/>
  <c r="M1049" i="72"/>
  <c r="M1050" i="72"/>
  <c r="M1051" i="72"/>
  <c r="M1052" i="72"/>
  <c r="M1053" i="72"/>
  <c r="M1054" i="72"/>
  <c r="M1055" i="72"/>
  <c r="M1056" i="72"/>
  <c r="M1057" i="72"/>
  <c r="M1058" i="72"/>
  <c r="M1059" i="72"/>
  <c r="M1060" i="72"/>
  <c r="M1061" i="72"/>
  <c r="M1062" i="72"/>
  <c r="M1063" i="72"/>
  <c r="M1064" i="72"/>
  <c r="M1065" i="72"/>
  <c r="M1066" i="72"/>
  <c r="M1067" i="72"/>
  <c r="M1068" i="72"/>
  <c r="M1069" i="72"/>
  <c r="M1070" i="72"/>
  <c r="M1071" i="72"/>
  <c r="M1072" i="72"/>
  <c r="M1073" i="72"/>
  <c r="M1074" i="72"/>
  <c r="M1075" i="72"/>
  <c r="M1076" i="72"/>
  <c r="M1077" i="72"/>
  <c r="M1078" i="72"/>
  <c r="M1079" i="72"/>
  <c r="M1080" i="72"/>
  <c r="M1081" i="72"/>
  <c r="M1082" i="72"/>
  <c r="M1083" i="72"/>
  <c r="M1084" i="72"/>
  <c r="M1085" i="72"/>
  <c r="M1086" i="72"/>
  <c r="M1087" i="72"/>
  <c r="M1088" i="72"/>
  <c r="M1089" i="72"/>
  <c r="M1090" i="72"/>
  <c r="M1091" i="72"/>
  <c r="M1092" i="72"/>
  <c r="M1093" i="72"/>
  <c r="M1094" i="72"/>
  <c r="M1095" i="72"/>
  <c r="M1096" i="72"/>
  <c r="M1097" i="72"/>
  <c r="M1098" i="72"/>
  <c r="M1099" i="72"/>
  <c r="M1100" i="72"/>
  <c r="M1101" i="72"/>
  <c r="M1102" i="72"/>
  <c r="M1103" i="72"/>
  <c r="M1104" i="72"/>
  <c r="M1105" i="72"/>
  <c r="M1106" i="72"/>
  <c r="M1107" i="72"/>
  <c r="M1108" i="72"/>
  <c r="M1109" i="72"/>
  <c r="M1110" i="72"/>
  <c r="M1111" i="72"/>
  <c r="M1112" i="72"/>
  <c r="M1113" i="72"/>
  <c r="M1114" i="72"/>
  <c r="M1115" i="72"/>
  <c r="M1116" i="72"/>
  <c r="M1117" i="72"/>
  <c r="M1118" i="72"/>
  <c r="M1119" i="72"/>
  <c r="M1120" i="72"/>
  <c r="M1121" i="72"/>
  <c r="M1122" i="72"/>
  <c r="M1123" i="72"/>
  <c r="M1124" i="72"/>
  <c r="M1125" i="72"/>
  <c r="M1126" i="72"/>
  <c r="M1127" i="72"/>
  <c r="M1128" i="72"/>
  <c r="M1129" i="72"/>
  <c r="M1130" i="72"/>
  <c r="M1131" i="72"/>
  <c r="M1132" i="72"/>
  <c r="M1133" i="72"/>
  <c r="M1134" i="72"/>
  <c r="M1135" i="72"/>
  <c r="M1136" i="72"/>
  <c r="M1137" i="72"/>
  <c r="M1138" i="72"/>
  <c r="M1139" i="72"/>
  <c r="M1140" i="72"/>
  <c r="M1141" i="72"/>
  <c r="M1142" i="72"/>
  <c r="M1143" i="72"/>
  <c r="M1144" i="72"/>
  <c r="M1145" i="72"/>
  <c r="M1146" i="72"/>
  <c r="M1147" i="72"/>
  <c r="M1148" i="72"/>
  <c r="M1149" i="72"/>
  <c r="M1150" i="72"/>
  <c r="M1151" i="72"/>
  <c r="M1152" i="72"/>
  <c r="M1153" i="72"/>
  <c r="M1154" i="72"/>
  <c r="M1155" i="72"/>
  <c r="M1156" i="72"/>
  <c r="M1157" i="72"/>
  <c r="M1158" i="72"/>
  <c r="M1159" i="72"/>
  <c r="M1160" i="72"/>
  <c r="M1161" i="72"/>
  <c r="M1162" i="72"/>
  <c r="M1163" i="72"/>
  <c r="M1164" i="72"/>
  <c r="M1165" i="72"/>
  <c r="M1166" i="72"/>
  <c r="M1167" i="72"/>
  <c r="M1168" i="72"/>
  <c r="M1169" i="72"/>
  <c r="M1170" i="72"/>
  <c r="M1171" i="72"/>
  <c r="M1172" i="72"/>
  <c r="M1173" i="72"/>
  <c r="M1174" i="72"/>
  <c r="M1175" i="72"/>
  <c r="M1176" i="72"/>
  <c r="M1177" i="72"/>
  <c r="M1178" i="72"/>
  <c r="M1179" i="72"/>
  <c r="M1180" i="72"/>
  <c r="M1181" i="72"/>
  <c r="M1182" i="72"/>
  <c r="M1183" i="72"/>
  <c r="M1184" i="72"/>
  <c r="M1185" i="72"/>
  <c r="M1186" i="72"/>
  <c r="M1187" i="72"/>
  <c r="M1188" i="72"/>
  <c r="M1189" i="72"/>
  <c r="M1190" i="72"/>
  <c r="M1191" i="72"/>
  <c r="M1192" i="72"/>
  <c r="M1193" i="72"/>
  <c r="M1194" i="72"/>
  <c r="M1195" i="72"/>
  <c r="M1196" i="72"/>
  <c r="M1197" i="72"/>
  <c r="M1198" i="72"/>
  <c r="M1199" i="72"/>
  <c r="M1200" i="72"/>
  <c r="M1201" i="72"/>
  <c r="M1202" i="72"/>
  <c r="M1203" i="72"/>
  <c r="M1204" i="72"/>
  <c r="M1205" i="72"/>
  <c r="M1206" i="72"/>
  <c r="M1207" i="72"/>
  <c r="M1208" i="72"/>
  <c r="M1209" i="72"/>
  <c r="M1210" i="72"/>
  <c r="M1211" i="72"/>
  <c r="M1212" i="72"/>
  <c r="M1213" i="72"/>
  <c r="M1214" i="72"/>
  <c r="M1215" i="72"/>
  <c r="M1216" i="72"/>
  <c r="M1217" i="72"/>
  <c r="M1218" i="72"/>
  <c r="M1219" i="72"/>
  <c r="M1220" i="72"/>
  <c r="M1221" i="72"/>
  <c r="M1222" i="72"/>
  <c r="M1223" i="72"/>
  <c r="M1224" i="72"/>
  <c r="M1225" i="72"/>
  <c r="M1226" i="72"/>
  <c r="M1227" i="72"/>
  <c r="M1228" i="72"/>
  <c r="M1229" i="72"/>
  <c r="M1230" i="72"/>
  <c r="M1231" i="72"/>
  <c r="M1232" i="72"/>
  <c r="M1233" i="72"/>
  <c r="M1234" i="72"/>
  <c r="M1235" i="72"/>
  <c r="M1236" i="72"/>
  <c r="M1237" i="72"/>
  <c r="M1238" i="72"/>
  <c r="M1239" i="72"/>
  <c r="M1240" i="72"/>
  <c r="M1241" i="72"/>
  <c r="M1242" i="72"/>
  <c r="M1243" i="72"/>
  <c r="M1244" i="72"/>
  <c r="M1245" i="72"/>
  <c r="M1246" i="72"/>
  <c r="M1247" i="72"/>
  <c r="M1248" i="72"/>
  <c r="M1249" i="72"/>
  <c r="M1250" i="72"/>
  <c r="M1251" i="72"/>
  <c r="M1252" i="72"/>
  <c r="M1253" i="72"/>
  <c r="M1254" i="72"/>
  <c r="M1255" i="72"/>
  <c r="M1256" i="72"/>
  <c r="M1257" i="72"/>
  <c r="M1258" i="72"/>
  <c r="M1259" i="72"/>
  <c r="M1260" i="72"/>
  <c r="M1261" i="72"/>
  <c r="M1262" i="72"/>
  <c r="M1263" i="72"/>
  <c r="M1264" i="72"/>
  <c r="M1265" i="72"/>
  <c r="M1266" i="72"/>
  <c r="M1267" i="72"/>
  <c r="M1268" i="72"/>
  <c r="M1269" i="72"/>
  <c r="M1270" i="72"/>
  <c r="M1271" i="72"/>
  <c r="M1272" i="72"/>
  <c r="M1273" i="72"/>
  <c r="M1274" i="72"/>
  <c r="M1275" i="72"/>
  <c r="M1276" i="72"/>
  <c r="M1277" i="72"/>
  <c r="M1278" i="72"/>
  <c r="M1279" i="72"/>
  <c r="M1280" i="72"/>
  <c r="M1281" i="72"/>
  <c r="M1282" i="72"/>
  <c r="M1283" i="72"/>
  <c r="M1284" i="72"/>
  <c r="M1285" i="72"/>
  <c r="M1286" i="72"/>
  <c r="M1287" i="72"/>
  <c r="M1288" i="72"/>
  <c r="M1289" i="72"/>
  <c r="M1290" i="72"/>
  <c r="M1291" i="72"/>
  <c r="M1292" i="72"/>
  <c r="M1293" i="72"/>
  <c r="M1294" i="72"/>
  <c r="M1295" i="72"/>
  <c r="M1296" i="72"/>
  <c r="M1297" i="72"/>
  <c r="M1298" i="72"/>
  <c r="M1299" i="72"/>
  <c r="M1300" i="72"/>
  <c r="M1301" i="72"/>
  <c r="M1302" i="72"/>
  <c r="M1303" i="72"/>
  <c r="M1304" i="72"/>
  <c r="M1305" i="72"/>
  <c r="M1306" i="72"/>
  <c r="M1307" i="72"/>
  <c r="M1308" i="72"/>
  <c r="M1309" i="72"/>
  <c r="M1310" i="72"/>
  <c r="M1311" i="72"/>
  <c r="M1312" i="72"/>
  <c r="M1313" i="72"/>
  <c r="M1314" i="72"/>
  <c r="M1315" i="72"/>
  <c r="M1316" i="72"/>
  <c r="M1317" i="72"/>
  <c r="M1318" i="72"/>
  <c r="M1319" i="72"/>
  <c r="M1320" i="72"/>
  <c r="M1321" i="72"/>
  <c r="M1322" i="72"/>
  <c r="M1323" i="72"/>
  <c r="M1324" i="72"/>
  <c r="M1325" i="72"/>
  <c r="M1326" i="72"/>
  <c r="M1327" i="72"/>
  <c r="M1328" i="72"/>
  <c r="M1329" i="72"/>
  <c r="M1330" i="72"/>
  <c r="M1331" i="72"/>
  <c r="M1332" i="72"/>
  <c r="M1333" i="72"/>
  <c r="M1334" i="72"/>
  <c r="M1335" i="72"/>
  <c r="M1336" i="72"/>
  <c r="M1337" i="72"/>
  <c r="M1338" i="72"/>
  <c r="M1339" i="72"/>
  <c r="M1340" i="72"/>
  <c r="M1341" i="72"/>
  <c r="M1342" i="72"/>
  <c r="M1343" i="72"/>
  <c r="M1344" i="72"/>
  <c r="M1345" i="72"/>
  <c r="M1346" i="72"/>
  <c r="M1347" i="72"/>
  <c r="M1348" i="72"/>
  <c r="M1349" i="72"/>
  <c r="M1350" i="72"/>
  <c r="M1351" i="72"/>
  <c r="M1352" i="72"/>
  <c r="M1353" i="72"/>
  <c r="M1354" i="72"/>
  <c r="M1355" i="72"/>
  <c r="M1356" i="72"/>
  <c r="M1357" i="72"/>
  <c r="M1358" i="72"/>
  <c r="M1359" i="72"/>
  <c r="M1360" i="72"/>
  <c r="M1361" i="72"/>
  <c r="M1362" i="72"/>
  <c r="M1363" i="72"/>
  <c r="M1364" i="72"/>
  <c r="M1365" i="72"/>
  <c r="M1366" i="72"/>
  <c r="M1367" i="72"/>
  <c r="M1368" i="72"/>
  <c r="M1369" i="72"/>
  <c r="M1370" i="72"/>
  <c r="M1371" i="72"/>
  <c r="M1372" i="72"/>
  <c r="M1373" i="72"/>
  <c r="M1374" i="72"/>
  <c r="M1375" i="72"/>
  <c r="M1376" i="72"/>
  <c r="M1377" i="72"/>
  <c r="M1378" i="72"/>
  <c r="M1379" i="72"/>
  <c r="M1380" i="72"/>
  <c r="M1381" i="72"/>
  <c r="M1382" i="72"/>
  <c r="M1383" i="72"/>
  <c r="M1384" i="72"/>
  <c r="M1385" i="72"/>
  <c r="M1386" i="72"/>
  <c r="M1387" i="72"/>
  <c r="M1388" i="72"/>
  <c r="M1389" i="72"/>
  <c r="M1390" i="72"/>
  <c r="M1391" i="72"/>
  <c r="M1392" i="72"/>
  <c r="M1393" i="72"/>
  <c r="M1394" i="72"/>
  <c r="M1395" i="72"/>
  <c r="M1396" i="72"/>
  <c r="M1397" i="72"/>
  <c r="M1398" i="72"/>
  <c r="M1399" i="72"/>
  <c r="M1400" i="72"/>
  <c r="M1401" i="72"/>
  <c r="M1402" i="72"/>
  <c r="M1403" i="72"/>
  <c r="M1404" i="72"/>
  <c r="M1405" i="72"/>
  <c r="M1406" i="72"/>
  <c r="M1407" i="72"/>
  <c r="M1408" i="72"/>
  <c r="M1409" i="72"/>
  <c r="M1410" i="72"/>
  <c r="M1411" i="72"/>
  <c r="M1412" i="72"/>
  <c r="M1413" i="72"/>
  <c r="M1414" i="72"/>
  <c r="M1415" i="72"/>
  <c r="M1416" i="72"/>
  <c r="M1417" i="72"/>
  <c r="M1418" i="72"/>
  <c r="M1419" i="72"/>
  <c r="M1420" i="72"/>
  <c r="M1421" i="72"/>
  <c r="M1422" i="72"/>
  <c r="M1423" i="72"/>
  <c r="M1424" i="72"/>
  <c r="M1425" i="72"/>
  <c r="M1426" i="72"/>
  <c r="M1427" i="72"/>
  <c r="M1428" i="72"/>
  <c r="M1429" i="72"/>
  <c r="M1430" i="72"/>
  <c r="M1431" i="72"/>
  <c r="M1432" i="72"/>
  <c r="M1433" i="72"/>
  <c r="M1434" i="72"/>
  <c r="M1435" i="72"/>
  <c r="M1436" i="72"/>
  <c r="M1437" i="72"/>
  <c r="M1438" i="72"/>
  <c r="M1439" i="72"/>
  <c r="M1440" i="72"/>
  <c r="M1441" i="72"/>
  <c r="M1442" i="72"/>
  <c r="M1443" i="72"/>
  <c r="M1444" i="72"/>
  <c r="M1445" i="72"/>
  <c r="M1446" i="72"/>
  <c r="M1447" i="72"/>
  <c r="M1448" i="72"/>
  <c r="M1449" i="72"/>
  <c r="M1450" i="72"/>
  <c r="M1451" i="72"/>
  <c r="M1452" i="72"/>
  <c r="M1453" i="72"/>
  <c r="M1454" i="72"/>
  <c r="M1455" i="72"/>
  <c r="M1456" i="72"/>
  <c r="M1457" i="72"/>
  <c r="M1458" i="72"/>
  <c r="M1459" i="72"/>
  <c r="M1460" i="72"/>
  <c r="M1461" i="72"/>
  <c r="M1462" i="72"/>
  <c r="M1463" i="72"/>
  <c r="M1464" i="72"/>
  <c r="M1465" i="72"/>
  <c r="M1466" i="72"/>
  <c r="M1467" i="72"/>
  <c r="M1468" i="72"/>
  <c r="M1469" i="72"/>
  <c r="M1470" i="72"/>
  <c r="M1471" i="72"/>
  <c r="M1472" i="72"/>
  <c r="M1473" i="72"/>
  <c r="M1474" i="72"/>
  <c r="M1475" i="72"/>
  <c r="M1476" i="72"/>
  <c r="M1477" i="72"/>
  <c r="M1478" i="72"/>
  <c r="M1479" i="72"/>
  <c r="M1480" i="72"/>
  <c r="M1481" i="72"/>
  <c r="M1482" i="72"/>
  <c r="M1483" i="72"/>
  <c r="M1484" i="72"/>
  <c r="M1485" i="72"/>
  <c r="M1486" i="72"/>
  <c r="M1487" i="72"/>
  <c r="M1488" i="72"/>
  <c r="M1489" i="72"/>
  <c r="M1490" i="72"/>
  <c r="M1491" i="72"/>
  <c r="M1492" i="72"/>
  <c r="M1493" i="72"/>
  <c r="M1494" i="72"/>
  <c r="M1495" i="72"/>
  <c r="M1496" i="72"/>
  <c r="M1497" i="72"/>
  <c r="M1498" i="72"/>
  <c r="M1499" i="72"/>
  <c r="M1500" i="72"/>
  <c r="M1501" i="72"/>
  <c r="M1502" i="72"/>
  <c r="M1503" i="72"/>
  <c r="M1504" i="72"/>
  <c r="M1505" i="72"/>
  <c r="M1506" i="72"/>
  <c r="M1507" i="72"/>
  <c r="M1508" i="72"/>
  <c r="M1509" i="72"/>
  <c r="M1510" i="72"/>
  <c r="M1511" i="72"/>
  <c r="M1512" i="72"/>
  <c r="M1513" i="72"/>
  <c r="M1514" i="72"/>
  <c r="M1515" i="72"/>
  <c r="M1516" i="72"/>
  <c r="M1517" i="72"/>
  <c r="M1518" i="72"/>
  <c r="M1519" i="72"/>
  <c r="M1520" i="72"/>
  <c r="M1521" i="72"/>
  <c r="M1522" i="72"/>
  <c r="M1523" i="72"/>
  <c r="M1524" i="72"/>
  <c r="M1525" i="72"/>
  <c r="M1526" i="72"/>
  <c r="M1527" i="72"/>
  <c r="M1528" i="72"/>
  <c r="M1529" i="72"/>
  <c r="M1530" i="72"/>
  <c r="M1531" i="72"/>
  <c r="M1532" i="72"/>
  <c r="M1533" i="72"/>
  <c r="M1534" i="72"/>
  <c r="M1535" i="72"/>
  <c r="M1536" i="72"/>
  <c r="M1537" i="72"/>
  <c r="M1538" i="72"/>
  <c r="M1539" i="72"/>
  <c r="M1540" i="72"/>
  <c r="M1541" i="72"/>
  <c r="M1542" i="72"/>
  <c r="M1543" i="72"/>
  <c r="M1544" i="72"/>
  <c r="M1545" i="72"/>
  <c r="M1546" i="72"/>
  <c r="M1547" i="72"/>
  <c r="M1548" i="72"/>
  <c r="M1549" i="72"/>
  <c r="M1550" i="72"/>
  <c r="M1551" i="72"/>
  <c r="M1552" i="72"/>
  <c r="M1553" i="72"/>
  <c r="M1554" i="72"/>
  <c r="M1555" i="72"/>
  <c r="M1556" i="72"/>
  <c r="M1557" i="72"/>
  <c r="M1558" i="72"/>
  <c r="M1559" i="72"/>
  <c r="M1560" i="72"/>
  <c r="M1561" i="72"/>
  <c r="M1562" i="72"/>
  <c r="M1563" i="72"/>
  <c r="M1564" i="72"/>
  <c r="M1565" i="72"/>
  <c r="M1566" i="72"/>
  <c r="M1567" i="72"/>
  <c r="M1568" i="72"/>
  <c r="M1569" i="72"/>
  <c r="M1570" i="72"/>
  <c r="M1571" i="72"/>
  <c r="M1572" i="72"/>
  <c r="M1573" i="72"/>
  <c r="M1574" i="72"/>
  <c r="M1575" i="72"/>
  <c r="M1576" i="72"/>
  <c r="M1577" i="72"/>
  <c r="M1578" i="72"/>
  <c r="M1579" i="72"/>
  <c r="M1580" i="72"/>
  <c r="M1581" i="72"/>
  <c r="M1582" i="72"/>
  <c r="M1583" i="72"/>
  <c r="M1584" i="72"/>
  <c r="M1585" i="72"/>
  <c r="M1586" i="72"/>
  <c r="M1587" i="72"/>
  <c r="M1588" i="72"/>
  <c r="M1589" i="72"/>
  <c r="M1590" i="72"/>
  <c r="M1591" i="72"/>
  <c r="M1592" i="72"/>
  <c r="M1593" i="72"/>
  <c r="M1594" i="72"/>
  <c r="M1595" i="72"/>
  <c r="M1596" i="72"/>
  <c r="M1597" i="72"/>
  <c r="M1598" i="72"/>
  <c r="M1599" i="72"/>
  <c r="M1600" i="72"/>
  <c r="M1601" i="72"/>
  <c r="M1602" i="72"/>
  <c r="M1603" i="72"/>
  <c r="M1604" i="72"/>
  <c r="M1605" i="72"/>
  <c r="M1606" i="72"/>
  <c r="M1607" i="72"/>
  <c r="M1608" i="72"/>
  <c r="M1609" i="72"/>
  <c r="M1610" i="72"/>
  <c r="M1611" i="72"/>
  <c r="M1612" i="72"/>
  <c r="M1613" i="72"/>
  <c r="M1614" i="72"/>
  <c r="M1615" i="72"/>
  <c r="M1616" i="72"/>
  <c r="M1617" i="72"/>
  <c r="M1618" i="72"/>
  <c r="M1619" i="72"/>
  <c r="M1620" i="72"/>
  <c r="M1621" i="72"/>
  <c r="M1622" i="72"/>
  <c r="M1623" i="72"/>
  <c r="M1624" i="72"/>
  <c r="M1625" i="72"/>
  <c r="M1626" i="72"/>
  <c r="M1627" i="72"/>
  <c r="M1628" i="72"/>
  <c r="M1629" i="72"/>
  <c r="M1630" i="72"/>
  <c r="M1631" i="72"/>
  <c r="M1632" i="72"/>
  <c r="M1633" i="72"/>
  <c r="M1634" i="72"/>
  <c r="M1635" i="72"/>
  <c r="M1636" i="72"/>
  <c r="M1637" i="72"/>
  <c r="M1638" i="72"/>
  <c r="M1639" i="72"/>
  <c r="M1640" i="72"/>
  <c r="M1641" i="72"/>
  <c r="M1642" i="72"/>
  <c r="M1643" i="72"/>
  <c r="M1644" i="72"/>
  <c r="M1645" i="72"/>
  <c r="M1646" i="72"/>
  <c r="M1647" i="72"/>
  <c r="M1648" i="72"/>
  <c r="M1649" i="72"/>
  <c r="M1650" i="72"/>
  <c r="M1651" i="72"/>
  <c r="M1652" i="72"/>
  <c r="M1653" i="72"/>
  <c r="M1654" i="72"/>
  <c r="M1655" i="72"/>
  <c r="M1656" i="72"/>
  <c r="M1657" i="72"/>
  <c r="M1658" i="72"/>
  <c r="M1659" i="72"/>
  <c r="M1660" i="72"/>
  <c r="M1661" i="72"/>
  <c r="M1662" i="72"/>
  <c r="M1663" i="72"/>
  <c r="M1664" i="72"/>
  <c r="M1665" i="72"/>
  <c r="M1666" i="72"/>
  <c r="M1667" i="72"/>
  <c r="M1668" i="72"/>
  <c r="M1669" i="72"/>
  <c r="M1670" i="72"/>
  <c r="M1671" i="72"/>
  <c r="M1672" i="72"/>
  <c r="M1673" i="72"/>
  <c r="M1674" i="72"/>
  <c r="M1675" i="72"/>
  <c r="M1676" i="72"/>
  <c r="M1677" i="72"/>
  <c r="M1678" i="72"/>
  <c r="M1679" i="72"/>
  <c r="M1680" i="72"/>
  <c r="M1681" i="72"/>
  <c r="M1682" i="72"/>
  <c r="M1683" i="72"/>
  <c r="M1684" i="72"/>
  <c r="M1685" i="72"/>
  <c r="M1686" i="72"/>
  <c r="M1687" i="72"/>
  <c r="M1688" i="72"/>
  <c r="M1689" i="72"/>
  <c r="M1690" i="72"/>
  <c r="M1691" i="72"/>
  <c r="M1692" i="72"/>
  <c r="M1693" i="72"/>
  <c r="M1694" i="72"/>
  <c r="M1695" i="72"/>
  <c r="M1696" i="72"/>
  <c r="M1697" i="72"/>
  <c r="M1698" i="72"/>
  <c r="M1699" i="72"/>
  <c r="M1700" i="72"/>
  <c r="M1701" i="72"/>
  <c r="M1702" i="72"/>
  <c r="M1703" i="72"/>
  <c r="M1704" i="72"/>
  <c r="M1705" i="72"/>
  <c r="M1706" i="72"/>
  <c r="M1707" i="72"/>
  <c r="M1708" i="72"/>
  <c r="M1709" i="72"/>
  <c r="M1710" i="72"/>
  <c r="M1711" i="72"/>
  <c r="M1712" i="72"/>
  <c r="M1713" i="72"/>
  <c r="M1714" i="72"/>
  <c r="M1715" i="72"/>
  <c r="M1716" i="72"/>
  <c r="M1717" i="72"/>
  <c r="M1718" i="72"/>
  <c r="M1719" i="72"/>
  <c r="M1720" i="72"/>
  <c r="M1721" i="72"/>
  <c r="M1722" i="72"/>
  <c r="M1723" i="72"/>
  <c r="M1724" i="72"/>
  <c r="M1725" i="72"/>
  <c r="M1726" i="72"/>
  <c r="M1727" i="72"/>
  <c r="M1728" i="72"/>
  <c r="M1729" i="72"/>
  <c r="M1730" i="72"/>
  <c r="M1731" i="72"/>
  <c r="M1732" i="72"/>
  <c r="M1733" i="72"/>
  <c r="M1734" i="72"/>
  <c r="M1735" i="72"/>
  <c r="M1736" i="72"/>
  <c r="M1737" i="72"/>
  <c r="M1738" i="72"/>
  <c r="M1739" i="72"/>
  <c r="M1740" i="72"/>
  <c r="M1741" i="72"/>
  <c r="M1742" i="72"/>
  <c r="M1743" i="72"/>
  <c r="M1744" i="72"/>
  <c r="M1745" i="72"/>
  <c r="M1746" i="72"/>
  <c r="M1747" i="72"/>
  <c r="M1748" i="72"/>
  <c r="M1749" i="72"/>
  <c r="M1750" i="72"/>
  <c r="M1751" i="72"/>
  <c r="M1752" i="72"/>
  <c r="M1753" i="72"/>
  <c r="M1754" i="72"/>
  <c r="M1755" i="72"/>
  <c r="M1756" i="72"/>
  <c r="M1757" i="72"/>
  <c r="M1758" i="72"/>
  <c r="M1759" i="72"/>
  <c r="M1760" i="72"/>
  <c r="M1761" i="72"/>
  <c r="M1762" i="72"/>
  <c r="M1763" i="72"/>
  <c r="M1764" i="72"/>
  <c r="M1765" i="72"/>
  <c r="M1766" i="72"/>
  <c r="M1767" i="72"/>
  <c r="M1768" i="72"/>
  <c r="M1769" i="72"/>
  <c r="M1770" i="72"/>
  <c r="M1771" i="72"/>
  <c r="M1772" i="72"/>
  <c r="M1773" i="72"/>
  <c r="M1774" i="72"/>
  <c r="M1775" i="72"/>
  <c r="M1776" i="72"/>
  <c r="M1777" i="72"/>
  <c r="M1778" i="72"/>
  <c r="M1779" i="72"/>
  <c r="M1780" i="72"/>
  <c r="M1781" i="72"/>
  <c r="M1782" i="72"/>
  <c r="M1783" i="72"/>
  <c r="M1784" i="72"/>
  <c r="M1785" i="72"/>
  <c r="M1786" i="72"/>
  <c r="M1787" i="72"/>
  <c r="M1788" i="72"/>
  <c r="M1789" i="72"/>
  <c r="M1790" i="72"/>
  <c r="M1791" i="72"/>
  <c r="M1792" i="72"/>
  <c r="M1793" i="72"/>
  <c r="M1794" i="72"/>
  <c r="M1795" i="72"/>
  <c r="M1796" i="72"/>
  <c r="M1797" i="72"/>
  <c r="M1798" i="72"/>
  <c r="M1799" i="72"/>
  <c r="M1800" i="72"/>
  <c r="M1801" i="72"/>
  <c r="M1802" i="72"/>
  <c r="M1803" i="72"/>
  <c r="M1804" i="72"/>
  <c r="M1805" i="72"/>
  <c r="M1806" i="72"/>
  <c r="M1807" i="72"/>
  <c r="M1808" i="72"/>
  <c r="M1809" i="72"/>
  <c r="M1810" i="72"/>
  <c r="M1811" i="72"/>
  <c r="M1812" i="72"/>
  <c r="M1813" i="72"/>
  <c r="M1814" i="72"/>
  <c r="M1815" i="72"/>
  <c r="M1816" i="72"/>
  <c r="M1817" i="72"/>
  <c r="M1818" i="72"/>
  <c r="M1819" i="72"/>
  <c r="M1820" i="72"/>
  <c r="M1821" i="72"/>
  <c r="M1822" i="72"/>
  <c r="M1823" i="72"/>
  <c r="M1824" i="72"/>
  <c r="M1825" i="72"/>
  <c r="M1826" i="72"/>
  <c r="M1827" i="72"/>
  <c r="M1828" i="72"/>
  <c r="M1829" i="72"/>
  <c r="M1830" i="72"/>
  <c r="M1831" i="72"/>
  <c r="M1832" i="72"/>
  <c r="M1833" i="72"/>
  <c r="M1834" i="72"/>
  <c r="M1835" i="72"/>
  <c r="M1836" i="72"/>
  <c r="M1837" i="72"/>
  <c r="M1838" i="72"/>
  <c r="M1839" i="72"/>
  <c r="M1840" i="72"/>
  <c r="M1841" i="72"/>
  <c r="M1842" i="72"/>
  <c r="M1843" i="72"/>
  <c r="M1844" i="72"/>
  <c r="M1845" i="72"/>
  <c r="M1846" i="72"/>
  <c r="M1847" i="72"/>
  <c r="M1848" i="72"/>
  <c r="M1849" i="72"/>
  <c r="M1850" i="72"/>
  <c r="M1851" i="72"/>
  <c r="M1852" i="72"/>
  <c r="M1853" i="72"/>
  <c r="M1854" i="72"/>
  <c r="M1855" i="72"/>
  <c r="M1856" i="72"/>
  <c r="M1857" i="72"/>
  <c r="M1858" i="72"/>
  <c r="M1859" i="72"/>
  <c r="M1860" i="72"/>
  <c r="M1861" i="72"/>
  <c r="M1862" i="72"/>
  <c r="M1863" i="72"/>
  <c r="M1864" i="72"/>
  <c r="M1865" i="72"/>
  <c r="M1866" i="72"/>
  <c r="M1867" i="72"/>
  <c r="M1868" i="72"/>
  <c r="M1869" i="72"/>
  <c r="M1870" i="72"/>
  <c r="M1871" i="72"/>
  <c r="M1872" i="72"/>
  <c r="M1873" i="72"/>
  <c r="M1874" i="72"/>
  <c r="M1875" i="72"/>
  <c r="M1876" i="72"/>
  <c r="M1877" i="72"/>
  <c r="M1878" i="72"/>
  <c r="M1879" i="72"/>
  <c r="M1880" i="72"/>
  <c r="M1881" i="72"/>
  <c r="M1882" i="72"/>
  <c r="M1883" i="72"/>
  <c r="M1884" i="72"/>
  <c r="M1885" i="72"/>
  <c r="M1886" i="72"/>
  <c r="M1887" i="72"/>
  <c r="M1888" i="72"/>
  <c r="M1889" i="72"/>
  <c r="M1890" i="72"/>
  <c r="M1891" i="72"/>
  <c r="M1892" i="72"/>
  <c r="M1893" i="72"/>
  <c r="M1894" i="72"/>
  <c r="M1895" i="72"/>
  <c r="M1896" i="72"/>
  <c r="M1897" i="72"/>
  <c r="M1898" i="72"/>
  <c r="M1899" i="72"/>
  <c r="M1900" i="72"/>
  <c r="M1901" i="72"/>
  <c r="M1902" i="72"/>
  <c r="M1903" i="72"/>
  <c r="M1904" i="72"/>
  <c r="M1905" i="72"/>
  <c r="M1906" i="72"/>
  <c r="M1907" i="72"/>
  <c r="M1908" i="72"/>
  <c r="M1909" i="72"/>
  <c r="M1910" i="72"/>
  <c r="M1911" i="72"/>
  <c r="M1912" i="72"/>
  <c r="M1913" i="72"/>
  <c r="M1914" i="72"/>
  <c r="M1915" i="72"/>
  <c r="M1916" i="72"/>
  <c r="M1917" i="72"/>
  <c r="M1918" i="72"/>
  <c r="M1919" i="72"/>
  <c r="M1920" i="72"/>
  <c r="M1921" i="72"/>
  <c r="M1922" i="72"/>
  <c r="M1923" i="72"/>
  <c r="M1924" i="72"/>
  <c r="M1925" i="72"/>
  <c r="M1926" i="72"/>
  <c r="M1927" i="72"/>
  <c r="M1928" i="72"/>
  <c r="M1929" i="72"/>
  <c r="M1930" i="72"/>
  <c r="M1931" i="72"/>
  <c r="M1932" i="72"/>
  <c r="M1933" i="72"/>
  <c r="M1934" i="72"/>
  <c r="M1935" i="72"/>
  <c r="M1936" i="72"/>
  <c r="M1937" i="72"/>
  <c r="M1938" i="72"/>
  <c r="M1939" i="72"/>
  <c r="M1940" i="72"/>
  <c r="M1941" i="72"/>
  <c r="M1942" i="72"/>
  <c r="M1943" i="72"/>
  <c r="M1944" i="72"/>
  <c r="M1945" i="72"/>
  <c r="M1946" i="72"/>
  <c r="M1947" i="72"/>
  <c r="M1948" i="72"/>
  <c r="M1949" i="72"/>
  <c r="M1950" i="72"/>
  <c r="M1951" i="72"/>
  <c r="M1952" i="72"/>
  <c r="M1953" i="72"/>
  <c r="M1954" i="72"/>
  <c r="M1955" i="72"/>
  <c r="M1956" i="72"/>
  <c r="M1957" i="72"/>
  <c r="M1958" i="72"/>
  <c r="M1959" i="72"/>
  <c r="M1960" i="72"/>
  <c r="M1961" i="72"/>
  <c r="M1962" i="72"/>
  <c r="M1963" i="72"/>
  <c r="M1964" i="72"/>
  <c r="M1965" i="72"/>
  <c r="M1966" i="72"/>
  <c r="M1967" i="72"/>
  <c r="M1968" i="72"/>
  <c r="M1969" i="72"/>
  <c r="M1970" i="72"/>
  <c r="M1971" i="72"/>
  <c r="M1972" i="72"/>
  <c r="M1973" i="72"/>
  <c r="M1974" i="72"/>
  <c r="M1975" i="72"/>
  <c r="M1976" i="72"/>
  <c r="M1977" i="72"/>
  <c r="M1978" i="72"/>
  <c r="M1979" i="72"/>
  <c r="M1980" i="72"/>
  <c r="M1981" i="72"/>
  <c r="M1982" i="72"/>
  <c r="M1983" i="72"/>
  <c r="M1984" i="72"/>
  <c r="M1985" i="72"/>
  <c r="M1986" i="72"/>
  <c r="M1987" i="72"/>
  <c r="M1988" i="72"/>
  <c r="M1989" i="72"/>
  <c r="M1990" i="72"/>
  <c r="M1991" i="72"/>
  <c r="M1992" i="72"/>
  <c r="M1993" i="72"/>
  <c r="M1994" i="72"/>
  <c r="M1995" i="72"/>
  <c r="M1996" i="72"/>
  <c r="M1997" i="72"/>
  <c r="M1998" i="72"/>
  <c r="M1999" i="72"/>
  <c r="M2000" i="72"/>
  <c r="M2001" i="72"/>
  <c r="M2002" i="72"/>
  <c r="M2003" i="72"/>
  <c r="M2004" i="72"/>
  <c r="M2005" i="72"/>
  <c r="M2006" i="72"/>
  <c r="M2007" i="72"/>
  <c r="M2008" i="72"/>
  <c r="M2009" i="72"/>
  <c r="M2010" i="72"/>
  <c r="M2011" i="72"/>
  <c r="M2012" i="72"/>
  <c r="M2013" i="72"/>
  <c r="M2014" i="72"/>
  <c r="M2015" i="72"/>
  <c r="M2016" i="72"/>
  <c r="M2017" i="72"/>
  <c r="M2018" i="72"/>
  <c r="M2019" i="72"/>
  <c r="M2020" i="72"/>
  <c r="M2021" i="72"/>
  <c r="M2022" i="72"/>
  <c r="M2023" i="72"/>
  <c r="M2024" i="72"/>
  <c r="M2025" i="72"/>
  <c r="M2026" i="72"/>
  <c r="M2027" i="72"/>
  <c r="M2028" i="72"/>
  <c r="M2029" i="72"/>
  <c r="M2030" i="72"/>
  <c r="M2031" i="72"/>
  <c r="M2032" i="72"/>
  <c r="M2033" i="72"/>
  <c r="M2034" i="72"/>
  <c r="M2035" i="72"/>
  <c r="M2036" i="72"/>
  <c r="M2037" i="72"/>
  <c r="M2038" i="72"/>
  <c r="M2039" i="72"/>
  <c r="M2040" i="72"/>
  <c r="M2041" i="72"/>
  <c r="M2042" i="72"/>
  <c r="M2043" i="72"/>
  <c r="M2044" i="72"/>
  <c r="M2045" i="72"/>
  <c r="M2046" i="72"/>
  <c r="M2047" i="72"/>
  <c r="M2048" i="72"/>
  <c r="M2049" i="72"/>
  <c r="M2050" i="72"/>
  <c r="M2051" i="72"/>
  <c r="M2052" i="72"/>
  <c r="M2053" i="72"/>
  <c r="M2054" i="72"/>
  <c r="M2055" i="72"/>
  <c r="M2056" i="72"/>
  <c r="M2057" i="72"/>
  <c r="M2058" i="72"/>
  <c r="M2059" i="72"/>
  <c r="M2060" i="72"/>
  <c r="M2061" i="72"/>
  <c r="M2062" i="72"/>
  <c r="M2063" i="72"/>
  <c r="M2064" i="72"/>
  <c r="M2065" i="72"/>
  <c r="M2066" i="72"/>
  <c r="M2067" i="72"/>
  <c r="M2068" i="72"/>
  <c r="M2069" i="72"/>
  <c r="M2070" i="72"/>
  <c r="M2071" i="72"/>
  <c r="M2072" i="72"/>
  <c r="M2073" i="72"/>
  <c r="M2074" i="72"/>
  <c r="M2075" i="72"/>
  <c r="M2076" i="72"/>
  <c r="M2077" i="72"/>
  <c r="M2078" i="72"/>
  <c r="M2079" i="72"/>
  <c r="M2080" i="72"/>
  <c r="M2081" i="72"/>
  <c r="M2082" i="72"/>
  <c r="M2083" i="72"/>
  <c r="M2084" i="72"/>
  <c r="M2085" i="72"/>
  <c r="M2086" i="72"/>
  <c r="M2087" i="72"/>
  <c r="M2088" i="72"/>
  <c r="M2089" i="72"/>
  <c r="M2090" i="72"/>
  <c r="M2091" i="72"/>
  <c r="M2092" i="72"/>
  <c r="M2093" i="72"/>
  <c r="M2094" i="72"/>
  <c r="M2095" i="72"/>
  <c r="M2096" i="72"/>
  <c r="M2097" i="72"/>
  <c r="M2098" i="72"/>
  <c r="M2099" i="72"/>
  <c r="M2100" i="72"/>
  <c r="M2101" i="72"/>
  <c r="M2102" i="72"/>
  <c r="M2103" i="72"/>
  <c r="M2104" i="72"/>
  <c r="M2105" i="72"/>
  <c r="M2106" i="72"/>
  <c r="M2107" i="72"/>
  <c r="M2108" i="72"/>
  <c r="M2109" i="72"/>
  <c r="M2110" i="72"/>
  <c r="M2111" i="72"/>
  <c r="M2112" i="72"/>
  <c r="M2113" i="72"/>
  <c r="M2114" i="72"/>
  <c r="M2115" i="72"/>
  <c r="M2116" i="72"/>
  <c r="M2117" i="72"/>
  <c r="M2118" i="72"/>
  <c r="M2119" i="72"/>
  <c r="M2120" i="72"/>
  <c r="M2121" i="72"/>
  <c r="M2122" i="72"/>
  <c r="M2123" i="72"/>
  <c r="M2124" i="72"/>
  <c r="M2125" i="72"/>
  <c r="M2126" i="72"/>
  <c r="M2127" i="72"/>
  <c r="M2128" i="72"/>
  <c r="M2129" i="72"/>
  <c r="M2130" i="72"/>
  <c r="M2131" i="72"/>
  <c r="M2132" i="72"/>
  <c r="M2133" i="72"/>
  <c r="M2134" i="72"/>
  <c r="M2135" i="72"/>
  <c r="M2136" i="72"/>
  <c r="M2137" i="72"/>
  <c r="M2138" i="72"/>
  <c r="M2139" i="72"/>
  <c r="M2140" i="72"/>
  <c r="M2141" i="72"/>
  <c r="M2142" i="72"/>
  <c r="M2143" i="72"/>
  <c r="M2144" i="72"/>
  <c r="M2145" i="72"/>
  <c r="M2146" i="72"/>
  <c r="M2147" i="72"/>
  <c r="M2148" i="72"/>
  <c r="M2149" i="72"/>
  <c r="M2150" i="72"/>
  <c r="M2151" i="72"/>
  <c r="M2152" i="72"/>
  <c r="M2153" i="72"/>
  <c r="M2154" i="72"/>
  <c r="M2155" i="72"/>
  <c r="M2156" i="72"/>
  <c r="M2157" i="72"/>
  <c r="M2158" i="72"/>
  <c r="M2159" i="72"/>
  <c r="M2160" i="72"/>
  <c r="M2161" i="72"/>
  <c r="M2162" i="72"/>
  <c r="M2163" i="72"/>
  <c r="M2164" i="72"/>
  <c r="M2165" i="72"/>
  <c r="M2166" i="72"/>
  <c r="M2167" i="72"/>
  <c r="M2168" i="72"/>
  <c r="M2169" i="72"/>
  <c r="M2170" i="72"/>
  <c r="M2171" i="72"/>
  <c r="M2172" i="72"/>
  <c r="M2173" i="72"/>
  <c r="M2174" i="72"/>
  <c r="M2175" i="72"/>
  <c r="M2176" i="72"/>
  <c r="M2177" i="72"/>
  <c r="M2178" i="72"/>
  <c r="M2179" i="72"/>
  <c r="M2180" i="72"/>
  <c r="M2181" i="72"/>
  <c r="M2182" i="72"/>
  <c r="M2183" i="72"/>
  <c r="M2184" i="72"/>
  <c r="M2185" i="72"/>
  <c r="M2186" i="72"/>
  <c r="M2187" i="72"/>
  <c r="M2188" i="72"/>
  <c r="M2189" i="72"/>
  <c r="M2190" i="72"/>
  <c r="M2191" i="72"/>
  <c r="M2192" i="72"/>
  <c r="M2193" i="72"/>
  <c r="M2194" i="72"/>
  <c r="M2195" i="72"/>
  <c r="M2196" i="72"/>
  <c r="M2197" i="72"/>
  <c r="M2198" i="72"/>
  <c r="M2199" i="72"/>
  <c r="M2200" i="72"/>
  <c r="M2201" i="72"/>
  <c r="M2202" i="72"/>
  <c r="M2203" i="72"/>
  <c r="M2204" i="72"/>
  <c r="M2205" i="72"/>
  <c r="M2206" i="72"/>
  <c r="M2207" i="72"/>
  <c r="M2208" i="72"/>
  <c r="M2209" i="72"/>
  <c r="M2210" i="72"/>
  <c r="M2211" i="72"/>
  <c r="M2212" i="72"/>
  <c r="M2213" i="72"/>
  <c r="M2214" i="72"/>
  <c r="M2215" i="72"/>
  <c r="M2216" i="72"/>
  <c r="M2217" i="72"/>
  <c r="M2218" i="72"/>
  <c r="M2219" i="72"/>
  <c r="M2220" i="72"/>
  <c r="M2221" i="72"/>
  <c r="M2222" i="72"/>
  <c r="M2223" i="72"/>
  <c r="M2224" i="72"/>
  <c r="M2225" i="72"/>
  <c r="M2226" i="72"/>
  <c r="M2227" i="72"/>
  <c r="M2228" i="72"/>
  <c r="M2229" i="72"/>
  <c r="M2230" i="72"/>
  <c r="M2231" i="72"/>
  <c r="M2232" i="72"/>
  <c r="M2233" i="72"/>
  <c r="M2234" i="72"/>
  <c r="M2235" i="72"/>
  <c r="M2236" i="72"/>
  <c r="M2237" i="72"/>
  <c r="M2238" i="72"/>
  <c r="M2239" i="72"/>
  <c r="M2240" i="72"/>
  <c r="M2241" i="72"/>
  <c r="M2242" i="72"/>
  <c r="M2243" i="72"/>
  <c r="M2244" i="72"/>
  <c r="M2245" i="72"/>
  <c r="M2246" i="72"/>
  <c r="M2247" i="72"/>
  <c r="M2248" i="72"/>
  <c r="M2249" i="72"/>
  <c r="M2250" i="72"/>
  <c r="M2251" i="72"/>
  <c r="M2252" i="72"/>
  <c r="M2253" i="72"/>
  <c r="M2254" i="72"/>
  <c r="M2255" i="72"/>
  <c r="M2256" i="72"/>
  <c r="M2257" i="72"/>
  <c r="M2258" i="72"/>
  <c r="M2259" i="72"/>
  <c r="M2260" i="72"/>
  <c r="M2261" i="72"/>
  <c r="M2262" i="72"/>
  <c r="M2263" i="72"/>
  <c r="M2264" i="72"/>
  <c r="M2265" i="72"/>
  <c r="M2266" i="72"/>
  <c r="M2267" i="72"/>
  <c r="M2268" i="72"/>
  <c r="M2269" i="72"/>
  <c r="M2270" i="72"/>
  <c r="M2271" i="72"/>
  <c r="M2272" i="72"/>
  <c r="M2273" i="72"/>
  <c r="M2274" i="72"/>
  <c r="M2275" i="72"/>
  <c r="M2276" i="72"/>
  <c r="M2277" i="72"/>
  <c r="M2278" i="72"/>
  <c r="M2279" i="72"/>
  <c r="M2280" i="72"/>
  <c r="M2281" i="72"/>
  <c r="M2282" i="72"/>
  <c r="M2283" i="72"/>
  <c r="M2284" i="72"/>
  <c r="M2285" i="72"/>
  <c r="M2286" i="72"/>
  <c r="M2287" i="72"/>
  <c r="M2288" i="72"/>
  <c r="M2289" i="72"/>
  <c r="M2290" i="72"/>
  <c r="M2291" i="72"/>
  <c r="M2292" i="72"/>
  <c r="M2293" i="72"/>
  <c r="M2294" i="72"/>
  <c r="M2295" i="72"/>
  <c r="M2296" i="72"/>
  <c r="M2297" i="72"/>
  <c r="M2298" i="72"/>
  <c r="M2299" i="72"/>
  <c r="M2300" i="72"/>
  <c r="M2301" i="72"/>
  <c r="M2302" i="72"/>
  <c r="M2303" i="72"/>
  <c r="M2304" i="72"/>
  <c r="M2305" i="72"/>
  <c r="M2306" i="72"/>
  <c r="M2307" i="72"/>
  <c r="M2308" i="72"/>
  <c r="M2309" i="72"/>
  <c r="M2310" i="72"/>
  <c r="M2311" i="72"/>
  <c r="M2312" i="72"/>
  <c r="M2313" i="72"/>
  <c r="M2314" i="72"/>
  <c r="M2315" i="72"/>
  <c r="M2316" i="72"/>
  <c r="M2317" i="72"/>
  <c r="M2318" i="72"/>
  <c r="M2319" i="72"/>
  <c r="M2320" i="72"/>
  <c r="M2321" i="72"/>
  <c r="M2322" i="72"/>
  <c r="M2323" i="72"/>
  <c r="M2324" i="72"/>
  <c r="M2325" i="72"/>
  <c r="M2326" i="72"/>
  <c r="M2327" i="72"/>
  <c r="M2328" i="72"/>
  <c r="M2329" i="72"/>
  <c r="M2330" i="72"/>
  <c r="M2331" i="72"/>
  <c r="M2332" i="72"/>
  <c r="M2333" i="72"/>
  <c r="M2334" i="72"/>
  <c r="M2335" i="72"/>
  <c r="M2336" i="72"/>
  <c r="M2337" i="72"/>
  <c r="M2338" i="72"/>
  <c r="M2339" i="72"/>
  <c r="M2340" i="72"/>
  <c r="M2341" i="72"/>
  <c r="M2342" i="72"/>
  <c r="M2343" i="72"/>
  <c r="M2344" i="72"/>
  <c r="M2345" i="72"/>
  <c r="M2346" i="72"/>
  <c r="M2347" i="72"/>
  <c r="M2348" i="72"/>
  <c r="M2349" i="72"/>
  <c r="M2350" i="72"/>
  <c r="M2351" i="72"/>
  <c r="M2352" i="72"/>
  <c r="M2353" i="72"/>
  <c r="M2354" i="72"/>
  <c r="M2355" i="72"/>
  <c r="M2356" i="72"/>
  <c r="M2357" i="72"/>
  <c r="M2358" i="72"/>
  <c r="M2359" i="72"/>
  <c r="M2360" i="72"/>
  <c r="M2361" i="72"/>
  <c r="M2362" i="72"/>
  <c r="M2363" i="72"/>
  <c r="M2364" i="72"/>
  <c r="M2365" i="72"/>
  <c r="M2366" i="72"/>
  <c r="M2367" i="72"/>
  <c r="M2368" i="72"/>
  <c r="M2369" i="72"/>
  <c r="M2370" i="72"/>
  <c r="M2371" i="72"/>
  <c r="M2372" i="72"/>
  <c r="M2373" i="72"/>
  <c r="M2374" i="72"/>
  <c r="M2375" i="72"/>
  <c r="M2376" i="72"/>
  <c r="M2377" i="72"/>
  <c r="M2378" i="72"/>
  <c r="M2379" i="72"/>
  <c r="M2380" i="72"/>
  <c r="M2381" i="72"/>
  <c r="M2382" i="72"/>
  <c r="M2383" i="72"/>
  <c r="M2384" i="72"/>
  <c r="M2385" i="72"/>
  <c r="M2386" i="72"/>
  <c r="M2387" i="72"/>
  <c r="M2388" i="72"/>
  <c r="M2389" i="72"/>
  <c r="M2390" i="72"/>
  <c r="M2391" i="72"/>
  <c r="M2392" i="72"/>
  <c r="M2393" i="72"/>
  <c r="M2394" i="72"/>
  <c r="M2395" i="72"/>
  <c r="M2396" i="72"/>
  <c r="M2397" i="72"/>
  <c r="M2398" i="72"/>
  <c r="M2399" i="72"/>
  <c r="M2400" i="72"/>
  <c r="M2401" i="72"/>
  <c r="M2402" i="72"/>
  <c r="M2403" i="72"/>
  <c r="M2404" i="72"/>
  <c r="M2405" i="72"/>
  <c r="M2406" i="72"/>
  <c r="M2407" i="72"/>
  <c r="M2408" i="72"/>
  <c r="M2409" i="72"/>
  <c r="M2410" i="72"/>
  <c r="M2411" i="72"/>
  <c r="M2412" i="72"/>
  <c r="M2413" i="72"/>
  <c r="M2414" i="72"/>
  <c r="M2415" i="72"/>
  <c r="M2416" i="72"/>
  <c r="M2417" i="72"/>
  <c r="M2418" i="72"/>
  <c r="M2419" i="72"/>
  <c r="M2420" i="72"/>
  <c r="M2421" i="72"/>
  <c r="M2422" i="72"/>
  <c r="M2423" i="72"/>
  <c r="M2424" i="72"/>
  <c r="M2425" i="72"/>
  <c r="M2426" i="72"/>
  <c r="M2427" i="72"/>
  <c r="M2428" i="72"/>
  <c r="M2429" i="72"/>
  <c r="M2430" i="72"/>
  <c r="M2431" i="72"/>
  <c r="M2432" i="72"/>
  <c r="M2433" i="72"/>
  <c r="M2434" i="72"/>
  <c r="M2435" i="72"/>
  <c r="M2436" i="72"/>
  <c r="M2437" i="72"/>
  <c r="M2438" i="72"/>
  <c r="M2439" i="72"/>
  <c r="M2440" i="72"/>
  <c r="M2441" i="72"/>
  <c r="M2442" i="72"/>
  <c r="M2443" i="72"/>
  <c r="M2444" i="72"/>
  <c r="M2445" i="72"/>
  <c r="M2446" i="72"/>
  <c r="M2447" i="72"/>
  <c r="M2448" i="72"/>
  <c r="M2449" i="72"/>
  <c r="M2450" i="72"/>
  <c r="M2451" i="72"/>
  <c r="M2452" i="72"/>
  <c r="M2453" i="72"/>
  <c r="M2454" i="72"/>
  <c r="M2455" i="72"/>
  <c r="M2456" i="72"/>
  <c r="M2457" i="72"/>
  <c r="M2458" i="72"/>
  <c r="M2459" i="72"/>
  <c r="M2460" i="72"/>
  <c r="M2461" i="72"/>
  <c r="M2462" i="72"/>
  <c r="M2463" i="72"/>
  <c r="M2464" i="72"/>
  <c r="M2465" i="72"/>
  <c r="M2466" i="72"/>
  <c r="M2467" i="72"/>
  <c r="M2468" i="72"/>
  <c r="M2469" i="72"/>
  <c r="M2470" i="72"/>
  <c r="M2471" i="72"/>
  <c r="M2472" i="72"/>
  <c r="M2473" i="72"/>
  <c r="M2474" i="72"/>
  <c r="M2475" i="72"/>
  <c r="M2476" i="72"/>
  <c r="M2477" i="72"/>
  <c r="M2478" i="72"/>
  <c r="M2479" i="72"/>
  <c r="M2480" i="72"/>
  <c r="M2481" i="72"/>
  <c r="M2482" i="72"/>
  <c r="M2483" i="72"/>
  <c r="M2484" i="72"/>
  <c r="M2485" i="72"/>
  <c r="M2486" i="72"/>
  <c r="M2487" i="72"/>
  <c r="M2488" i="72"/>
  <c r="M2489" i="72"/>
  <c r="M2490" i="72"/>
  <c r="M2491" i="72"/>
  <c r="M2492" i="72"/>
  <c r="M2493" i="72"/>
  <c r="M2494" i="72"/>
  <c r="M2495" i="72"/>
  <c r="M2496" i="72"/>
  <c r="M2497" i="72"/>
  <c r="M2498" i="72"/>
  <c r="M2499" i="72"/>
  <c r="M2500" i="72"/>
  <c r="M2501" i="72"/>
  <c r="M2502" i="72"/>
  <c r="M2503" i="72"/>
  <c r="M2504" i="72"/>
  <c r="M2505" i="72"/>
  <c r="M2506" i="72"/>
  <c r="M2507" i="72"/>
  <c r="M2508" i="72"/>
  <c r="M2509" i="72"/>
  <c r="M2510" i="72"/>
  <c r="M2511" i="72"/>
  <c r="M2512" i="72"/>
  <c r="M2513" i="72"/>
  <c r="M2514" i="72"/>
  <c r="M2515" i="72"/>
  <c r="M2516" i="72"/>
  <c r="M2517" i="72"/>
  <c r="M2518" i="72"/>
  <c r="M2519" i="72"/>
  <c r="M2520" i="72"/>
  <c r="M2521" i="72"/>
  <c r="M2522" i="72"/>
  <c r="M2523" i="72"/>
  <c r="M2524" i="72"/>
  <c r="M2525" i="72"/>
  <c r="M2526" i="72"/>
  <c r="M2527" i="72"/>
  <c r="M2528" i="72"/>
  <c r="M2529" i="72"/>
  <c r="M2530" i="72"/>
  <c r="M2531" i="72"/>
  <c r="M2532" i="72"/>
  <c r="M2533" i="72"/>
  <c r="M2534" i="72"/>
  <c r="M2535" i="72"/>
  <c r="M2536" i="72"/>
  <c r="M2537" i="72"/>
  <c r="M2538" i="72"/>
  <c r="M2539" i="72"/>
  <c r="M2540" i="72"/>
  <c r="M2541" i="72"/>
  <c r="M2542" i="72"/>
  <c r="M2543" i="72"/>
  <c r="M2544" i="72"/>
  <c r="M2545" i="72"/>
  <c r="M2546" i="72"/>
  <c r="M2547" i="72"/>
  <c r="M2548" i="72"/>
  <c r="M2549" i="72"/>
  <c r="M2550" i="72"/>
  <c r="M2551" i="72"/>
  <c r="M2552" i="72"/>
  <c r="M2553" i="72"/>
  <c r="M2554" i="72"/>
  <c r="M2555" i="72"/>
  <c r="M2556" i="72"/>
  <c r="M2557" i="72"/>
  <c r="M2558" i="72"/>
  <c r="M2559" i="72"/>
  <c r="M2560" i="72"/>
  <c r="M2561" i="72"/>
  <c r="M2562" i="72"/>
  <c r="M2563" i="72"/>
  <c r="M2564" i="72"/>
  <c r="M2565" i="72"/>
  <c r="M2566" i="72"/>
  <c r="M2567" i="72"/>
  <c r="M2568" i="72"/>
  <c r="M2569" i="72"/>
  <c r="M2570" i="72"/>
  <c r="M2571" i="72"/>
  <c r="M2572" i="72"/>
  <c r="M2573" i="72"/>
  <c r="M2574" i="72"/>
  <c r="M2575" i="72"/>
  <c r="M2576" i="72"/>
  <c r="M2577" i="72"/>
  <c r="M2578" i="72"/>
  <c r="M2579" i="72"/>
  <c r="M2580" i="72"/>
  <c r="M2581" i="72"/>
  <c r="M2582" i="72"/>
  <c r="M2583" i="72"/>
  <c r="M2584" i="72"/>
  <c r="M2585" i="72"/>
  <c r="M2586" i="72"/>
  <c r="M2587" i="72"/>
  <c r="M2588" i="72"/>
  <c r="M2589" i="72"/>
  <c r="M2590" i="72"/>
  <c r="M2591" i="72"/>
  <c r="M2592" i="72"/>
  <c r="M2593" i="72"/>
  <c r="M2594" i="72"/>
  <c r="M2595" i="72"/>
  <c r="M2596" i="72"/>
  <c r="M2597" i="72"/>
  <c r="M2598" i="72"/>
  <c r="M2599" i="72"/>
  <c r="M2600" i="72"/>
  <c r="M2601" i="72"/>
  <c r="M2602" i="72"/>
  <c r="M2603" i="72"/>
  <c r="M2604" i="72"/>
  <c r="M2605" i="72"/>
  <c r="M2606" i="72"/>
  <c r="M2607" i="72"/>
  <c r="M2608" i="72"/>
  <c r="M2609" i="72"/>
  <c r="M2610" i="72"/>
  <c r="M2611" i="72"/>
  <c r="M2612" i="72"/>
  <c r="M2613" i="72"/>
  <c r="M2614" i="72"/>
  <c r="M2615" i="72"/>
  <c r="M2616" i="72"/>
  <c r="M2617" i="72"/>
  <c r="M2618" i="72"/>
  <c r="M2619" i="72"/>
  <c r="M2620" i="72"/>
  <c r="M2621" i="72"/>
  <c r="M2622" i="72"/>
  <c r="M2623" i="72"/>
  <c r="M2624" i="72"/>
  <c r="M2625" i="72"/>
  <c r="M2626" i="72"/>
  <c r="M2627" i="72"/>
  <c r="M2628" i="72"/>
  <c r="M2629" i="72"/>
  <c r="M2630" i="72"/>
  <c r="M2631" i="72"/>
  <c r="M2632" i="72"/>
  <c r="M2633" i="72"/>
  <c r="M2634" i="72"/>
  <c r="M2635" i="72"/>
  <c r="M2636" i="72"/>
  <c r="M2637" i="72"/>
  <c r="M2638" i="72"/>
  <c r="M2639" i="72"/>
  <c r="M2640" i="72"/>
  <c r="M2641" i="72"/>
  <c r="M2642" i="72"/>
  <c r="M2643" i="72"/>
  <c r="M2644" i="72"/>
  <c r="M2645" i="72"/>
  <c r="M2646" i="72"/>
  <c r="M2647" i="72"/>
  <c r="M2648" i="72"/>
  <c r="M2649" i="72"/>
  <c r="M2650" i="72"/>
  <c r="M2651" i="72"/>
  <c r="M2652" i="72"/>
  <c r="M2653" i="72"/>
  <c r="M2654" i="72"/>
  <c r="M2655" i="72"/>
  <c r="M2656" i="72"/>
  <c r="M2657" i="72"/>
  <c r="M2658" i="72"/>
  <c r="M2659" i="72"/>
  <c r="M2660" i="72"/>
  <c r="M2661" i="72"/>
  <c r="M2662" i="72"/>
  <c r="M2663" i="72"/>
  <c r="M2664" i="72"/>
  <c r="M2665" i="72"/>
  <c r="M2666" i="72"/>
  <c r="M2667" i="72"/>
  <c r="M2668" i="72"/>
  <c r="M2669" i="72"/>
  <c r="M2670" i="72"/>
  <c r="M2671" i="72"/>
  <c r="M2672" i="72"/>
  <c r="M2673" i="72"/>
  <c r="M2674" i="72"/>
  <c r="M2675" i="72"/>
  <c r="M2676" i="72"/>
  <c r="M2677" i="72"/>
  <c r="M2678" i="72"/>
  <c r="M2679" i="72"/>
  <c r="M2680" i="72"/>
  <c r="M2681" i="72"/>
  <c r="M2682" i="72"/>
  <c r="M2683" i="72"/>
  <c r="M2684" i="72"/>
  <c r="M2685" i="72"/>
  <c r="M2686" i="72"/>
  <c r="M2687" i="72"/>
  <c r="M2688" i="72"/>
  <c r="M2689" i="72"/>
  <c r="M2690" i="72"/>
  <c r="M2691" i="72"/>
  <c r="M2692" i="72"/>
  <c r="M2693" i="72"/>
  <c r="M2694" i="72"/>
  <c r="M2695" i="72"/>
  <c r="M2696" i="72"/>
  <c r="M2697" i="72"/>
  <c r="M2698" i="72"/>
  <c r="M2699" i="72"/>
  <c r="M2700" i="72"/>
  <c r="M2701" i="72"/>
  <c r="M2702" i="72"/>
  <c r="M2703" i="72"/>
  <c r="M2704" i="72"/>
  <c r="M2705" i="72"/>
  <c r="M2706" i="72"/>
  <c r="M2707" i="72"/>
  <c r="M2708" i="72"/>
  <c r="M2709" i="72"/>
  <c r="M2710" i="72"/>
  <c r="M2711" i="72"/>
  <c r="M2712" i="72"/>
  <c r="M2713" i="72"/>
  <c r="M2714" i="72"/>
  <c r="M2715" i="72"/>
  <c r="M2716" i="72"/>
  <c r="M2717" i="72"/>
  <c r="M2718" i="72"/>
  <c r="M2719" i="72"/>
  <c r="M2720" i="72"/>
  <c r="M2721" i="72"/>
  <c r="M2722" i="72"/>
  <c r="M2723" i="72"/>
  <c r="M2724" i="72"/>
  <c r="M2725" i="72"/>
  <c r="M2726" i="72"/>
  <c r="M2727" i="72"/>
  <c r="M2728" i="72"/>
  <c r="M2729" i="72"/>
  <c r="M2730" i="72"/>
  <c r="M2731" i="72"/>
  <c r="M2732" i="72"/>
  <c r="M2733" i="72"/>
  <c r="M2734" i="72"/>
  <c r="M2735" i="72"/>
  <c r="M2736" i="72"/>
  <c r="M2737" i="72"/>
  <c r="M2738" i="72"/>
  <c r="M2739" i="72"/>
  <c r="M2740" i="72"/>
  <c r="M2741" i="72"/>
  <c r="M2742" i="72"/>
  <c r="M2743" i="72"/>
  <c r="M2744" i="72"/>
  <c r="M2745" i="72"/>
  <c r="M2746" i="72"/>
  <c r="M2747" i="72"/>
  <c r="M2748" i="72"/>
  <c r="M2749" i="72"/>
  <c r="M2750" i="72"/>
  <c r="M2751" i="72"/>
  <c r="M2752" i="72"/>
  <c r="M2753" i="72"/>
  <c r="M2754" i="72"/>
  <c r="M2755" i="72"/>
  <c r="M2756" i="72"/>
  <c r="M2757" i="72"/>
  <c r="M2758" i="72"/>
  <c r="M2759" i="72"/>
  <c r="M2760" i="72"/>
  <c r="M2761" i="72"/>
  <c r="M2762" i="72"/>
  <c r="M2763" i="72"/>
  <c r="M2764" i="72"/>
  <c r="M2765" i="72"/>
  <c r="M2766" i="72"/>
  <c r="M2767" i="72"/>
  <c r="M2768" i="72"/>
  <c r="M2769" i="72"/>
  <c r="M2770" i="72"/>
  <c r="M2771" i="72"/>
  <c r="M2772" i="72"/>
  <c r="M2773" i="72"/>
  <c r="M2774" i="72"/>
  <c r="M2775" i="72"/>
  <c r="M2776" i="72"/>
  <c r="M2777" i="72"/>
  <c r="M2778" i="72"/>
  <c r="M2779" i="72"/>
  <c r="M2780" i="72"/>
  <c r="M2781" i="72"/>
  <c r="M2782" i="72"/>
  <c r="M2783" i="72"/>
  <c r="M2784" i="72"/>
  <c r="M2785" i="72"/>
  <c r="M2786" i="72"/>
  <c r="M2787" i="72"/>
  <c r="M2788" i="72"/>
  <c r="M2789" i="72"/>
  <c r="M2790" i="72"/>
  <c r="M2791" i="72"/>
  <c r="M2792" i="72"/>
  <c r="M2793" i="72"/>
  <c r="M2794" i="72"/>
  <c r="M2795" i="72"/>
  <c r="M2796" i="72"/>
  <c r="M2797" i="72"/>
  <c r="M2798" i="72"/>
  <c r="M2799" i="72"/>
  <c r="M2800" i="72"/>
  <c r="M2801" i="72"/>
  <c r="M2802" i="72"/>
  <c r="M2803" i="72"/>
  <c r="M2804" i="72"/>
  <c r="M2805" i="72"/>
  <c r="M2806" i="72"/>
  <c r="M2807" i="72"/>
  <c r="M2808" i="72"/>
  <c r="M2809" i="72"/>
  <c r="M2810" i="72"/>
  <c r="M2811" i="72"/>
  <c r="M2812" i="72"/>
  <c r="M2813" i="72"/>
  <c r="M2814" i="72"/>
  <c r="M2815" i="72"/>
  <c r="M2816" i="72"/>
  <c r="M2817" i="72"/>
  <c r="M2818" i="72"/>
  <c r="M2819" i="72"/>
  <c r="M2820" i="72"/>
  <c r="M2821" i="72"/>
  <c r="M2822" i="72"/>
  <c r="M2823" i="72"/>
  <c r="M2824" i="72"/>
  <c r="M2825" i="72"/>
  <c r="M2826" i="72"/>
  <c r="M2827" i="72"/>
  <c r="M2828" i="72"/>
  <c r="M2829" i="72"/>
  <c r="M2830" i="72"/>
  <c r="M2831" i="72"/>
  <c r="M2832" i="72"/>
  <c r="M2833" i="72"/>
  <c r="M2834" i="72"/>
  <c r="M2835" i="72"/>
  <c r="M2836" i="72"/>
  <c r="M2837" i="72"/>
  <c r="M2838" i="72"/>
  <c r="M2839" i="72"/>
  <c r="M2840" i="72"/>
  <c r="M2841" i="72"/>
  <c r="M2842" i="72"/>
  <c r="M2843" i="72"/>
  <c r="M2844" i="72"/>
  <c r="M2845" i="72"/>
  <c r="M2846" i="72"/>
  <c r="M2847" i="72"/>
  <c r="M2848" i="72"/>
  <c r="M2849" i="72"/>
  <c r="M2850" i="72"/>
  <c r="M2851" i="72"/>
  <c r="M2852" i="72"/>
  <c r="M2853" i="72"/>
  <c r="M2854" i="72"/>
  <c r="M2855" i="72"/>
  <c r="M2856" i="72"/>
  <c r="M2857" i="72"/>
  <c r="M2858" i="72"/>
  <c r="M2859" i="72"/>
  <c r="M2860" i="72"/>
  <c r="M2861" i="72"/>
  <c r="M2862" i="72"/>
  <c r="M2863" i="72"/>
  <c r="M2864" i="72"/>
  <c r="M2865" i="72"/>
  <c r="M2866" i="72"/>
  <c r="M2867" i="72"/>
  <c r="M2868" i="72"/>
  <c r="M2869" i="72"/>
  <c r="M2870" i="72"/>
  <c r="M2871" i="72"/>
  <c r="M2872" i="72"/>
  <c r="M2873" i="72"/>
  <c r="M2874" i="72"/>
  <c r="M2875" i="72"/>
  <c r="M2876" i="72"/>
  <c r="M2877" i="72"/>
  <c r="M2878" i="72"/>
  <c r="M2879" i="72"/>
  <c r="M2880" i="72"/>
  <c r="M2881" i="72"/>
  <c r="M2882" i="72"/>
  <c r="M2883" i="72"/>
  <c r="M2884" i="72"/>
  <c r="M2885" i="72"/>
  <c r="M2886" i="72"/>
  <c r="M2887" i="72"/>
  <c r="M2888" i="72"/>
  <c r="M2889" i="72"/>
  <c r="M2890" i="72"/>
  <c r="M2891" i="72"/>
  <c r="M2892" i="72"/>
  <c r="M2893" i="72"/>
  <c r="M2894" i="72"/>
  <c r="M2895" i="72"/>
  <c r="M2896" i="72"/>
  <c r="M2897" i="72"/>
  <c r="M2898" i="72"/>
  <c r="M2899" i="72"/>
  <c r="M2900" i="72"/>
  <c r="M2901" i="72"/>
  <c r="M2902" i="72"/>
  <c r="M2903" i="72"/>
  <c r="M2904" i="72"/>
  <c r="M2905" i="72"/>
  <c r="M2906" i="72"/>
  <c r="M2907" i="72"/>
  <c r="M2908" i="72"/>
  <c r="M2909" i="72"/>
  <c r="M2910" i="72"/>
  <c r="M2911" i="72"/>
  <c r="M2912" i="72"/>
  <c r="M2913" i="72"/>
  <c r="M2914" i="72"/>
  <c r="M2915" i="72"/>
  <c r="M2916" i="72"/>
  <c r="M2917" i="72"/>
  <c r="M2918" i="72"/>
  <c r="M2919" i="72"/>
  <c r="M2920" i="72"/>
  <c r="M2921" i="72"/>
  <c r="M2922" i="72"/>
  <c r="M2923" i="72"/>
  <c r="M2924" i="72"/>
  <c r="M2925" i="72"/>
  <c r="M2926" i="72"/>
  <c r="M2927" i="72"/>
  <c r="M2928" i="72"/>
  <c r="M2929" i="72"/>
  <c r="M2930" i="72"/>
  <c r="M2931" i="72"/>
  <c r="M2932" i="72"/>
  <c r="M2933" i="72"/>
  <c r="M2934" i="72"/>
  <c r="M2935" i="72"/>
  <c r="M2936" i="72"/>
  <c r="M2937" i="72"/>
  <c r="M2938" i="72"/>
  <c r="M2939" i="72"/>
  <c r="M2940" i="72"/>
  <c r="M2941" i="72"/>
  <c r="M2942" i="72"/>
  <c r="M2943" i="72"/>
  <c r="M2944" i="72"/>
  <c r="M2945" i="72"/>
  <c r="M2946" i="72"/>
  <c r="M2947" i="72"/>
  <c r="M2948" i="72"/>
  <c r="M2949" i="72"/>
  <c r="M2950" i="72"/>
  <c r="M2951" i="72"/>
  <c r="M2952" i="72"/>
  <c r="M2953" i="72"/>
  <c r="M2954" i="72"/>
  <c r="M2955" i="72"/>
  <c r="M2956" i="72"/>
  <c r="M2957" i="72"/>
  <c r="M2958" i="72"/>
  <c r="M2959" i="72"/>
  <c r="M2960" i="72"/>
  <c r="M2961" i="72"/>
  <c r="M2962" i="72"/>
  <c r="M2963" i="72"/>
  <c r="M2964" i="72"/>
  <c r="M2965" i="72"/>
  <c r="M2966" i="72"/>
  <c r="M2967" i="72"/>
  <c r="M2968" i="72"/>
  <c r="M2969" i="72"/>
  <c r="M2970" i="72"/>
  <c r="M2971" i="72"/>
  <c r="M2972" i="72"/>
  <c r="M2973" i="72"/>
  <c r="M2974" i="72"/>
  <c r="M2975" i="72"/>
  <c r="M2976" i="72"/>
  <c r="M2977" i="72"/>
  <c r="M2978" i="72"/>
  <c r="M2979" i="72"/>
  <c r="M2980" i="72"/>
  <c r="M2981" i="72"/>
  <c r="M2982" i="72"/>
  <c r="M2983" i="72"/>
  <c r="M2984" i="72"/>
  <c r="M2985" i="72"/>
  <c r="M2986" i="72"/>
  <c r="M2987" i="72"/>
  <c r="M2988" i="72"/>
  <c r="M2989" i="72"/>
  <c r="M2990" i="72"/>
  <c r="M2991" i="72"/>
  <c r="M2992" i="72"/>
  <c r="M2993" i="72"/>
  <c r="M2994" i="72"/>
  <c r="M2995" i="72"/>
  <c r="M2996" i="72"/>
  <c r="M2997" i="72"/>
  <c r="M2998" i="72"/>
  <c r="M2999" i="72"/>
  <c r="M3000" i="72"/>
  <c r="M3001" i="72"/>
  <c r="M3002" i="72"/>
  <c r="M3003" i="72"/>
  <c r="M3004" i="72"/>
  <c r="M3005" i="72"/>
  <c r="M3006" i="72"/>
  <c r="M3007" i="72"/>
  <c r="M3008" i="72"/>
  <c r="M3009" i="72"/>
  <c r="M3010" i="72"/>
  <c r="M3011" i="72"/>
  <c r="M3012" i="72"/>
  <c r="M3013" i="72"/>
  <c r="M3014" i="72"/>
  <c r="M3015" i="72"/>
  <c r="M3016" i="72"/>
  <c r="M3017" i="72"/>
  <c r="M3018" i="72"/>
  <c r="M3019" i="72"/>
  <c r="M3020" i="72"/>
  <c r="M3021" i="72"/>
  <c r="M3022" i="72"/>
  <c r="M3023" i="72"/>
  <c r="M3024" i="72"/>
  <c r="M3025" i="72"/>
  <c r="M3026" i="72"/>
  <c r="M3027" i="72"/>
  <c r="M3028" i="72"/>
  <c r="M3029" i="72"/>
  <c r="M3030" i="72"/>
  <c r="M3031" i="72"/>
  <c r="M3032" i="72"/>
  <c r="M3033" i="72"/>
  <c r="M3034" i="72"/>
  <c r="M3035" i="72"/>
  <c r="M3036" i="72"/>
  <c r="M3037" i="72"/>
  <c r="M3038" i="72"/>
  <c r="M3039" i="72"/>
  <c r="M3040" i="72"/>
  <c r="M3041" i="72"/>
  <c r="M3042" i="72"/>
  <c r="M3043" i="72"/>
  <c r="M3044" i="72"/>
  <c r="M3045" i="72"/>
  <c r="M3046" i="72"/>
  <c r="M3047" i="72"/>
  <c r="M3048" i="72"/>
  <c r="M3049" i="72"/>
  <c r="M3050" i="72"/>
  <c r="M3051" i="72"/>
  <c r="M3052" i="72"/>
  <c r="M3053" i="72"/>
  <c r="M3054" i="72"/>
  <c r="M3055" i="72"/>
  <c r="M3056" i="72"/>
  <c r="M3057" i="72"/>
  <c r="M3058" i="72"/>
  <c r="M3059" i="72"/>
  <c r="M3060" i="72"/>
  <c r="M3061" i="72"/>
  <c r="M3062" i="72"/>
  <c r="M3063" i="72"/>
  <c r="M3064" i="72"/>
  <c r="M3065" i="72"/>
  <c r="M3066" i="72"/>
  <c r="M3067" i="72"/>
  <c r="M3068" i="72"/>
  <c r="M3069" i="72"/>
  <c r="M3070" i="72"/>
  <c r="M3071" i="72"/>
  <c r="M3072" i="72"/>
  <c r="M3073" i="72"/>
  <c r="M3074" i="72"/>
  <c r="M3075" i="72"/>
  <c r="M3076" i="72"/>
  <c r="M3077" i="72"/>
  <c r="M3078" i="72"/>
  <c r="M3079" i="72"/>
  <c r="M3080" i="72"/>
  <c r="M3081" i="72"/>
  <c r="M3082" i="72"/>
  <c r="M3083" i="72"/>
  <c r="M3084" i="72"/>
  <c r="M3085" i="72"/>
  <c r="M3086" i="72"/>
  <c r="M3087" i="72"/>
  <c r="M3088" i="72"/>
  <c r="M3089" i="72"/>
  <c r="M3090" i="72"/>
  <c r="M3091" i="72"/>
  <c r="M3092" i="72"/>
  <c r="M3093" i="72"/>
  <c r="M3094" i="72"/>
  <c r="M3095" i="72"/>
  <c r="M3096" i="72"/>
  <c r="M3097" i="72"/>
  <c r="M3098" i="72"/>
  <c r="M3099" i="72"/>
  <c r="M3100" i="72"/>
  <c r="M3101" i="72"/>
  <c r="M3102" i="72"/>
  <c r="M3103" i="72"/>
  <c r="M3104" i="72"/>
  <c r="M3105" i="72"/>
  <c r="M3106" i="72"/>
  <c r="M3107" i="72"/>
  <c r="M3108" i="72"/>
  <c r="M3109" i="72"/>
  <c r="M3110" i="72"/>
  <c r="M3111" i="72"/>
  <c r="M3112" i="72"/>
  <c r="M3113" i="72"/>
  <c r="M3114" i="72"/>
  <c r="M3115" i="72"/>
  <c r="M3116" i="72"/>
  <c r="M3117" i="72"/>
  <c r="M3118" i="72"/>
  <c r="M3119" i="72"/>
  <c r="M3120" i="72"/>
  <c r="M3121" i="72"/>
  <c r="M3122" i="72"/>
  <c r="M3123" i="72"/>
  <c r="M3124" i="72"/>
  <c r="M3125" i="72"/>
  <c r="M3126" i="72"/>
  <c r="M3127" i="72"/>
  <c r="M3128" i="72"/>
  <c r="M3129" i="72"/>
  <c r="M3130" i="72"/>
  <c r="M3131" i="72"/>
  <c r="M3132" i="72"/>
  <c r="M3133" i="72"/>
  <c r="M3134" i="72"/>
  <c r="M3135" i="72"/>
  <c r="M3136" i="72"/>
  <c r="M3137" i="72"/>
  <c r="M3138" i="72"/>
  <c r="M3139" i="72"/>
  <c r="M3140" i="72"/>
  <c r="M3141" i="72"/>
  <c r="M3142" i="72"/>
  <c r="M3143" i="72"/>
  <c r="M3144" i="72"/>
  <c r="M3145" i="72"/>
  <c r="M3146" i="72"/>
  <c r="M3147" i="72"/>
  <c r="M3148" i="72"/>
  <c r="M3149" i="72"/>
  <c r="M3150" i="72"/>
  <c r="M3151" i="72"/>
  <c r="M3152" i="72"/>
  <c r="M3153" i="72"/>
  <c r="M3154" i="72"/>
  <c r="M3155" i="72"/>
  <c r="M3156" i="72"/>
  <c r="M3157" i="72"/>
  <c r="M3158" i="72"/>
  <c r="M3159" i="72"/>
  <c r="M3160" i="72"/>
  <c r="M3161" i="72"/>
  <c r="M3162" i="72"/>
  <c r="M3163" i="72"/>
  <c r="M3164" i="72"/>
  <c r="M3165" i="72"/>
  <c r="M3166" i="72"/>
  <c r="M3167" i="72"/>
  <c r="M3168" i="72"/>
  <c r="M3169" i="72"/>
  <c r="M3170" i="72"/>
  <c r="M3171" i="72"/>
  <c r="M3172" i="72"/>
  <c r="M3173" i="72"/>
  <c r="M3174" i="72"/>
  <c r="M3175" i="72"/>
  <c r="M3176" i="72"/>
  <c r="M3177" i="72"/>
  <c r="M3178" i="72"/>
  <c r="M3179" i="72"/>
  <c r="M3180" i="72"/>
  <c r="M3181" i="72"/>
  <c r="M3182" i="72"/>
  <c r="M3183" i="72"/>
  <c r="M3184" i="72"/>
  <c r="M3185" i="72"/>
  <c r="M3186" i="72"/>
  <c r="M3187" i="72"/>
  <c r="M3188" i="72"/>
  <c r="M3189" i="72"/>
  <c r="M3190" i="72"/>
  <c r="M3191" i="72"/>
  <c r="M3192" i="72"/>
  <c r="M3193" i="72"/>
  <c r="M3194" i="72"/>
  <c r="M3195" i="72"/>
  <c r="M3196" i="72"/>
  <c r="M3197" i="72"/>
  <c r="M3198" i="72"/>
  <c r="M3199" i="72"/>
  <c r="M3200" i="72"/>
  <c r="M3201" i="72"/>
  <c r="M3202" i="72"/>
  <c r="M3203" i="72"/>
  <c r="M3204" i="72"/>
  <c r="M3205" i="72"/>
  <c r="M3206" i="72"/>
  <c r="M3207" i="72"/>
  <c r="M3208" i="72"/>
  <c r="M3209" i="72"/>
  <c r="M3210" i="72"/>
  <c r="M3211" i="72"/>
  <c r="M3212" i="72"/>
  <c r="M3213" i="72"/>
  <c r="M3214" i="72"/>
  <c r="M3215" i="72"/>
  <c r="M3216" i="72"/>
  <c r="M3217" i="72"/>
  <c r="M3218" i="72"/>
  <c r="M3219" i="72"/>
  <c r="M3220" i="72"/>
  <c r="M3221" i="72"/>
  <c r="M3222" i="72"/>
  <c r="M3223" i="72"/>
  <c r="M3224" i="72"/>
  <c r="M3225" i="72"/>
  <c r="M3226" i="72"/>
  <c r="M3227" i="72"/>
  <c r="M3228" i="72"/>
  <c r="M3229" i="72"/>
  <c r="M3230" i="72"/>
  <c r="M3231" i="72"/>
  <c r="M3232" i="72"/>
  <c r="M3233" i="72"/>
  <c r="M3234" i="72"/>
  <c r="M3235" i="72"/>
  <c r="M3236" i="72"/>
  <c r="M3237" i="72"/>
  <c r="M3238" i="72"/>
  <c r="M3239" i="72"/>
  <c r="M3240" i="72"/>
  <c r="M3241" i="72"/>
  <c r="M3242" i="72"/>
  <c r="M3243" i="72"/>
  <c r="M3244" i="72"/>
  <c r="M3245" i="72"/>
  <c r="M3246" i="72"/>
  <c r="M3247" i="72"/>
  <c r="M3248" i="72"/>
  <c r="M3249" i="72"/>
  <c r="M3250" i="72"/>
  <c r="M3251" i="72"/>
  <c r="M3252" i="72"/>
  <c r="M3253" i="72"/>
  <c r="M3254" i="72"/>
  <c r="M3255" i="72"/>
  <c r="M3256" i="72"/>
  <c r="M3257" i="72"/>
  <c r="M3258" i="72"/>
  <c r="M3259" i="72"/>
  <c r="M3260" i="72"/>
  <c r="M3261" i="72"/>
  <c r="M3262" i="72"/>
  <c r="M3263" i="72"/>
  <c r="M3264" i="72"/>
  <c r="M3265" i="72"/>
  <c r="M3266" i="72"/>
  <c r="M3267" i="72"/>
  <c r="M3268" i="72"/>
  <c r="M3269" i="72"/>
  <c r="M3270" i="72"/>
  <c r="M3271" i="72"/>
  <c r="M3272" i="72"/>
  <c r="M3273" i="72"/>
  <c r="M3274" i="72"/>
  <c r="M3275" i="72"/>
  <c r="M3276" i="72"/>
  <c r="M3277" i="72"/>
  <c r="M3278" i="72"/>
  <c r="M3279" i="72"/>
  <c r="M3280" i="72"/>
  <c r="M3281" i="72"/>
  <c r="M3282" i="72"/>
  <c r="M3283" i="72"/>
  <c r="M3284" i="72"/>
  <c r="M3285" i="72"/>
  <c r="M3286" i="72"/>
  <c r="M3287" i="72"/>
  <c r="M3288" i="72"/>
  <c r="M3289" i="72"/>
  <c r="M3290" i="72"/>
  <c r="M3291" i="72"/>
  <c r="M3292" i="72"/>
  <c r="M3293" i="72"/>
  <c r="M3294" i="72"/>
  <c r="M3295" i="72"/>
  <c r="M3296" i="72"/>
  <c r="M3297" i="72"/>
  <c r="M3298" i="72"/>
  <c r="M3299" i="72"/>
  <c r="M3300" i="72"/>
  <c r="M3301" i="72"/>
  <c r="M3302" i="72"/>
  <c r="M3303" i="72"/>
  <c r="M3304" i="72"/>
  <c r="M3305" i="72"/>
  <c r="M3306" i="72"/>
  <c r="M3307" i="72"/>
  <c r="M3308" i="72"/>
  <c r="M3309" i="72"/>
  <c r="M3310" i="72"/>
  <c r="M3311" i="72"/>
  <c r="M3312" i="72"/>
  <c r="M3313" i="72"/>
  <c r="M3314" i="72"/>
  <c r="M3315" i="72"/>
  <c r="M3316" i="72"/>
  <c r="M3317" i="72"/>
  <c r="M3318" i="72"/>
  <c r="M3319" i="72"/>
  <c r="M3320" i="72"/>
  <c r="M3321" i="72"/>
  <c r="M3322" i="72"/>
  <c r="M3323" i="72"/>
  <c r="M3324" i="72"/>
  <c r="M3325" i="72"/>
  <c r="M3326" i="72"/>
  <c r="M3327" i="72"/>
  <c r="M3328" i="72"/>
  <c r="M3329" i="72"/>
  <c r="M3330" i="72"/>
  <c r="M3331" i="72"/>
  <c r="M3332" i="72"/>
  <c r="M3333" i="72"/>
  <c r="M3334" i="72"/>
  <c r="M3335" i="72"/>
  <c r="M3336" i="72"/>
  <c r="M3337" i="72"/>
  <c r="M3338" i="72"/>
  <c r="M3339" i="72"/>
  <c r="M3340" i="72"/>
  <c r="M3341" i="72"/>
  <c r="M3342" i="72"/>
  <c r="M3343" i="72"/>
  <c r="M3344" i="72"/>
  <c r="M3345" i="72"/>
  <c r="M3346" i="72"/>
  <c r="M3347" i="72"/>
  <c r="M3348" i="72"/>
  <c r="M3349" i="72"/>
  <c r="M3350" i="72"/>
  <c r="M3351" i="72"/>
  <c r="M3352" i="72"/>
  <c r="M3353" i="72"/>
  <c r="M3354" i="72"/>
  <c r="M3355" i="72"/>
  <c r="M3356" i="72"/>
  <c r="M3357" i="72"/>
  <c r="M3358" i="72"/>
  <c r="M3359" i="72"/>
  <c r="M3360" i="72"/>
  <c r="M3361" i="72"/>
  <c r="M3362" i="72"/>
  <c r="M3363" i="72"/>
  <c r="M3364" i="72"/>
  <c r="M3365" i="72"/>
  <c r="M3366" i="72"/>
  <c r="M3367" i="72"/>
  <c r="M3368" i="72"/>
  <c r="M3369" i="72"/>
  <c r="M3370" i="72"/>
  <c r="M3371" i="72"/>
  <c r="M3372" i="72"/>
  <c r="M3373" i="72"/>
  <c r="M3374" i="72"/>
  <c r="M3375" i="72"/>
  <c r="M3376" i="72"/>
  <c r="M3377" i="72"/>
  <c r="M3378" i="72"/>
  <c r="M3379" i="72"/>
  <c r="M3380" i="72"/>
  <c r="M3381" i="72"/>
  <c r="M3382" i="72"/>
  <c r="M3383" i="72"/>
  <c r="M3384" i="72"/>
  <c r="M3385" i="72"/>
  <c r="M3386" i="72"/>
  <c r="M3387" i="72"/>
  <c r="M3388" i="72"/>
  <c r="M3389" i="72"/>
  <c r="M3390" i="72"/>
  <c r="M3391" i="72"/>
  <c r="M3392" i="72"/>
  <c r="M3393" i="72"/>
  <c r="M3394" i="72"/>
  <c r="M3395" i="72"/>
  <c r="M3396" i="72"/>
  <c r="M3397" i="72"/>
  <c r="M3398" i="72"/>
  <c r="M3399" i="72"/>
  <c r="M3400" i="72"/>
  <c r="M3401" i="72"/>
  <c r="M3402" i="72"/>
  <c r="M3403" i="72"/>
  <c r="M3404" i="72"/>
  <c r="M3405" i="72"/>
  <c r="M3406" i="72"/>
  <c r="M3407" i="72"/>
  <c r="M3408" i="72"/>
  <c r="M3409" i="72"/>
  <c r="M3410" i="72"/>
  <c r="M3411" i="72"/>
  <c r="M3412" i="72"/>
  <c r="M3413" i="72"/>
  <c r="M3414" i="72"/>
  <c r="M3415" i="72"/>
  <c r="M3416" i="72"/>
  <c r="M3417" i="72"/>
  <c r="M3418" i="72"/>
  <c r="M3419" i="72"/>
  <c r="M3420" i="72"/>
  <c r="M3421" i="72"/>
  <c r="M3422" i="72"/>
  <c r="M3423" i="72"/>
  <c r="M3424" i="72"/>
  <c r="M3425" i="72"/>
  <c r="M3426" i="72"/>
  <c r="M3427" i="72"/>
  <c r="M3428" i="72"/>
  <c r="M3429" i="72"/>
  <c r="M3430" i="72"/>
  <c r="M3431" i="72"/>
  <c r="M3432" i="72"/>
  <c r="M3433" i="72"/>
  <c r="M3434" i="72"/>
  <c r="M3435" i="72"/>
  <c r="M3436" i="72"/>
  <c r="M3437" i="72"/>
  <c r="M3438" i="72"/>
  <c r="M3439" i="72"/>
  <c r="M3440" i="72"/>
  <c r="M3441" i="72"/>
  <c r="M3442" i="72"/>
  <c r="M3443" i="72"/>
  <c r="M3444" i="72"/>
  <c r="M3445" i="72"/>
  <c r="M3446" i="72"/>
  <c r="M3447" i="72"/>
  <c r="M3448" i="72"/>
  <c r="M3449" i="72"/>
  <c r="M3450" i="72"/>
  <c r="M3451" i="72"/>
  <c r="M3452" i="72"/>
  <c r="M3453" i="72"/>
  <c r="M3454" i="72"/>
  <c r="M3455" i="72"/>
  <c r="M3456" i="72"/>
  <c r="M3457" i="72"/>
  <c r="M3458" i="72"/>
  <c r="M3459" i="72"/>
  <c r="M3460" i="72"/>
  <c r="M3461" i="72"/>
  <c r="M3462" i="72"/>
  <c r="M3463" i="72"/>
  <c r="M3464" i="72"/>
  <c r="M3465" i="72"/>
  <c r="M3466" i="72"/>
  <c r="M3467" i="72"/>
  <c r="M3468" i="72"/>
  <c r="M3469" i="72"/>
  <c r="M3470" i="72"/>
  <c r="M3471" i="72"/>
  <c r="M3472" i="72"/>
  <c r="M3473" i="72"/>
  <c r="M3474" i="72"/>
  <c r="M3475" i="72"/>
  <c r="M3476" i="72"/>
  <c r="M3477" i="72"/>
  <c r="M3478" i="72"/>
  <c r="M3479" i="72"/>
  <c r="M3480" i="72"/>
  <c r="M3481" i="72"/>
  <c r="M3482" i="72"/>
  <c r="M3483" i="72"/>
  <c r="M3484" i="72"/>
  <c r="M3485" i="72"/>
  <c r="M3486" i="72"/>
  <c r="M3487" i="72"/>
  <c r="M3488" i="72"/>
  <c r="M3489" i="72"/>
  <c r="M3490" i="72"/>
  <c r="M3491" i="72"/>
  <c r="M3492" i="72"/>
  <c r="M3493" i="72"/>
  <c r="M3494" i="72"/>
  <c r="M3495" i="72"/>
  <c r="M3496" i="72"/>
  <c r="M3497" i="72"/>
  <c r="M3498" i="72"/>
  <c r="M3499" i="72"/>
  <c r="M3500" i="72"/>
  <c r="M3501" i="72"/>
  <c r="M3502" i="72"/>
  <c r="M3503" i="72"/>
  <c r="M3504" i="72"/>
  <c r="M3505" i="72"/>
  <c r="M3506" i="72"/>
  <c r="M3507" i="72"/>
  <c r="M3508" i="72"/>
  <c r="M3509" i="72"/>
  <c r="M3510" i="72"/>
  <c r="M3511" i="72"/>
  <c r="M3512" i="72"/>
  <c r="M3513" i="72"/>
  <c r="M3514" i="72"/>
  <c r="M3515" i="72"/>
  <c r="M3516" i="72"/>
  <c r="M3517" i="72"/>
  <c r="M3518" i="72"/>
  <c r="M3519" i="72"/>
  <c r="M3520" i="72"/>
  <c r="M3521" i="72"/>
  <c r="M3522" i="72"/>
  <c r="M3523" i="72"/>
  <c r="M3524" i="72"/>
  <c r="M3525" i="72"/>
  <c r="M3526" i="72"/>
  <c r="M3527" i="72"/>
  <c r="M3528" i="72"/>
  <c r="M3529" i="72"/>
  <c r="M3530" i="72"/>
  <c r="M3531" i="72"/>
  <c r="M3532" i="72"/>
  <c r="M3533" i="72"/>
  <c r="M3534" i="72"/>
  <c r="M3535" i="72"/>
  <c r="M3536" i="72"/>
  <c r="M3537" i="72"/>
  <c r="M3538" i="72"/>
  <c r="M3539" i="72"/>
  <c r="M3540" i="72"/>
  <c r="M3541" i="72"/>
  <c r="M3542" i="72"/>
  <c r="M3543" i="72"/>
  <c r="M3544" i="72"/>
  <c r="M3545" i="72"/>
  <c r="M3546" i="72"/>
  <c r="M3547" i="72"/>
  <c r="M3548" i="72"/>
  <c r="M3549" i="72"/>
  <c r="M3550" i="72"/>
  <c r="M3551" i="72"/>
  <c r="M3552" i="72"/>
  <c r="M3553" i="72"/>
  <c r="M3554" i="72"/>
  <c r="M3555" i="72"/>
  <c r="M3556" i="72"/>
  <c r="M3557" i="72"/>
  <c r="M3558" i="72"/>
  <c r="M3559" i="72"/>
  <c r="M3560" i="72"/>
  <c r="M3561" i="72"/>
  <c r="M3562" i="72"/>
  <c r="M3563" i="72"/>
  <c r="M3564" i="72"/>
  <c r="M3565" i="72"/>
  <c r="M3566" i="72"/>
  <c r="M3567" i="72"/>
  <c r="M3568" i="72"/>
  <c r="M3569" i="72"/>
  <c r="M3570" i="72"/>
  <c r="M3571" i="72"/>
  <c r="M3572" i="72"/>
  <c r="M3573" i="72"/>
  <c r="M3574" i="72"/>
  <c r="M3575" i="72"/>
  <c r="M3576" i="72"/>
  <c r="M3577" i="72"/>
  <c r="M3578" i="72"/>
  <c r="M3579" i="72"/>
  <c r="M3580" i="72"/>
  <c r="M3581" i="72"/>
  <c r="M3582" i="72"/>
  <c r="M3583" i="72"/>
  <c r="M3584" i="72"/>
  <c r="M3585" i="72"/>
  <c r="M3586" i="72"/>
  <c r="M3587" i="72"/>
  <c r="M3588" i="72"/>
  <c r="M3589" i="72"/>
  <c r="M3590" i="72"/>
  <c r="M3591" i="72"/>
  <c r="M3592" i="72"/>
  <c r="M3593" i="72"/>
  <c r="M3594" i="72"/>
  <c r="M3595" i="72"/>
  <c r="M3596" i="72"/>
  <c r="M3597" i="72"/>
  <c r="M3598" i="72"/>
  <c r="M3599" i="72"/>
  <c r="M3600" i="72"/>
  <c r="M3601" i="72"/>
  <c r="M3602" i="72"/>
  <c r="M3603" i="72"/>
  <c r="M3604" i="72"/>
  <c r="M3605" i="72"/>
  <c r="M3606" i="72"/>
  <c r="M3607" i="72"/>
  <c r="M3608" i="72"/>
  <c r="M3609" i="72"/>
  <c r="M3610" i="72"/>
  <c r="M3611" i="72"/>
  <c r="M3612" i="72"/>
  <c r="M3613" i="72"/>
  <c r="M3614" i="72"/>
  <c r="M3615" i="72"/>
  <c r="M3616" i="72"/>
  <c r="M3617" i="72"/>
  <c r="M3618" i="72"/>
  <c r="M3619" i="72"/>
  <c r="M3620" i="72"/>
  <c r="M3621" i="72"/>
  <c r="M3622" i="72"/>
  <c r="M3623" i="72"/>
  <c r="M3624" i="72"/>
  <c r="M3625" i="72"/>
  <c r="M3626" i="72"/>
  <c r="M3627" i="72"/>
  <c r="M3628" i="72"/>
  <c r="M3629" i="72"/>
  <c r="M3630" i="72"/>
  <c r="M3631" i="72"/>
  <c r="M3632" i="72"/>
  <c r="M3633" i="72"/>
  <c r="M3634" i="72"/>
  <c r="M3635" i="72"/>
  <c r="M3636" i="72"/>
  <c r="M3637" i="72"/>
  <c r="M3638" i="72"/>
  <c r="M3639" i="72"/>
  <c r="M3640" i="72"/>
  <c r="M3641" i="72"/>
  <c r="M3642" i="72"/>
  <c r="M3643" i="72"/>
  <c r="M3644" i="72"/>
  <c r="M3645" i="72"/>
  <c r="M3646" i="72"/>
  <c r="M3647" i="72"/>
  <c r="M3648" i="72"/>
  <c r="M3649" i="72"/>
  <c r="M3650" i="72"/>
  <c r="M3651" i="72"/>
  <c r="M3652" i="72"/>
  <c r="M3653" i="72"/>
  <c r="M3654" i="72"/>
  <c r="M3655" i="72"/>
  <c r="M3656" i="72"/>
  <c r="M3657" i="72"/>
  <c r="M3658" i="72"/>
  <c r="M3659" i="72"/>
  <c r="M3660" i="72"/>
  <c r="M3661" i="72"/>
  <c r="M3662" i="72"/>
  <c r="M3663" i="72"/>
  <c r="M3664" i="72"/>
  <c r="M3665" i="72"/>
  <c r="M3666" i="72"/>
  <c r="M3667" i="72"/>
  <c r="M3668" i="72"/>
  <c r="M3669" i="72"/>
  <c r="M3670" i="72"/>
  <c r="M3671" i="72"/>
  <c r="M3672" i="72"/>
  <c r="M3673" i="72"/>
  <c r="M3674" i="72"/>
  <c r="M3675" i="72"/>
  <c r="M3676" i="72"/>
  <c r="M3677" i="72"/>
  <c r="M3678" i="72"/>
  <c r="M3679" i="72"/>
  <c r="M3680" i="72"/>
  <c r="M3681" i="72"/>
  <c r="M3682" i="72"/>
  <c r="M3683" i="72"/>
  <c r="M3684" i="72"/>
  <c r="M3685" i="72"/>
  <c r="M3686" i="72"/>
  <c r="M3687" i="72"/>
  <c r="M3688" i="72"/>
  <c r="M3689" i="72"/>
  <c r="M3690" i="72"/>
  <c r="M3691" i="72"/>
  <c r="M3692" i="72"/>
  <c r="M3693" i="72"/>
  <c r="M3694" i="72"/>
  <c r="M3695" i="72"/>
  <c r="M3696" i="72"/>
  <c r="M3697" i="72"/>
  <c r="M3698" i="72"/>
  <c r="M3699" i="72"/>
  <c r="M3700" i="72"/>
  <c r="M3701" i="72"/>
  <c r="M3702" i="72"/>
  <c r="M3703" i="72"/>
  <c r="M3704" i="72"/>
  <c r="M3705" i="72"/>
  <c r="M3706" i="72"/>
  <c r="M3707" i="72"/>
  <c r="M3708" i="72"/>
  <c r="M3709" i="72"/>
  <c r="M3710" i="72"/>
  <c r="M3711" i="72"/>
  <c r="M3712" i="72"/>
  <c r="M3713" i="72"/>
  <c r="M3714" i="72"/>
  <c r="M3715" i="72"/>
  <c r="M3716" i="72"/>
  <c r="M3717" i="72"/>
  <c r="M3718" i="72"/>
  <c r="M3719" i="72"/>
  <c r="M3720" i="72"/>
  <c r="M3721" i="72"/>
  <c r="M3722" i="72"/>
  <c r="M3723" i="72"/>
  <c r="M3724" i="72"/>
  <c r="M3725" i="72"/>
  <c r="M3726" i="72"/>
  <c r="M3727" i="72"/>
  <c r="M3728" i="72"/>
  <c r="M3729" i="72"/>
  <c r="M3730" i="72"/>
  <c r="M3731" i="72"/>
  <c r="M3732" i="72"/>
  <c r="M3733" i="72"/>
  <c r="M3734" i="72"/>
  <c r="M3735" i="72"/>
  <c r="M3736" i="72"/>
  <c r="M3737" i="72"/>
  <c r="M3738" i="72"/>
  <c r="M3739" i="72"/>
  <c r="M3740" i="72"/>
  <c r="M3741" i="72"/>
  <c r="M3742" i="72"/>
  <c r="M3743" i="72"/>
  <c r="M3744" i="72"/>
  <c r="M3745" i="72"/>
  <c r="M3746" i="72"/>
  <c r="M3747" i="72"/>
  <c r="M3748" i="72"/>
  <c r="M3749" i="72"/>
  <c r="M3750" i="72"/>
  <c r="M3751" i="72"/>
  <c r="M3752" i="72"/>
  <c r="M3753" i="72"/>
  <c r="M3754" i="72"/>
  <c r="M3755" i="72"/>
  <c r="M3756" i="72"/>
  <c r="M3757" i="72"/>
  <c r="M3758" i="72"/>
  <c r="M3759" i="72"/>
  <c r="M3760" i="72"/>
  <c r="M3761" i="72"/>
  <c r="M3762" i="72"/>
  <c r="M3763" i="72"/>
  <c r="M3764" i="72"/>
  <c r="M3765" i="72"/>
  <c r="M3766" i="72"/>
  <c r="M3767" i="72"/>
  <c r="M3768" i="72"/>
  <c r="M3769" i="72"/>
  <c r="M3770" i="72"/>
  <c r="M3771" i="72"/>
  <c r="M3772" i="72"/>
  <c r="M3773" i="72"/>
  <c r="M3774" i="72"/>
  <c r="M3775" i="72"/>
  <c r="M3776" i="72"/>
  <c r="M3777" i="72"/>
  <c r="M3778" i="72"/>
  <c r="M3779" i="72"/>
  <c r="M3780" i="72"/>
  <c r="M3781" i="72"/>
  <c r="M3782" i="72"/>
  <c r="M3783" i="72"/>
  <c r="M3784" i="72"/>
  <c r="M3785" i="72"/>
  <c r="M3786" i="72"/>
  <c r="M3787" i="72"/>
  <c r="M3788" i="72"/>
  <c r="M3789" i="72"/>
  <c r="M3790" i="72"/>
  <c r="M3791" i="72"/>
  <c r="M3792" i="72"/>
  <c r="M3793" i="72"/>
  <c r="M3794" i="72"/>
  <c r="M3795" i="72"/>
  <c r="M3796" i="72"/>
  <c r="M3797" i="72"/>
  <c r="M3798" i="72"/>
  <c r="M3799" i="72"/>
  <c r="M3800" i="72"/>
  <c r="M3801" i="72"/>
  <c r="M3802" i="72"/>
  <c r="M3803" i="72"/>
  <c r="M3804" i="72"/>
  <c r="M3805" i="72"/>
  <c r="M3806" i="72"/>
  <c r="M3807" i="72"/>
  <c r="M3808" i="72"/>
  <c r="M3809" i="72"/>
  <c r="M3810" i="72"/>
  <c r="M3811" i="72"/>
  <c r="M3812" i="72"/>
  <c r="M3813" i="72"/>
  <c r="M3814" i="72"/>
  <c r="M3815" i="72"/>
  <c r="M3816" i="72"/>
  <c r="M3817" i="72"/>
  <c r="M3818" i="72"/>
  <c r="M3819" i="72"/>
  <c r="M3820" i="72"/>
  <c r="M3821" i="72"/>
  <c r="M3822" i="72"/>
  <c r="M3823" i="72"/>
  <c r="M3824" i="72"/>
  <c r="M3825" i="72"/>
  <c r="M3826" i="72"/>
  <c r="M3827" i="72"/>
  <c r="M3828" i="72"/>
  <c r="M3829" i="72"/>
  <c r="M3830" i="72"/>
  <c r="M3831" i="72"/>
  <c r="M3832" i="72"/>
  <c r="M3833" i="72"/>
  <c r="M3834" i="72"/>
  <c r="M3835" i="72"/>
  <c r="M3836" i="72"/>
  <c r="M3837" i="72"/>
  <c r="M3838" i="72"/>
  <c r="M3839" i="72"/>
  <c r="M3840" i="72"/>
  <c r="M3841" i="72"/>
  <c r="M3842" i="72"/>
  <c r="M3843" i="72"/>
  <c r="M3844" i="72"/>
  <c r="M3845" i="72"/>
  <c r="M3846" i="72"/>
  <c r="M3847" i="72"/>
  <c r="M3848" i="72"/>
  <c r="M3849" i="72"/>
  <c r="M3850" i="72"/>
  <c r="M3851" i="72"/>
  <c r="M3852" i="72"/>
  <c r="M3853" i="72"/>
  <c r="M3854" i="72"/>
  <c r="M3855" i="72"/>
  <c r="M3856" i="72"/>
  <c r="M3857" i="72"/>
  <c r="M3858" i="72"/>
  <c r="M3859" i="72"/>
  <c r="M3860" i="72"/>
  <c r="M3861" i="72"/>
  <c r="M3862" i="72"/>
  <c r="M3863" i="72"/>
  <c r="M3864" i="72"/>
  <c r="M3865" i="72"/>
  <c r="M3866" i="72"/>
  <c r="M3867" i="72"/>
  <c r="M3868" i="72"/>
  <c r="M3869" i="72"/>
  <c r="M3870" i="72"/>
  <c r="M3871" i="72"/>
  <c r="M3872" i="72"/>
  <c r="M3873" i="72"/>
  <c r="M3874" i="72"/>
  <c r="M3875" i="72"/>
  <c r="M3876" i="72"/>
  <c r="M3877" i="72"/>
  <c r="M3878" i="72"/>
  <c r="M3879" i="72"/>
  <c r="M3880" i="72"/>
  <c r="M3881" i="72"/>
  <c r="M3882" i="72"/>
  <c r="M3883" i="72"/>
  <c r="M3884" i="72"/>
  <c r="M3885" i="72"/>
  <c r="M3886" i="72"/>
  <c r="M3887" i="72"/>
  <c r="M3888" i="72"/>
  <c r="M3889" i="72"/>
  <c r="M3890" i="72"/>
  <c r="M3891" i="72"/>
  <c r="M3892" i="72"/>
  <c r="M3893" i="72"/>
  <c r="M3894" i="72"/>
  <c r="M3895" i="72"/>
  <c r="M3896" i="72"/>
  <c r="M3897" i="72"/>
  <c r="M3898" i="72"/>
  <c r="M3899" i="72"/>
  <c r="M3900" i="72"/>
  <c r="M3901" i="72"/>
  <c r="M3902" i="72"/>
  <c r="M3903" i="72"/>
  <c r="M3904" i="72"/>
  <c r="M3905" i="72"/>
  <c r="M3906" i="72"/>
  <c r="M3907" i="72"/>
  <c r="M3908" i="72"/>
  <c r="M3909" i="72"/>
  <c r="M3910" i="72"/>
  <c r="M3911" i="72"/>
  <c r="M3912" i="72"/>
  <c r="M3913" i="72"/>
  <c r="M3914" i="72"/>
  <c r="M3915" i="72"/>
  <c r="M3916" i="72"/>
  <c r="M3917" i="72"/>
  <c r="M3918" i="72"/>
  <c r="M3919" i="72"/>
  <c r="M3920" i="72"/>
  <c r="M3921" i="72"/>
  <c r="M3922" i="72"/>
  <c r="M3923" i="72"/>
  <c r="M3924" i="72"/>
  <c r="M3925" i="72"/>
  <c r="M3926" i="72"/>
  <c r="M3927" i="72"/>
  <c r="M3928" i="72"/>
  <c r="M3929" i="72"/>
  <c r="M3930" i="72"/>
  <c r="M3931" i="72"/>
  <c r="M3932" i="72"/>
  <c r="M3933" i="72"/>
  <c r="M3934" i="72"/>
  <c r="M3935" i="72"/>
  <c r="M3936" i="72"/>
  <c r="M3937" i="72"/>
  <c r="M3938" i="72"/>
  <c r="M3939" i="72"/>
  <c r="M3940" i="72"/>
  <c r="M3941" i="72"/>
  <c r="M3942" i="72"/>
  <c r="M3943" i="72"/>
  <c r="M3944" i="72"/>
  <c r="M3945" i="72"/>
  <c r="M3946" i="72"/>
  <c r="M3947" i="72"/>
  <c r="M3948" i="72"/>
  <c r="M3949" i="72"/>
  <c r="M3950" i="72"/>
  <c r="M3951" i="72"/>
  <c r="M3952" i="72"/>
  <c r="M3953" i="72"/>
  <c r="M3954" i="72"/>
  <c r="M3955" i="72"/>
  <c r="M3956" i="72"/>
  <c r="M3957" i="72"/>
  <c r="M3958" i="72"/>
  <c r="M3959" i="72"/>
  <c r="M3960" i="72"/>
  <c r="M3961" i="72"/>
  <c r="M3962" i="72"/>
  <c r="M3963" i="72"/>
  <c r="M3964" i="72"/>
  <c r="M3965" i="72"/>
  <c r="M3966" i="72"/>
  <c r="M3967" i="72"/>
  <c r="M3968" i="72"/>
  <c r="M3969" i="72"/>
  <c r="M3970" i="72"/>
  <c r="M3971" i="72"/>
  <c r="M3972" i="72"/>
  <c r="M3973" i="72"/>
  <c r="M3974" i="72"/>
  <c r="M3975" i="72"/>
  <c r="M3976" i="72"/>
  <c r="M3977" i="72"/>
  <c r="M3978" i="72"/>
  <c r="M3979" i="72"/>
  <c r="M3980" i="72"/>
  <c r="M3981" i="72"/>
  <c r="M3982" i="72"/>
  <c r="M3983" i="72"/>
  <c r="M3984" i="72"/>
  <c r="M3985" i="72"/>
  <c r="M3986" i="72"/>
  <c r="M3987" i="72"/>
  <c r="M3988" i="72"/>
  <c r="M3989" i="72"/>
  <c r="M3990" i="72"/>
  <c r="M3991" i="72"/>
  <c r="M3992" i="72"/>
  <c r="M3993" i="72"/>
  <c r="M3994" i="72"/>
  <c r="M3995" i="72"/>
  <c r="M3996" i="72"/>
  <c r="M3997" i="72"/>
  <c r="M3998" i="72"/>
  <c r="M3999" i="72"/>
  <c r="M4000" i="72"/>
  <c r="M4001" i="72"/>
  <c r="M4002" i="72"/>
  <c r="M4003" i="72"/>
  <c r="M4004" i="72"/>
  <c r="M4005" i="72"/>
  <c r="M4006" i="72"/>
  <c r="M4007" i="72"/>
  <c r="M4008" i="72"/>
  <c r="M4009" i="72"/>
  <c r="M4010" i="72"/>
  <c r="M4011" i="72"/>
  <c r="M4012" i="72"/>
  <c r="M4013" i="72"/>
  <c r="M4014" i="72"/>
  <c r="M4015" i="72"/>
  <c r="M4016" i="72"/>
  <c r="M4017" i="72"/>
  <c r="M4018" i="72"/>
  <c r="M4019" i="72"/>
  <c r="M4020" i="72"/>
  <c r="M4021" i="72"/>
  <c r="M4022" i="72"/>
  <c r="M4023" i="72"/>
  <c r="M4024" i="72"/>
  <c r="M4025" i="72"/>
  <c r="M4026" i="72"/>
  <c r="M4027" i="72"/>
  <c r="M4028" i="72"/>
  <c r="M4029" i="72"/>
  <c r="M4030" i="72"/>
  <c r="M4031" i="72"/>
  <c r="M4032" i="72"/>
  <c r="M4033" i="72"/>
  <c r="M4034" i="72"/>
  <c r="M4035" i="72"/>
  <c r="M4036" i="72"/>
  <c r="M4037" i="72"/>
  <c r="M4038" i="72"/>
  <c r="M4039" i="72"/>
  <c r="M4040" i="72"/>
  <c r="M4041" i="72"/>
  <c r="M4042" i="72"/>
  <c r="M4043" i="72"/>
  <c r="M4044" i="72"/>
  <c r="M4045" i="72"/>
  <c r="M4046" i="72"/>
  <c r="M4047" i="72"/>
  <c r="M4048" i="72"/>
  <c r="M4049" i="72"/>
  <c r="M4050" i="72"/>
  <c r="M4051" i="72"/>
  <c r="M4052" i="72"/>
  <c r="M4053" i="72"/>
  <c r="M4054" i="72"/>
  <c r="M4055" i="72"/>
  <c r="M4056" i="72"/>
  <c r="M4057" i="72"/>
  <c r="M4058" i="72"/>
  <c r="M4059" i="72"/>
  <c r="M4060" i="72"/>
  <c r="M4061" i="72"/>
  <c r="M4062" i="72"/>
  <c r="M4063" i="72"/>
  <c r="M4064" i="72"/>
  <c r="M4065" i="72"/>
  <c r="M4066" i="72"/>
  <c r="M4067" i="72"/>
  <c r="M4068" i="72"/>
  <c r="M4069" i="72"/>
  <c r="M4070" i="72"/>
  <c r="M4071" i="72"/>
  <c r="M4072" i="72"/>
  <c r="M4073" i="72"/>
  <c r="M4074" i="72"/>
  <c r="M4075" i="72"/>
  <c r="M4076" i="72"/>
  <c r="M4077" i="72"/>
  <c r="M4078" i="72"/>
  <c r="M4079" i="72"/>
  <c r="M4080" i="72"/>
  <c r="M4081" i="72"/>
  <c r="M4082" i="72"/>
  <c r="M4083" i="72"/>
  <c r="M4084" i="72"/>
  <c r="M4085" i="72"/>
  <c r="M4086" i="72"/>
  <c r="M4087" i="72"/>
  <c r="M4088" i="72"/>
  <c r="M4089" i="72"/>
  <c r="M4090" i="72"/>
  <c r="M4091" i="72"/>
  <c r="M4092" i="72"/>
  <c r="M4093" i="72"/>
  <c r="M4094" i="72"/>
  <c r="M4095" i="72"/>
  <c r="M4096" i="72"/>
  <c r="M4097" i="72"/>
  <c r="M4098" i="72"/>
  <c r="M4099" i="72"/>
  <c r="M4100" i="72"/>
  <c r="M4101" i="72"/>
  <c r="M4102" i="72"/>
  <c r="M4103" i="72"/>
  <c r="M4104" i="72"/>
  <c r="M4105" i="72"/>
  <c r="M4106" i="72"/>
  <c r="M4107" i="72"/>
  <c r="M4108" i="72"/>
  <c r="M4109" i="72"/>
  <c r="M4110" i="72"/>
  <c r="M4111" i="72"/>
  <c r="M4112" i="72"/>
  <c r="M4113" i="72"/>
  <c r="M4114" i="72"/>
  <c r="M4115" i="72"/>
  <c r="M4116" i="72"/>
  <c r="M4117" i="72"/>
  <c r="M4118" i="72"/>
  <c r="M4119" i="72"/>
  <c r="M4120" i="72"/>
  <c r="M4121" i="72"/>
  <c r="M4122" i="72"/>
  <c r="M4123" i="72"/>
  <c r="M4124" i="72"/>
  <c r="M4125" i="72"/>
  <c r="M4126" i="72"/>
  <c r="M4127" i="72"/>
  <c r="M4128" i="72"/>
  <c r="M4129" i="72"/>
  <c r="M4130" i="72"/>
  <c r="M4131" i="72"/>
  <c r="M4132" i="72"/>
  <c r="M4133" i="72"/>
  <c r="M4134" i="72"/>
  <c r="M4135" i="72"/>
  <c r="M4136" i="72"/>
  <c r="M4137" i="72"/>
  <c r="M4138" i="72"/>
  <c r="M4139" i="72"/>
  <c r="M4140" i="72"/>
  <c r="M4141" i="72"/>
  <c r="M4142" i="72"/>
  <c r="M4143" i="72"/>
  <c r="M4144" i="72"/>
  <c r="M4145" i="72"/>
  <c r="M4146" i="72"/>
  <c r="M4147" i="72"/>
  <c r="M4148" i="72"/>
  <c r="M4149" i="72"/>
  <c r="M4150" i="72"/>
  <c r="M4151" i="72"/>
  <c r="M4152" i="72"/>
  <c r="M4153" i="72"/>
  <c r="M4154" i="72"/>
  <c r="M4155" i="72"/>
  <c r="M4156" i="72"/>
  <c r="M4157" i="72"/>
  <c r="M4158" i="72"/>
  <c r="M4159" i="72"/>
  <c r="M4160" i="72"/>
  <c r="M4161" i="72"/>
  <c r="M4162" i="72"/>
  <c r="M4163" i="72"/>
  <c r="M4164" i="72"/>
  <c r="M4165" i="72"/>
  <c r="M4166" i="72"/>
  <c r="M4167" i="72"/>
  <c r="M4168" i="72"/>
  <c r="M4169" i="72"/>
  <c r="M4170" i="72"/>
  <c r="M4171" i="72"/>
  <c r="M4172" i="72"/>
  <c r="M4173" i="72"/>
  <c r="M4174" i="72"/>
  <c r="M4175" i="72"/>
  <c r="M4176" i="72"/>
  <c r="M4177" i="72"/>
  <c r="M4178" i="72"/>
  <c r="M4179" i="72"/>
  <c r="M4180" i="72"/>
  <c r="M4181" i="72"/>
  <c r="M4182" i="72"/>
  <c r="M4183" i="72"/>
  <c r="M4184" i="72"/>
  <c r="M4185" i="72"/>
  <c r="M4186" i="72"/>
  <c r="M4187" i="72"/>
  <c r="M4188" i="72"/>
  <c r="M4189" i="72"/>
  <c r="M4190" i="72"/>
  <c r="M4191" i="72"/>
  <c r="M4192" i="72"/>
  <c r="M4193" i="72"/>
  <c r="M4194" i="72"/>
  <c r="M4195" i="72"/>
  <c r="M4196" i="72"/>
  <c r="M4197" i="72"/>
  <c r="M4198" i="72"/>
  <c r="M4199" i="72"/>
  <c r="M4200" i="72"/>
  <c r="M4201" i="72"/>
  <c r="M4202" i="72"/>
  <c r="M4203" i="72"/>
  <c r="M4204" i="72"/>
  <c r="M4205" i="72"/>
  <c r="M4206" i="72"/>
  <c r="M4207" i="72"/>
  <c r="M4208" i="72"/>
  <c r="M4209" i="72"/>
  <c r="M4210" i="72"/>
  <c r="M4211" i="72"/>
  <c r="M4212" i="72"/>
  <c r="M4213" i="72"/>
  <c r="M4214" i="72"/>
  <c r="M4215" i="72"/>
  <c r="M4216" i="72"/>
  <c r="M4217" i="72"/>
  <c r="M4218" i="72"/>
  <c r="M4219" i="72"/>
  <c r="M4220" i="72"/>
  <c r="M4221" i="72"/>
  <c r="M4222" i="72"/>
  <c r="M4223" i="72"/>
  <c r="M4224" i="72"/>
  <c r="M4225" i="72"/>
  <c r="M4226" i="72"/>
  <c r="M4227" i="72"/>
  <c r="M4228" i="72"/>
  <c r="M4229" i="72"/>
  <c r="M4230" i="72"/>
  <c r="M4231" i="72"/>
  <c r="M4232" i="72"/>
  <c r="M4233" i="72"/>
  <c r="M4234" i="72"/>
  <c r="M4235" i="72"/>
  <c r="M4236" i="72"/>
  <c r="M4237" i="72"/>
  <c r="M4238" i="72"/>
  <c r="M4239" i="72"/>
  <c r="M4240" i="72"/>
  <c r="M4241" i="72"/>
  <c r="M4242" i="72"/>
  <c r="M4243" i="72"/>
  <c r="M4244" i="72"/>
  <c r="M4245" i="72"/>
  <c r="M4246" i="72"/>
  <c r="M4247" i="72"/>
  <c r="M4248" i="72"/>
  <c r="M4249" i="72"/>
  <c r="M4250" i="72"/>
  <c r="M4251" i="72"/>
  <c r="M4252" i="72"/>
  <c r="M4253" i="72"/>
  <c r="M4254" i="72"/>
  <c r="M4255" i="72"/>
  <c r="M4256" i="72"/>
  <c r="M4257" i="72"/>
  <c r="M4258" i="72"/>
  <c r="M4259" i="72"/>
  <c r="M4260" i="72"/>
  <c r="M4261" i="72"/>
  <c r="M4262" i="72"/>
  <c r="M4263" i="72"/>
  <c r="M4264" i="72"/>
  <c r="M4265" i="72"/>
  <c r="M4266" i="72"/>
  <c r="M4267" i="72"/>
  <c r="M4268" i="72"/>
  <c r="M4269" i="72"/>
  <c r="M4270" i="72"/>
  <c r="M4271" i="72"/>
  <c r="M4272" i="72"/>
  <c r="M4273" i="72"/>
  <c r="M4274" i="72"/>
  <c r="M4275" i="72"/>
  <c r="M4276" i="72"/>
  <c r="M4277" i="72"/>
  <c r="M4278" i="72"/>
  <c r="M4279" i="72"/>
  <c r="M4280" i="72"/>
  <c r="M4281" i="72"/>
  <c r="M4282" i="72"/>
  <c r="M4283" i="72"/>
  <c r="M4284" i="72"/>
  <c r="M4285" i="72"/>
  <c r="M4286" i="72"/>
  <c r="M4287" i="72"/>
  <c r="M4288" i="72"/>
  <c r="M4289" i="72"/>
  <c r="M4290" i="72"/>
  <c r="M4291" i="72"/>
  <c r="M4292" i="72"/>
  <c r="M4293" i="72"/>
  <c r="M4294" i="72"/>
  <c r="M4295" i="72"/>
  <c r="M4296" i="72"/>
  <c r="M4297" i="72"/>
  <c r="M4298" i="72"/>
  <c r="M4299" i="72"/>
  <c r="M4300" i="72"/>
  <c r="M4301" i="72"/>
  <c r="M4302" i="72"/>
  <c r="M4303" i="72"/>
  <c r="M4304" i="72"/>
  <c r="M4305" i="72"/>
  <c r="M4306" i="72"/>
  <c r="M4307" i="72"/>
  <c r="M4308" i="72"/>
  <c r="M4309" i="72"/>
  <c r="M4310" i="72"/>
  <c r="M4311" i="72"/>
  <c r="M4312" i="72"/>
  <c r="M4313" i="72"/>
  <c r="M4314" i="72"/>
  <c r="M4315" i="72"/>
  <c r="M4316" i="72"/>
  <c r="M4317" i="72"/>
  <c r="M4318" i="72"/>
  <c r="M4319" i="72"/>
  <c r="M4320" i="72"/>
  <c r="M4321" i="72"/>
  <c r="M4322" i="72"/>
  <c r="M4323" i="72"/>
  <c r="M4324" i="72"/>
  <c r="M4325" i="72"/>
  <c r="M4326" i="72"/>
  <c r="M4327" i="72"/>
  <c r="M4328" i="72"/>
  <c r="M4329" i="72"/>
  <c r="M4330" i="72"/>
  <c r="M4331" i="72"/>
  <c r="M4332" i="72"/>
  <c r="M4333" i="72"/>
  <c r="M4334" i="72"/>
  <c r="M4335" i="72"/>
  <c r="M4336" i="72"/>
  <c r="M4337" i="72"/>
  <c r="M4338" i="72"/>
  <c r="M4339" i="72"/>
  <c r="M4340" i="72"/>
  <c r="M4341" i="72"/>
  <c r="M4342" i="72"/>
  <c r="M4343" i="72"/>
  <c r="M4344" i="72"/>
  <c r="M4345" i="72"/>
  <c r="M4346" i="72"/>
  <c r="M4347" i="72"/>
  <c r="M4348" i="72"/>
  <c r="M4349" i="72"/>
  <c r="M4350" i="72"/>
  <c r="M4351" i="72"/>
  <c r="M4352" i="72"/>
  <c r="M4353" i="72"/>
  <c r="M4354" i="72"/>
  <c r="M4355" i="72"/>
  <c r="M4356" i="72"/>
  <c r="M4357" i="72"/>
  <c r="M4358" i="72"/>
  <c r="M4359" i="72"/>
  <c r="M4360" i="72"/>
  <c r="M4361" i="72"/>
  <c r="M4362" i="72"/>
  <c r="M4363" i="72"/>
  <c r="M4364" i="72"/>
  <c r="M4365" i="72"/>
  <c r="M4366" i="72"/>
  <c r="M4367" i="72"/>
  <c r="M4368" i="72"/>
  <c r="M4369" i="72"/>
  <c r="M4370" i="72"/>
  <c r="M4371" i="72"/>
  <c r="M4372" i="72"/>
  <c r="M4373" i="72"/>
  <c r="M4374" i="72"/>
  <c r="M4375" i="72"/>
  <c r="M4376" i="72"/>
  <c r="M4377" i="72"/>
  <c r="M4378" i="72"/>
  <c r="M4379" i="72"/>
  <c r="M4380" i="72"/>
  <c r="M4381" i="72"/>
  <c r="M4382" i="72"/>
  <c r="M4383" i="72"/>
  <c r="M4384" i="72"/>
  <c r="M4385" i="72"/>
  <c r="M4386" i="72"/>
  <c r="M4387" i="72"/>
  <c r="M4388" i="72"/>
  <c r="M4389" i="72"/>
  <c r="M4390" i="72"/>
  <c r="M4391" i="72"/>
  <c r="M4392" i="72"/>
  <c r="M4393" i="72"/>
  <c r="M4394" i="72"/>
  <c r="M4395" i="72"/>
  <c r="M4396" i="72"/>
  <c r="M4397" i="72"/>
  <c r="M4398" i="72"/>
  <c r="M4399" i="72"/>
  <c r="M4400" i="72"/>
  <c r="M4401" i="72"/>
  <c r="M4402" i="72"/>
  <c r="M4403" i="72"/>
  <c r="M4404" i="72"/>
  <c r="M4405" i="72"/>
  <c r="M4406" i="72"/>
  <c r="M4407" i="72"/>
  <c r="M4408" i="72"/>
  <c r="M4409" i="72"/>
  <c r="M4410" i="72"/>
  <c r="M4411" i="72"/>
  <c r="M4412" i="72"/>
  <c r="M4413" i="72"/>
  <c r="M4414" i="72"/>
  <c r="M4415" i="72"/>
  <c r="M4416" i="72"/>
  <c r="M4417" i="72"/>
  <c r="M4418" i="72"/>
  <c r="M4419" i="72"/>
  <c r="M4420" i="72"/>
  <c r="M4421" i="72"/>
  <c r="M4422" i="72"/>
  <c r="M4423" i="72"/>
  <c r="M4424" i="72"/>
  <c r="M4425" i="72"/>
  <c r="M4426" i="72"/>
  <c r="M4427" i="72"/>
  <c r="M4428" i="72"/>
  <c r="M4429" i="72"/>
  <c r="M4430" i="72"/>
  <c r="M4431" i="72"/>
  <c r="M4432" i="72"/>
  <c r="M4433" i="72"/>
  <c r="M4434" i="72"/>
  <c r="M4435" i="72"/>
  <c r="M4436" i="72"/>
  <c r="M4437" i="72"/>
  <c r="M4438" i="72"/>
  <c r="M4439" i="72"/>
  <c r="M4440" i="72"/>
  <c r="M4441" i="72"/>
  <c r="M4442" i="72"/>
  <c r="M4443" i="72"/>
  <c r="M4444" i="72"/>
  <c r="M4445" i="72"/>
  <c r="M4446" i="72"/>
  <c r="M4447" i="72"/>
  <c r="M4448" i="72"/>
  <c r="M4449" i="72"/>
  <c r="M4450" i="72"/>
  <c r="M4451" i="72"/>
  <c r="M4452" i="72"/>
  <c r="M4453" i="72"/>
  <c r="M4454" i="72"/>
  <c r="M4455" i="72"/>
  <c r="M4456" i="72"/>
  <c r="M4457" i="72"/>
  <c r="M4458" i="72"/>
  <c r="M4459" i="72"/>
  <c r="M4460" i="72"/>
  <c r="M4461" i="72"/>
  <c r="M4462" i="72"/>
  <c r="M4463" i="72"/>
  <c r="M4464" i="72"/>
  <c r="M4465" i="72"/>
  <c r="M4466" i="72"/>
  <c r="M4467" i="72"/>
  <c r="M4468" i="72"/>
  <c r="M4469" i="72"/>
  <c r="M4470" i="72"/>
  <c r="M4471" i="72"/>
  <c r="M4472" i="72"/>
  <c r="M4473" i="72"/>
  <c r="M4474" i="72"/>
  <c r="M4475" i="72"/>
  <c r="M4476" i="72"/>
  <c r="M4477" i="72"/>
  <c r="M4478" i="72"/>
  <c r="M4479" i="72"/>
  <c r="M4480" i="72"/>
  <c r="M4481" i="72"/>
  <c r="M4482" i="72"/>
  <c r="M4483" i="72"/>
  <c r="M4484" i="72"/>
  <c r="M4485" i="72"/>
  <c r="M4486" i="72"/>
  <c r="M4487" i="72"/>
  <c r="M4488" i="72"/>
  <c r="M4489" i="72"/>
  <c r="M4490" i="72"/>
  <c r="M4491" i="72"/>
  <c r="M4492" i="72"/>
  <c r="M4493" i="72"/>
  <c r="M4494" i="72"/>
  <c r="M4495" i="72"/>
  <c r="M4496" i="72"/>
  <c r="M4497" i="72"/>
  <c r="M4498" i="72"/>
  <c r="M4499" i="72"/>
  <c r="M4500" i="72"/>
  <c r="M4501" i="72"/>
  <c r="M4502" i="72"/>
  <c r="M4503" i="72"/>
  <c r="M4504" i="72"/>
  <c r="M4505" i="72"/>
  <c r="M4506" i="72"/>
  <c r="M4507" i="72"/>
  <c r="M4508" i="72"/>
  <c r="M4509" i="72"/>
  <c r="M4510" i="72"/>
  <c r="M4511" i="72"/>
  <c r="M4512" i="72"/>
  <c r="M4513" i="72"/>
  <c r="M4514" i="72"/>
  <c r="M4515" i="72"/>
  <c r="M4516" i="72"/>
  <c r="M4517" i="72"/>
  <c r="M4518" i="72"/>
  <c r="M4519" i="72"/>
  <c r="M4520" i="72"/>
  <c r="M4521" i="72"/>
  <c r="M4522" i="72"/>
  <c r="M4523" i="72"/>
  <c r="M4524" i="72"/>
  <c r="M4525" i="72"/>
  <c r="M4526" i="72"/>
  <c r="M4527" i="72"/>
  <c r="M4528" i="72"/>
  <c r="M4529" i="72"/>
  <c r="M4530" i="72"/>
  <c r="M4531" i="72"/>
  <c r="M4532" i="72"/>
  <c r="M4533" i="72"/>
  <c r="M4534" i="72"/>
  <c r="M4535" i="72"/>
  <c r="M4536" i="72"/>
  <c r="M4537" i="72"/>
  <c r="M4538" i="72"/>
  <c r="M4539" i="72"/>
  <c r="M4540" i="72"/>
  <c r="M4541" i="72"/>
  <c r="M4542" i="72"/>
  <c r="M4543" i="72"/>
  <c r="M4544" i="72"/>
  <c r="M4545" i="72"/>
  <c r="M4546" i="72"/>
  <c r="M4547" i="72"/>
  <c r="M4548" i="72"/>
  <c r="M4549" i="72"/>
  <c r="M4550" i="72"/>
  <c r="M4551" i="72"/>
  <c r="M4552" i="72"/>
  <c r="M4553" i="72"/>
  <c r="M4554" i="72"/>
  <c r="M4555" i="72"/>
  <c r="M4556" i="72"/>
  <c r="M4557" i="72"/>
  <c r="M4558" i="72"/>
  <c r="M4559" i="72"/>
  <c r="M4560" i="72"/>
  <c r="M4561" i="72"/>
  <c r="M4562" i="72"/>
  <c r="M4563" i="72"/>
  <c r="M4564" i="72"/>
  <c r="M4565" i="72"/>
  <c r="M4566" i="72"/>
  <c r="M4567" i="72"/>
  <c r="M4568" i="72"/>
  <c r="M4569" i="72"/>
  <c r="M4570" i="72"/>
  <c r="M4571" i="72"/>
  <c r="M4572" i="72"/>
  <c r="M4573" i="72"/>
  <c r="M4574" i="72"/>
  <c r="M4575" i="72"/>
  <c r="M4576" i="72"/>
  <c r="M4577" i="72"/>
  <c r="M4578" i="72"/>
  <c r="M4579" i="72"/>
  <c r="M4580" i="72"/>
  <c r="M4581" i="72"/>
  <c r="M4582" i="72"/>
  <c r="M4583" i="72"/>
  <c r="M4584" i="72"/>
  <c r="M4585" i="72"/>
  <c r="M4586" i="72"/>
  <c r="M4587" i="72"/>
  <c r="M4588" i="72"/>
  <c r="M4589" i="72"/>
  <c r="M4590" i="72"/>
  <c r="M4591" i="72"/>
  <c r="M4592" i="72"/>
  <c r="M4593" i="72"/>
  <c r="M4594" i="72"/>
  <c r="M4595" i="72"/>
  <c r="M4596" i="72"/>
  <c r="M4597" i="72"/>
  <c r="M4598" i="72"/>
  <c r="M4599" i="72"/>
  <c r="M4600" i="72"/>
  <c r="M4601" i="72"/>
  <c r="M4602" i="72"/>
  <c r="M4603" i="72"/>
  <c r="M4604" i="72"/>
  <c r="M4605" i="72"/>
  <c r="M4606" i="72"/>
  <c r="M4607" i="72"/>
  <c r="M4608" i="72"/>
  <c r="M4609" i="72"/>
  <c r="M4610" i="72"/>
  <c r="M4611" i="72"/>
  <c r="M4612" i="72"/>
  <c r="M4613" i="72"/>
  <c r="M4614" i="72"/>
  <c r="M4615" i="72"/>
  <c r="M4616" i="72"/>
  <c r="M4617" i="72"/>
  <c r="M4618" i="72"/>
  <c r="M4619" i="72"/>
  <c r="M4620" i="72"/>
  <c r="M4621" i="72"/>
  <c r="M4622" i="72"/>
  <c r="M4623" i="72"/>
  <c r="M4624" i="72"/>
  <c r="M4625" i="72"/>
  <c r="M4626" i="72"/>
  <c r="M4627" i="72"/>
  <c r="M4628" i="72"/>
  <c r="M4629" i="72"/>
  <c r="M4630" i="72"/>
  <c r="M4631" i="72"/>
  <c r="M4632" i="72"/>
  <c r="M4633" i="72"/>
  <c r="M4634" i="72"/>
  <c r="M4635" i="72"/>
  <c r="M4636" i="72"/>
  <c r="M4637" i="72"/>
  <c r="M4638" i="72"/>
  <c r="M4639" i="72"/>
  <c r="M4640" i="72"/>
  <c r="M4641" i="72"/>
  <c r="M4642" i="72"/>
  <c r="M4643" i="72"/>
  <c r="M4644" i="72"/>
  <c r="M4645" i="72"/>
  <c r="M4646" i="72"/>
  <c r="M4647" i="72"/>
  <c r="M4648" i="72"/>
  <c r="M4649" i="72"/>
  <c r="M4650" i="72"/>
  <c r="M4651" i="72"/>
  <c r="M4652" i="72"/>
  <c r="M4653" i="72"/>
  <c r="M4654" i="72"/>
  <c r="M4655" i="72"/>
  <c r="M4656" i="72"/>
  <c r="M4657" i="72"/>
  <c r="M4658" i="72"/>
  <c r="M4659" i="72"/>
  <c r="M4660" i="72"/>
  <c r="M4661" i="72"/>
  <c r="M4662" i="72"/>
  <c r="M4663" i="72"/>
  <c r="M4664" i="72"/>
  <c r="M4665" i="72"/>
  <c r="M4666" i="72"/>
  <c r="M4667" i="72"/>
  <c r="M4668" i="72"/>
  <c r="M4669" i="72"/>
  <c r="M4670" i="72"/>
  <c r="M4671" i="72"/>
  <c r="M4672" i="72"/>
  <c r="M4673" i="72"/>
  <c r="M4674" i="72"/>
  <c r="M4675" i="72"/>
  <c r="M4676" i="72"/>
  <c r="M4677" i="72"/>
  <c r="M4678" i="72"/>
  <c r="M4679" i="72"/>
  <c r="M4680" i="72"/>
  <c r="M4681" i="72"/>
  <c r="M4682" i="72"/>
  <c r="M4683" i="72"/>
  <c r="M4684" i="72"/>
  <c r="M4685" i="72"/>
  <c r="M4686" i="72"/>
  <c r="M4687" i="72"/>
  <c r="M4688" i="72"/>
  <c r="M4689" i="72"/>
  <c r="M4690" i="72"/>
  <c r="M4691" i="72"/>
  <c r="M4692" i="72"/>
  <c r="M4693" i="72"/>
  <c r="M4694" i="72"/>
  <c r="M4695" i="72"/>
  <c r="M4696" i="72"/>
  <c r="M4697" i="72"/>
  <c r="M4698" i="72"/>
  <c r="M4699" i="72"/>
  <c r="M4700" i="72"/>
  <c r="M4701" i="72"/>
  <c r="M4702" i="72"/>
  <c r="M4703" i="72"/>
  <c r="M4704" i="72"/>
  <c r="M4705" i="72"/>
  <c r="M4706" i="72"/>
  <c r="M4707" i="72"/>
  <c r="M4708" i="72"/>
  <c r="M4709" i="72"/>
  <c r="M4710" i="72"/>
  <c r="M4711" i="72"/>
  <c r="M4712" i="72"/>
  <c r="M4713" i="72"/>
  <c r="M4714" i="72"/>
  <c r="M4715" i="72"/>
  <c r="M4716" i="72"/>
  <c r="M4717" i="72"/>
  <c r="M4718" i="72"/>
  <c r="M4719" i="72"/>
  <c r="M4720" i="72"/>
  <c r="M4721" i="72"/>
  <c r="M4722" i="72"/>
  <c r="M4723" i="72"/>
  <c r="M4724" i="72"/>
  <c r="M4725" i="72"/>
  <c r="M4726" i="72"/>
  <c r="M4727" i="72"/>
  <c r="M4728" i="72"/>
  <c r="M4729" i="72"/>
  <c r="M4730" i="72"/>
  <c r="M4731" i="72"/>
  <c r="M4732" i="72"/>
  <c r="M4733" i="72"/>
  <c r="M4734" i="72"/>
  <c r="M4735" i="72"/>
  <c r="M4736" i="72"/>
  <c r="M4737" i="72"/>
  <c r="M4738" i="72"/>
  <c r="M4739" i="72"/>
  <c r="M4740" i="72"/>
  <c r="M4741" i="72"/>
  <c r="M4742" i="72"/>
  <c r="M4743" i="72"/>
  <c r="M4744" i="72"/>
  <c r="M4745" i="72"/>
  <c r="M4746" i="72"/>
  <c r="M4747" i="72"/>
  <c r="M4748" i="72"/>
  <c r="M4749" i="72"/>
  <c r="M4750" i="72"/>
  <c r="M4751" i="72"/>
  <c r="M4752" i="72"/>
  <c r="M4753" i="72"/>
  <c r="M4754" i="72"/>
  <c r="M4755" i="72"/>
  <c r="M4756" i="72"/>
  <c r="M4757" i="72"/>
  <c r="M4758" i="72"/>
  <c r="M4759" i="72"/>
  <c r="M4760" i="72"/>
  <c r="M4761" i="72"/>
  <c r="M4762" i="72"/>
  <c r="M4763" i="72"/>
  <c r="M4764" i="72"/>
  <c r="M4765" i="72"/>
  <c r="M4766" i="72"/>
  <c r="M4767" i="72"/>
  <c r="M4768" i="72"/>
  <c r="M4769" i="72"/>
  <c r="M4770" i="72"/>
  <c r="M4771" i="72"/>
  <c r="M4772" i="72"/>
  <c r="M4773" i="72"/>
  <c r="M4774" i="72"/>
  <c r="M4775" i="72"/>
  <c r="M4776" i="72"/>
  <c r="M4777" i="72"/>
  <c r="M4778" i="72"/>
  <c r="M4779" i="72"/>
  <c r="M4780" i="72"/>
  <c r="M4781" i="72"/>
  <c r="M4782" i="72"/>
  <c r="M4783" i="72"/>
  <c r="M4784" i="72"/>
  <c r="M4785" i="72"/>
  <c r="M4786" i="72"/>
  <c r="M4787" i="72"/>
  <c r="M4788" i="72"/>
  <c r="M4789" i="72"/>
  <c r="M4790" i="72"/>
  <c r="M4791" i="72"/>
  <c r="M4792" i="72"/>
  <c r="M4793" i="72"/>
  <c r="M4794" i="72"/>
  <c r="M4795" i="72"/>
  <c r="M4796" i="72"/>
  <c r="M4797" i="72"/>
  <c r="M4798" i="72"/>
  <c r="M4799" i="72"/>
  <c r="M4800" i="72"/>
  <c r="M4801" i="72"/>
  <c r="M4802" i="72"/>
  <c r="M4803" i="72"/>
  <c r="M4804" i="72"/>
  <c r="M4805" i="72"/>
  <c r="M4806" i="72"/>
  <c r="M4807" i="72"/>
  <c r="M4808" i="72"/>
  <c r="M4809" i="72"/>
  <c r="M4810" i="72"/>
  <c r="M4811" i="72"/>
  <c r="M4812" i="72"/>
  <c r="M4813" i="72"/>
  <c r="M4814" i="72"/>
  <c r="M4815" i="72"/>
  <c r="M4816" i="72"/>
  <c r="M4817" i="72"/>
  <c r="M4818" i="72"/>
  <c r="M4819" i="72"/>
  <c r="M4820" i="72"/>
  <c r="M4821" i="72"/>
  <c r="M4822" i="72"/>
  <c r="M4823" i="72"/>
  <c r="M4824" i="72"/>
  <c r="M4825" i="72"/>
  <c r="M4826" i="72"/>
  <c r="M4827" i="72"/>
  <c r="M4828" i="72"/>
  <c r="M4829" i="72"/>
  <c r="M4830" i="72"/>
  <c r="M4831" i="72"/>
  <c r="M4832" i="72"/>
  <c r="M4833" i="72"/>
  <c r="M4834" i="72"/>
  <c r="M4835" i="72"/>
  <c r="M4836" i="72"/>
  <c r="M4837" i="72"/>
  <c r="M4838" i="72"/>
  <c r="M4839" i="72"/>
  <c r="M4840" i="72"/>
  <c r="M4841" i="72"/>
  <c r="M4842" i="72"/>
  <c r="M4843" i="72"/>
  <c r="M4844" i="72"/>
  <c r="M4845" i="72"/>
  <c r="M4846" i="72"/>
  <c r="M4847" i="72"/>
  <c r="M4848" i="72"/>
  <c r="M4849" i="72"/>
  <c r="M4850" i="72"/>
  <c r="M4851" i="72"/>
  <c r="M4852" i="72"/>
  <c r="M4853" i="72"/>
  <c r="M4854" i="72"/>
  <c r="M4855" i="72"/>
  <c r="M4856" i="72"/>
  <c r="M4857" i="72"/>
  <c r="M4858" i="72"/>
  <c r="M4859" i="72"/>
  <c r="M4860" i="72"/>
  <c r="M4861" i="72"/>
  <c r="M4862" i="72"/>
  <c r="M4863" i="72"/>
  <c r="M4864" i="72"/>
  <c r="M4865" i="72"/>
  <c r="M4866" i="72"/>
  <c r="M4867" i="72"/>
  <c r="M4868" i="72"/>
  <c r="M4869" i="72"/>
  <c r="M4870" i="72"/>
  <c r="M4871" i="72"/>
  <c r="M4872" i="72"/>
  <c r="M4873" i="72"/>
  <c r="M4874" i="72"/>
  <c r="M4875" i="72"/>
  <c r="M4876" i="72"/>
  <c r="M4877" i="72"/>
  <c r="M4878" i="72"/>
  <c r="M4879" i="72"/>
  <c r="M4880" i="72"/>
  <c r="M4881" i="72"/>
  <c r="M4882" i="72"/>
  <c r="M4883" i="72"/>
  <c r="M4884" i="72"/>
  <c r="M4885" i="72"/>
  <c r="M4886" i="72"/>
  <c r="M4887" i="72"/>
  <c r="M4888" i="72"/>
  <c r="M4889" i="72"/>
  <c r="M4890" i="72"/>
  <c r="M4891" i="72"/>
  <c r="M4892" i="72"/>
  <c r="M4893" i="72"/>
  <c r="M4894" i="72"/>
  <c r="M4895" i="72"/>
  <c r="M4896" i="72"/>
  <c r="M4897" i="72"/>
  <c r="M4898" i="72"/>
  <c r="M4899" i="72"/>
  <c r="M4900" i="72"/>
  <c r="M4901" i="72"/>
  <c r="M4902" i="72"/>
  <c r="M4903" i="72"/>
  <c r="M4904" i="72"/>
  <c r="M4905" i="72"/>
  <c r="M4906" i="72"/>
  <c r="M4907" i="72"/>
  <c r="M4908" i="72"/>
  <c r="M4909" i="72"/>
  <c r="M4910" i="72"/>
  <c r="M4911" i="72"/>
  <c r="M4912" i="72"/>
  <c r="M4913" i="72"/>
  <c r="M4914" i="72"/>
  <c r="M4915" i="72"/>
  <c r="M4916" i="72"/>
  <c r="M4917" i="72"/>
  <c r="M4918" i="72"/>
  <c r="M4919" i="72"/>
  <c r="M4920" i="72"/>
  <c r="M4921" i="72"/>
  <c r="M4922" i="72"/>
  <c r="M4923" i="72"/>
  <c r="M4924" i="72"/>
  <c r="M4925" i="72"/>
  <c r="M4926" i="72"/>
  <c r="M4927" i="72"/>
  <c r="M4928" i="72"/>
  <c r="M4929" i="72"/>
  <c r="M4930" i="72"/>
  <c r="M4931" i="72"/>
  <c r="M4932" i="72"/>
  <c r="M4933" i="72"/>
  <c r="M4934" i="72"/>
  <c r="M4935" i="72"/>
  <c r="M4936" i="72"/>
  <c r="M4937" i="72"/>
  <c r="M4938" i="72"/>
  <c r="M4939" i="72"/>
  <c r="M4940" i="72"/>
  <c r="M4941" i="72"/>
  <c r="M4942" i="72"/>
  <c r="M4943" i="72"/>
  <c r="M4944" i="72"/>
  <c r="M4945" i="72"/>
  <c r="M4946" i="72"/>
  <c r="M4947" i="72"/>
  <c r="M4948" i="72"/>
  <c r="M4949" i="72"/>
  <c r="M4950" i="72"/>
  <c r="M4951" i="72"/>
  <c r="M4952" i="72"/>
  <c r="M4953" i="72"/>
  <c r="M4954" i="72"/>
  <c r="M4955" i="72"/>
  <c r="M4956" i="72"/>
  <c r="M4957" i="72"/>
  <c r="M4958" i="72"/>
  <c r="M4959" i="72"/>
  <c r="M4960" i="72"/>
  <c r="M4961" i="72"/>
  <c r="M4962" i="72"/>
  <c r="M4963" i="72"/>
  <c r="M4964" i="72"/>
  <c r="M4965" i="72"/>
  <c r="M4966" i="72"/>
  <c r="M4967" i="72"/>
  <c r="M4968" i="72"/>
  <c r="M4969" i="72"/>
  <c r="M4970" i="72"/>
  <c r="M4971" i="72"/>
  <c r="M4972" i="72"/>
  <c r="M4973" i="72"/>
  <c r="M4974" i="72"/>
  <c r="M4975" i="72"/>
  <c r="M4976" i="72"/>
  <c r="M4977" i="72"/>
  <c r="M4978" i="72"/>
  <c r="M4979" i="72"/>
  <c r="M4980" i="72"/>
  <c r="M4981" i="72"/>
  <c r="M4982" i="72"/>
  <c r="M4983" i="72"/>
  <c r="M4984" i="72"/>
  <c r="M4985" i="72"/>
  <c r="M4986" i="72"/>
  <c r="M4987" i="72"/>
  <c r="M4988" i="72"/>
  <c r="M4989" i="72"/>
  <c r="M4990" i="72"/>
  <c r="M4991" i="72"/>
  <c r="M4992" i="72"/>
  <c r="M4993" i="72"/>
  <c r="M4994" i="72"/>
  <c r="M4995" i="72"/>
  <c r="M4996" i="72"/>
  <c r="M4997" i="72"/>
  <c r="M4998" i="72"/>
  <c r="M4999" i="72"/>
  <c r="M5000" i="72"/>
  <c r="M5001" i="72"/>
  <c r="M5002" i="72"/>
  <c r="M5003" i="72"/>
  <c r="M5004" i="72"/>
  <c r="M5005" i="72"/>
  <c r="M5006" i="72"/>
  <c r="M5007" i="72"/>
  <c r="M5008" i="72"/>
  <c r="M5009" i="72"/>
  <c r="M5010" i="72"/>
  <c r="M5011" i="72"/>
  <c r="M5012" i="72"/>
  <c r="M5013" i="72"/>
  <c r="M5014" i="72"/>
  <c r="M5015" i="72"/>
  <c r="M5016" i="72"/>
  <c r="M5017" i="72"/>
  <c r="M5018" i="72"/>
  <c r="M5019" i="72"/>
  <c r="M5020" i="72"/>
  <c r="M5021" i="72"/>
  <c r="M5022" i="72"/>
  <c r="M5023" i="72"/>
  <c r="M5024" i="72"/>
  <c r="M5025" i="72"/>
  <c r="M5026" i="72"/>
  <c r="M5027" i="72"/>
  <c r="M5028" i="72"/>
  <c r="M5029" i="72"/>
  <c r="M5030" i="72"/>
  <c r="M5031" i="72"/>
  <c r="M5032" i="72"/>
  <c r="M5033" i="72"/>
  <c r="M5034" i="72"/>
  <c r="M5035" i="72"/>
  <c r="M5036" i="72"/>
  <c r="M5037" i="72"/>
  <c r="H2302" i="9"/>
  <c r="H2453" i="9"/>
  <c r="K361" i="72"/>
  <c r="L361" i="72"/>
  <c r="K362" i="72"/>
  <c r="L362" i="72"/>
  <c r="K363" i="72"/>
  <c r="L363" i="72"/>
  <c r="K364" i="72"/>
  <c r="L364" i="72"/>
  <c r="K365" i="72"/>
  <c r="L365" i="72"/>
  <c r="K366" i="72"/>
  <c r="L366" i="72"/>
  <c r="K367" i="72"/>
  <c r="L367" i="72"/>
  <c r="K368" i="72"/>
  <c r="L368" i="72"/>
  <c r="K369" i="72"/>
  <c r="L369" i="72"/>
  <c r="K370" i="72"/>
  <c r="L370" i="72"/>
  <c r="K371" i="72"/>
  <c r="L371" i="72"/>
  <c r="K372" i="72"/>
  <c r="L372" i="72"/>
  <c r="K373" i="72"/>
  <c r="L373" i="72"/>
  <c r="K374" i="72"/>
  <c r="L374" i="72"/>
  <c r="K375" i="72"/>
  <c r="L375" i="72"/>
  <c r="K376" i="72"/>
  <c r="L376" i="72"/>
  <c r="K377" i="72"/>
  <c r="L377" i="72"/>
  <c r="K378" i="72"/>
  <c r="L378" i="72"/>
  <c r="K379" i="72"/>
  <c r="L379" i="72"/>
  <c r="K380" i="72"/>
  <c r="L380" i="72"/>
  <c r="K381" i="72"/>
  <c r="L381" i="72"/>
  <c r="K382" i="72"/>
  <c r="L382" i="72"/>
  <c r="K383" i="72"/>
  <c r="L383" i="72"/>
  <c r="K384" i="72"/>
  <c r="L384" i="72"/>
  <c r="K385" i="72"/>
  <c r="L385" i="72"/>
  <c r="K386" i="72"/>
  <c r="L386" i="72"/>
  <c r="K387" i="72"/>
  <c r="L387" i="72"/>
  <c r="K388" i="72"/>
  <c r="L388" i="72"/>
  <c r="K389" i="72"/>
  <c r="L389" i="72"/>
  <c r="K390" i="72"/>
  <c r="L390" i="72"/>
  <c r="K391" i="72"/>
  <c r="L391" i="72"/>
  <c r="K392" i="72"/>
  <c r="L392" i="72"/>
  <c r="K393" i="72"/>
  <c r="L393" i="72"/>
  <c r="K394" i="72"/>
  <c r="L394" i="72"/>
  <c r="K395" i="72"/>
  <c r="L395" i="72"/>
  <c r="K396" i="72"/>
  <c r="L396" i="72"/>
  <c r="K397" i="72"/>
  <c r="L397" i="72"/>
  <c r="K398" i="72"/>
  <c r="L398" i="72"/>
  <c r="K399" i="72"/>
  <c r="L399" i="72"/>
  <c r="K400" i="72"/>
  <c r="L400" i="72"/>
  <c r="K401" i="72"/>
  <c r="L401" i="72"/>
  <c r="K402" i="72"/>
  <c r="L402" i="72"/>
  <c r="K403" i="72"/>
  <c r="L403" i="72"/>
  <c r="K404" i="72"/>
  <c r="L404" i="72"/>
  <c r="K405" i="72"/>
  <c r="L405" i="72"/>
  <c r="K406" i="72"/>
  <c r="L406" i="72"/>
  <c r="K407" i="72"/>
  <c r="L407" i="72"/>
  <c r="K408" i="72"/>
  <c r="L408" i="72"/>
  <c r="K409" i="72"/>
  <c r="L409" i="72"/>
  <c r="K410" i="72"/>
  <c r="L410" i="72"/>
  <c r="K411" i="72"/>
  <c r="L411" i="72"/>
  <c r="K412" i="72"/>
  <c r="L412" i="72"/>
  <c r="K413" i="72"/>
  <c r="L413" i="72"/>
  <c r="K414" i="72"/>
  <c r="L414" i="72"/>
  <c r="K415" i="72"/>
  <c r="L415" i="72"/>
  <c r="K416" i="72"/>
  <c r="L416" i="72"/>
  <c r="K417" i="72"/>
  <c r="L417" i="72"/>
  <c r="K418" i="72"/>
  <c r="L418" i="72"/>
  <c r="K419" i="72"/>
  <c r="L419" i="72"/>
  <c r="K420" i="72"/>
  <c r="L420" i="72" s="1"/>
  <c r="K421" i="72"/>
  <c r="L421" i="72"/>
  <c r="K422" i="72"/>
  <c r="L422" i="72" s="1"/>
  <c r="K423" i="72"/>
  <c r="L423" i="72"/>
  <c r="K424" i="72"/>
  <c r="L424" i="72" s="1"/>
  <c r="K425" i="72"/>
  <c r="L425" i="72"/>
  <c r="K426" i="72"/>
  <c r="L426" i="72" s="1"/>
  <c r="K427" i="72"/>
  <c r="L427" i="72"/>
  <c r="K428" i="72"/>
  <c r="L428" i="72" s="1"/>
  <c r="K429" i="72"/>
  <c r="L429" i="72"/>
  <c r="K430" i="72"/>
  <c r="L430" i="72" s="1"/>
  <c r="K431" i="72"/>
  <c r="L431" i="72"/>
  <c r="K432" i="72"/>
  <c r="L432" i="72" s="1"/>
  <c r="K433" i="72"/>
  <c r="L433" i="72"/>
  <c r="K434" i="72"/>
  <c r="L434" i="72" s="1"/>
  <c r="K435" i="72"/>
  <c r="L435" i="72"/>
  <c r="K436" i="72"/>
  <c r="L436" i="72" s="1"/>
  <c r="K437" i="72"/>
  <c r="L437" i="72"/>
  <c r="K438" i="72"/>
  <c r="L438" i="72" s="1"/>
  <c r="K439" i="72"/>
  <c r="L439" i="72"/>
  <c r="K440" i="72"/>
  <c r="L440" i="72" s="1"/>
  <c r="K441" i="72"/>
  <c r="L441" i="72"/>
  <c r="K442" i="72"/>
  <c r="L442" i="72" s="1"/>
  <c r="K443" i="72"/>
  <c r="L443" i="72"/>
  <c r="K444" i="72"/>
  <c r="L444" i="72" s="1"/>
  <c r="K445" i="72"/>
  <c r="L445" i="72" s="1"/>
  <c r="K446" i="72"/>
  <c r="L446" i="72" s="1"/>
  <c r="K447" i="72"/>
  <c r="L447" i="72"/>
  <c r="K448" i="72"/>
  <c r="L448" i="72" s="1"/>
  <c r="K449" i="72"/>
  <c r="L449" i="72" s="1"/>
  <c r="K450" i="72"/>
  <c r="L450" i="72" s="1"/>
  <c r="K451" i="72"/>
  <c r="L451" i="72"/>
  <c r="K452" i="72"/>
  <c r="L452" i="72" s="1"/>
  <c r="K453" i="72"/>
  <c r="L453" i="72" s="1"/>
  <c r="K454" i="72"/>
  <c r="L454" i="72" s="1"/>
  <c r="K455" i="72"/>
  <c r="L455" i="72" s="1"/>
  <c r="K456" i="72"/>
  <c r="L456" i="72" s="1"/>
  <c r="K457" i="72"/>
  <c r="L457" i="72" s="1"/>
  <c r="K458" i="72"/>
  <c r="L458" i="72" s="1"/>
  <c r="K459" i="72"/>
  <c r="L459" i="72" s="1"/>
  <c r="K460" i="72"/>
  <c r="L460" i="72" s="1"/>
  <c r="K461" i="72"/>
  <c r="L461" i="72" s="1"/>
  <c r="K462" i="72"/>
  <c r="L462" i="72" s="1"/>
  <c r="K463" i="72"/>
  <c r="L463" i="72" s="1"/>
  <c r="K464" i="72"/>
  <c r="L464" i="72" s="1"/>
  <c r="K465" i="72"/>
  <c r="L465" i="72" s="1"/>
  <c r="K466" i="72"/>
  <c r="L466" i="72" s="1"/>
  <c r="K467" i="72"/>
  <c r="L467" i="72" s="1"/>
  <c r="K468" i="72"/>
  <c r="L468" i="72" s="1"/>
  <c r="K469" i="72"/>
  <c r="L469" i="72" s="1"/>
  <c r="K470" i="72"/>
  <c r="L470" i="72" s="1"/>
  <c r="K471" i="72"/>
  <c r="L471" i="72" s="1"/>
  <c r="K472" i="72"/>
  <c r="L472" i="72" s="1"/>
  <c r="K473" i="72"/>
  <c r="L473" i="72" s="1"/>
  <c r="K474" i="72"/>
  <c r="L474" i="72" s="1"/>
  <c r="K475" i="72"/>
  <c r="L475" i="72" s="1"/>
  <c r="K476" i="72"/>
  <c r="L476" i="72" s="1"/>
  <c r="K477" i="72"/>
  <c r="L477" i="72" s="1"/>
  <c r="K478" i="72"/>
  <c r="L478" i="72" s="1"/>
  <c r="K479" i="72"/>
  <c r="L479" i="72" s="1"/>
  <c r="K480" i="72"/>
  <c r="L480" i="72" s="1"/>
  <c r="K481" i="72"/>
  <c r="L481" i="72" s="1"/>
  <c r="K482" i="72"/>
  <c r="L482" i="72" s="1"/>
  <c r="K483" i="72"/>
  <c r="L483" i="72" s="1"/>
  <c r="K484" i="72"/>
  <c r="L484" i="72" s="1"/>
  <c r="K485" i="72"/>
  <c r="L485" i="72" s="1"/>
  <c r="K486" i="72"/>
  <c r="L486" i="72" s="1"/>
  <c r="K487" i="72"/>
  <c r="L487" i="72" s="1"/>
  <c r="K488" i="72"/>
  <c r="L488" i="72" s="1"/>
  <c r="K489" i="72"/>
  <c r="L489" i="72" s="1"/>
  <c r="K490" i="72"/>
  <c r="L490" i="72" s="1"/>
  <c r="K491" i="72"/>
  <c r="L491" i="72" s="1"/>
  <c r="K492" i="72"/>
  <c r="L492" i="72" s="1"/>
  <c r="K493" i="72"/>
  <c r="L493" i="72" s="1"/>
  <c r="K494" i="72"/>
  <c r="L494" i="72" s="1"/>
  <c r="K495" i="72"/>
  <c r="L495" i="72" s="1"/>
  <c r="K496" i="72"/>
  <c r="L496" i="72" s="1"/>
  <c r="K497" i="72"/>
  <c r="L497" i="72" s="1"/>
  <c r="K498" i="72"/>
  <c r="L498" i="72" s="1"/>
  <c r="K499" i="72"/>
  <c r="L499" i="72" s="1"/>
  <c r="K500" i="72"/>
  <c r="L500" i="72" s="1"/>
  <c r="K501" i="72"/>
  <c r="L501" i="72" s="1"/>
  <c r="K502" i="72"/>
  <c r="L502" i="72" s="1"/>
  <c r="K503" i="72"/>
  <c r="L503" i="72" s="1"/>
  <c r="K504" i="72"/>
  <c r="L504" i="72" s="1"/>
  <c r="K505" i="72"/>
  <c r="L505" i="72" s="1"/>
  <c r="K506" i="72"/>
  <c r="L506" i="72" s="1"/>
  <c r="K507" i="72"/>
  <c r="L507" i="72" s="1"/>
  <c r="K508" i="72"/>
  <c r="L508" i="72" s="1"/>
  <c r="K509" i="72"/>
  <c r="L509" i="72" s="1"/>
  <c r="K510" i="72"/>
  <c r="L510" i="72" s="1"/>
  <c r="K511" i="72"/>
  <c r="L511" i="72" s="1"/>
  <c r="K512" i="72"/>
  <c r="L512" i="72" s="1"/>
  <c r="K513" i="72"/>
  <c r="L513" i="72" s="1"/>
  <c r="K514" i="72"/>
  <c r="L514" i="72" s="1"/>
  <c r="K515" i="72"/>
  <c r="L515" i="72" s="1"/>
  <c r="K516" i="72"/>
  <c r="L516" i="72" s="1"/>
  <c r="K517" i="72"/>
  <c r="L517" i="72" s="1"/>
  <c r="K518" i="72"/>
  <c r="L518" i="72" s="1"/>
  <c r="K519" i="72"/>
  <c r="L519" i="72" s="1"/>
  <c r="K520" i="72"/>
  <c r="L520" i="72" s="1"/>
  <c r="K521" i="72"/>
  <c r="L521" i="72" s="1"/>
  <c r="K522" i="72"/>
  <c r="L522" i="72" s="1"/>
  <c r="K523" i="72"/>
  <c r="L523" i="72" s="1"/>
  <c r="K524" i="72"/>
  <c r="L524" i="72" s="1"/>
  <c r="K525" i="72"/>
  <c r="L525" i="72" s="1"/>
  <c r="K526" i="72"/>
  <c r="L526" i="72" s="1"/>
  <c r="K527" i="72"/>
  <c r="L527" i="72" s="1"/>
  <c r="K528" i="72"/>
  <c r="L528" i="72" s="1"/>
  <c r="K529" i="72"/>
  <c r="L529" i="72" s="1"/>
  <c r="K530" i="72"/>
  <c r="L530" i="72" s="1"/>
  <c r="K531" i="72"/>
  <c r="L531" i="72" s="1"/>
  <c r="K532" i="72"/>
  <c r="L532" i="72" s="1"/>
  <c r="K533" i="72"/>
  <c r="L533" i="72" s="1"/>
  <c r="K534" i="72"/>
  <c r="L534" i="72" s="1"/>
  <c r="K535" i="72"/>
  <c r="L535" i="72" s="1"/>
  <c r="K536" i="72"/>
  <c r="L536" i="72" s="1"/>
  <c r="K537" i="72"/>
  <c r="L537" i="72" s="1"/>
  <c r="K538" i="72"/>
  <c r="L538" i="72" s="1"/>
  <c r="K539" i="72"/>
  <c r="L539" i="72" s="1"/>
  <c r="K540" i="72"/>
  <c r="L540" i="72" s="1"/>
  <c r="K541" i="72"/>
  <c r="L541" i="72" s="1"/>
  <c r="K542" i="72"/>
  <c r="L542" i="72" s="1"/>
  <c r="K543" i="72"/>
  <c r="L543" i="72" s="1"/>
  <c r="K544" i="72"/>
  <c r="L544" i="72" s="1"/>
  <c r="K545" i="72"/>
  <c r="L545" i="72" s="1"/>
  <c r="K546" i="72"/>
  <c r="L546" i="72" s="1"/>
  <c r="K547" i="72"/>
  <c r="L547" i="72" s="1"/>
  <c r="K548" i="72"/>
  <c r="L548" i="72" s="1"/>
  <c r="K549" i="72"/>
  <c r="L549" i="72" s="1"/>
  <c r="K550" i="72"/>
  <c r="L550" i="72" s="1"/>
  <c r="K551" i="72"/>
  <c r="L551" i="72" s="1"/>
  <c r="K552" i="72"/>
  <c r="L552" i="72" s="1"/>
  <c r="K553" i="72"/>
  <c r="L553" i="72" s="1"/>
  <c r="K554" i="72"/>
  <c r="L554" i="72" s="1"/>
  <c r="K555" i="72"/>
  <c r="L555" i="72" s="1"/>
  <c r="K556" i="72"/>
  <c r="L556" i="72" s="1"/>
  <c r="K557" i="72"/>
  <c r="L557" i="72" s="1"/>
  <c r="K558" i="72"/>
  <c r="L558" i="72" s="1"/>
  <c r="K559" i="72"/>
  <c r="L559" i="72" s="1"/>
  <c r="K560" i="72"/>
  <c r="L560" i="72" s="1"/>
  <c r="K561" i="72"/>
  <c r="L561" i="72" s="1"/>
  <c r="K562" i="72"/>
  <c r="L562" i="72" s="1"/>
  <c r="K563" i="72"/>
  <c r="L563" i="72" s="1"/>
  <c r="K564" i="72"/>
  <c r="L564" i="72" s="1"/>
  <c r="K565" i="72"/>
  <c r="L565" i="72" s="1"/>
  <c r="K566" i="72"/>
  <c r="L566" i="72" s="1"/>
  <c r="K567" i="72"/>
  <c r="L567" i="72" s="1"/>
  <c r="K568" i="72"/>
  <c r="L568" i="72" s="1"/>
  <c r="K569" i="72"/>
  <c r="L569" i="72" s="1"/>
  <c r="K570" i="72"/>
  <c r="L570" i="72" s="1"/>
  <c r="K571" i="72"/>
  <c r="L571" i="72" s="1"/>
  <c r="K572" i="72"/>
  <c r="L572" i="72" s="1"/>
  <c r="K573" i="72"/>
  <c r="L573" i="72" s="1"/>
  <c r="K574" i="72"/>
  <c r="L574" i="72" s="1"/>
  <c r="K575" i="72"/>
  <c r="L575" i="72" s="1"/>
  <c r="K576" i="72"/>
  <c r="L576" i="72" s="1"/>
  <c r="K577" i="72"/>
  <c r="L577" i="72" s="1"/>
  <c r="K578" i="72"/>
  <c r="L578" i="72" s="1"/>
  <c r="K579" i="72"/>
  <c r="L579" i="72" s="1"/>
  <c r="K580" i="72"/>
  <c r="L580" i="72" s="1"/>
  <c r="K581" i="72"/>
  <c r="L581" i="72" s="1"/>
  <c r="K582" i="72"/>
  <c r="L582" i="72" s="1"/>
  <c r="K583" i="72"/>
  <c r="L583" i="72" s="1"/>
  <c r="K584" i="72"/>
  <c r="L584" i="72" s="1"/>
  <c r="K585" i="72"/>
  <c r="L585" i="72" s="1"/>
  <c r="K586" i="72"/>
  <c r="L586" i="72" s="1"/>
  <c r="K587" i="72"/>
  <c r="L587" i="72" s="1"/>
  <c r="K588" i="72"/>
  <c r="L588" i="72" s="1"/>
  <c r="K589" i="72"/>
  <c r="L589" i="72" s="1"/>
  <c r="K590" i="72"/>
  <c r="L590" i="72" s="1"/>
  <c r="K591" i="72"/>
  <c r="L591" i="72" s="1"/>
  <c r="K592" i="72"/>
  <c r="L592" i="72" s="1"/>
  <c r="K593" i="72"/>
  <c r="L593" i="72" s="1"/>
  <c r="K594" i="72"/>
  <c r="L594" i="72" s="1"/>
  <c r="K595" i="72"/>
  <c r="L595" i="72" s="1"/>
  <c r="K596" i="72"/>
  <c r="L596" i="72" s="1"/>
  <c r="K597" i="72"/>
  <c r="L597" i="72" s="1"/>
  <c r="K598" i="72"/>
  <c r="L598" i="72" s="1"/>
  <c r="K599" i="72"/>
  <c r="L599" i="72" s="1"/>
  <c r="K600" i="72"/>
  <c r="L600" i="72" s="1"/>
  <c r="K601" i="72"/>
  <c r="L601" i="72" s="1"/>
  <c r="K602" i="72"/>
  <c r="L602" i="72" s="1"/>
  <c r="K603" i="72"/>
  <c r="L603" i="72" s="1"/>
  <c r="K604" i="72"/>
  <c r="L604" i="72" s="1"/>
  <c r="K605" i="72"/>
  <c r="L605" i="72" s="1"/>
  <c r="K606" i="72"/>
  <c r="L606" i="72" s="1"/>
  <c r="K607" i="72"/>
  <c r="L607" i="72" s="1"/>
  <c r="K608" i="72"/>
  <c r="L608" i="72" s="1"/>
  <c r="K609" i="72"/>
  <c r="L609" i="72" s="1"/>
  <c r="K610" i="72"/>
  <c r="L610" i="72" s="1"/>
  <c r="K611" i="72"/>
  <c r="L611" i="72" s="1"/>
  <c r="K612" i="72"/>
  <c r="L612" i="72" s="1"/>
  <c r="K613" i="72"/>
  <c r="L613" i="72" s="1"/>
  <c r="K614" i="72"/>
  <c r="L614" i="72" s="1"/>
  <c r="K615" i="72"/>
  <c r="L615" i="72"/>
  <c r="K616" i="72"/>
  <c r="L616" i="72" s="1"/>
  <c r="K617" i="72"/>
  <c r="L617" i="72" s="1"/>
  <c r="K618" i="72"/>
  <c r="L618" i="72" s="1"/>
  <c r="K619" i="72"/>
  <c r="L619" i="72" s="1"/>
  <c r="K620" i="72"/>
  <c r="L620" i="72" s="1"/>
  <c r="K621" i="72"/>
  <c r="L621" i="72" s="1"/>
  <c r="K622" i="72"/>
  <c r="L622" i="72" s="1"/>
  <c r="K623" i="72"/>
  <c r="L623" i="72" s="1"/>
  <c r="K624" i="72"/>
  <c r="L624" i="72" s="1"/>
  <c r="K625" i="72"/>
  <c r="L625" i="72" s="1"/>
  <c r="K626" i="72"/>
  <c r="L626" i="72" s="1"/>
  <c r="K627" i="72"/>
  <c r="L627" i="72" s="1"/>
  <c r="K628" i="72"/>
  <c r="L628" i="72" s="1"/>
  <c r="K629" i="72"/>
  <c r="L629" i="72" s="1"/>
  <c r="K630" i="72"/>
  <c r="L630" i="72" s="1"/>
  <c r="K631" i="72"/>
  <c r="L631" i="72" s="1"/>
  <c r="K632" i="72"/>
  <c r="L632" i="72" s="1"/>
  <c r="K633" i="72"/>
  <c r="L633" i="72" s="1"/>
  <c r="K634" i="72"/>
  <c r="L634" i="72" s="1"/>
  <c r="K635" i="72"/>
  <c r="L635" i="72" s="1"/>
  <c r="K636" i="72"/>
  <c r="L636" i="72" s="1"/>
  <c r="K637" i="72"/>
  <c r="L637" i="72" s="1"/>
  <c r="K638" i="72"/>
  <c r="L638" i="72" s="1"/>
  <c r="K639" i="72"/>
  <c r="L639" i="72" s="1"/>
  <c r="K640" i="72"/>
  <c r="L640" i="72" s="1"/>
  <c r="K641" i="72"/>
  <c r="L641" i="72" s="1"/>
  <c r="K642" i="72"/>
  <c r="L642" i="72" s="1"/>
  <c r="K643" i="72"/>
  <c r="L643" i="72" s="1"/>
  <c r="K644" i="72"/>
  <c r="L644" i="72" s="1"/>
  <c r="K645" i="72"/>
  <c r="L645" i="72" s="1"/>
  <c r="K646" i="72"/>
  <c r="L646" i="72" s="1"/>
  <c r="K647" i="72"/>
  <c r="L647" i="72" s="1"/>
  <c r="K648" i="72"/>
  <c r="L648" i="72" s="1"/>
  <c r="K649" i="72"/>
  <c r="L649" i="72" s="1"/>
  <c r="K650" i="72"/>
  <c r="L650" i="72" s="1"/>
  <c r="K651" i="72"/>
  <c r="L651" i="72" s="1"/>
  <c r="K652" i="72"/>
  <c r="L652" i="72" s="1"/>
  <c r="K653" i="72"/>
  <c r="L653" i="72" s="1"/>
  <c r="K654" i="72"/>
  <c r="L654" i="72" s="1"/>
  <c r="K655" i="72"/>
  <c r="L655" i="72" s="1"/>
  <c r="K656" i="72"/>
  <c r="L656" i="72" s="1"/>
  <c r="K657" i="72"/>
  <c r="L657" i="72" s="1"/>
  <c r="K658" i="72"/>
  <c r="L658" i="72" s="1"/>
  <c r="K659" i="72"/>
  <c r="L659" i="72" s="1"/>
  <c r="K660" i="72"/>
  <c r="L660" i="72" s="1"/>
  <c r="K661" i="72"/>
  <c r="L661" i="72" s="1"/>
  <c r="K662" i="72"/>
  <c r="L662" i="72" s="1"/>
  <c r="K663" i="72"/>
  <c r="L663" i="72" s="1"/>
  <c r="K664" i="72"/>
  <c r="L664" i="72" s="1"/>
  <c r="K665" i="72"/>
  <c r="L665" i="72" s="1"/>
  <c r="K666" i="72"/>
  <c r="L666" i="72" s="1"/>
  <c r="K667" i="72"/>
  <c r="L667" i="72" s="1"/>
  <c r="K668" i="72"/>
  <c r="L668" i="72" s="1"/>
  <c r="K669" i="72"/>
  <c r="L669" i="72" s="1"/>
  <c r="K670" i="72"/>
  <c r="L670" i="72" s="1"/>
  <c r="K671" i="72"/>
  <c r="L671" i="72" s="1"/>
  <c r="K672" i="72"/>
  <c r="L672" i="72" s="1"/>
  <c r="K673" i="72"/>
  <c r="L673" i="72" s="1"/>
  <c r="K674" i="72"/>
  <c r="L674" i="72" s="1"/>
  <c r="K675" i="72"/>
  <c r="L675" i="72" s="1"/>
  <c r="K676" i="72"/>
  <c r="L676" i="72" s="1"/>
  <c r="K677" i="72"/>
  <c r="L677" i="72" s="1"/>
  <c r="K678" i="72"/>
  <c r="L678" i="72" s="1"/>
  <c r="K679" i="72"/>
  <c r="L679" i="72" s="1"/>
  <c r="K680" i="72"/>
  <c r="L680" i="72" s="1"/>
  <c r="K681" i="72"/>
  <c r="L681" i="72" s="1"/>
  <c r="K682" i="72"/>
  <c r="L682" i="72" s="1"/>
  <c r="K683" i="72"/>
  <c r="L683" i="72" s="1"/>
  <c r="K684" i="72"/>
  <c r="L684" i="72" s="1"/>
  <c r="K685" i="72"/>
  <c r="L685" i="72" s="1"/>
  <c r="K686" i="72"/>
  <c r="L686" i="72" s="1"/>
  <c r="K687" i="72"/>
  <c r="L687" i="72" s="1"/>
  <c r="K688" i="72"/>
  <c r="L688" i="72" s="1"/>
  <c r="K689" i="72"/>
  <c r="L689" i="72" s="1"/>
  <c r="K690" i="72"/>
  <c r="L690" i="72" s="1"/>
  <c r="K691" i="72"/>
  <c r="L691" i="72" s="1"/>
  <c r="K692" i="72"/>
  <c r="L692" i="72" s="1"/>
  <c r="K693" i="72"/>
  <c r="L693" i="72" s="1"/>
  <c r="K694" i="72"/>
  <c r="L694" i="72" s="1"/>
  <c r="K695" i="72"/>
  <c r="L695" i="72" s="1"/>
  <c r="K696" i="72"/>
  <c r="L696" i="72" s="1"/>
  <c r="K697" i="72"/>
  <c r="L697" i="72" s="1"/>
  <c r="K698" i="72"/>
  <c r="L698" i="72" s="1"/>
  <c r="K699" i="72"/>
  <c r="L699" i="72" s="1"/>
  <c r="K700" i="72"/>
  <c r="L700" i="72" s="1"/>
  <c r="K701" i="72"/>
  <c r="L701" i="72" s="1"/>
  <c r="K702" i="72"/>
  <c r="L702" i="72" s="1"/>
  <c r="K703" i="72"/>
  <c r="L703" i="72" s="1"/>
  <c r="K704" i="72"/>
  <c r="L704" i="72" s="1"/>
  <c r="K705" i="72"/>
  <c r="L705" i="72" s="1"/>
  <c r="K706" i="72"/>
  <c r="L706" i="72" s="1"/>
  <c r="K707" i="72"/>
  <c r="L707" i="72" s="1"/>
  <c r="K708" i="72"/>
  <c r="L708" i="72" s="1"/>
  <c r="K709" i="72"/>
  <c r="L709" i="72" s="1"/>
  <c r="K710" i="72"/>
  <c r="L710" i="72" s="1"/>
  <c r="K711" i="72"/>
  <c r="L711" i="72" s="1"/>
  <c r="K712" i="72"/>
  <c r="L712" i="72" s="1"/>
  <c r="K713" i="72"/>
  <c r="L713" i="72" s="1"/>
  <c r="K714" i="72"/>
  <c r="L714" i="72" s="1"/>
  <c r="K715" i="72"/>
  <c r="L715" i="72" s="1"/>
  <c r="K716" i="72"/>
  <c r="L716" i="72" s="1"/>
  <c r="K717" i="72"/>
  <c r="L717" i="72" s="1"/>
  <c r="K718" i="72"/>
  <c r="L718" i="72" s="1"/>
  <c r="K719" i="72"/>
  <c r="L719" i="72" s="1"/>
  <c r="K720" i="72"/>
  <c r="L720" i="72" s="1"/>
  <c r="K721" i="72"/>
  <c r="L721" i="72" s="1"/>
  <c r="K722" i="72"/>
  <c r="L722" i="72" s="1"/>
  <c r="K723" i="72"/>
  <c r="L723" i="72" s="1"/>
  <c r="K724" i="72"/>
  <c r="L724" i="72" s="1"/>
  <c r="K725" i="72"/>
  <c r="L725" i="72" s="1"/>
  <c r="K726" i="72"/>
  <c r="L726" i="72" s="1"/>
  <c r="K727" i="72"/>
  <c r="L727" i="72" s="1"/>
  <c r="K728" i="72"/>
  <c r="L728" i="72" s="1"/>
  <c r="K729" i="72"/>
  <c r="L729" i="72" s="1"/>
  <c r="K730" i="72"/>
  <c r="L730" i="72" s="1"/>
  <c r="K731" i="72"/>
  <c r="L731" i="72" s="1"/>
  <c r="K732" i="72"/>
  <c r="L732" i="72" s="1"/>
  <c r="K733" i="72"/>
  <c r="L733" i="72" s="1"/>
  <c r="K734" i="72"/>
  <c r="L734" i="72" s="1"/>
  <c r="K735" i="72"/>
  <c r="L735" i="72" s="1"/>
  <c r="K736" i="72"/>
  <c r="L736" i="72" s="1"/>
  <c r="K737" i="72"/>
  <c r="L737" i="72" s="1"/>
  <c r="K738" i="72"/>
  <c r="L738" i="72" s="1"/>
  <c r="K739" i="72"/>
  <c r="L739" i="72" s="1"/>
  <c r="K740" i="72"/>
  <c r="L740" i="72" s="1"/>
  <c r="K741" i="72"/>
  <c r="L741" i="72" s="1"/>
  <c r="K742" i="72"/>
  <c r="L742" i="72" s="1"/>
  <c r="K743" i="72"/>
  <c r="L743" i="72" s="1"/>
  <c r="K744" i="72"/>
  <c r="L744" i="72" s="1"/>
  <c r="K745" i="72"/>
  <c r="L745" i="72" s="1"/>
  <c r="K746" i="72"/>
  <c r="L746" i="72" s="1"/>
  <c r="K747" i="72"/>
  <c r="L747" i="72" s="1"/>
  <c r="K748" i="72"/>
  <c r="L748" i="72" s="1"/>
  <c r="K749" i="72"/>
  <c r="L749" i="72" s="1"/>
  <c r="K750" i="72"/>
  <c r="L750" i="72" s="1"/>
  <c r="K751" i="72"/>
  <c r="L751" i="72" s="1"/>
  <c r="K752" i="72"/>
  <c r="L752" i="72" s="1"/>
  <c r="K753" i="72"/>
  <c r="L753" i="72" s="1"/>
  <c r="K754" i="72"/>
  <c r="L754" i="72" s="1"/>
  <c r="K755" i="72"/>
  <c r="L755" i="72" s="1"/>
  <c r="K756" i="72"/>
  <c r="L756" i="72" s="1"/>
  <c r="K757" i="72"/>
  <c r="L757" i="72" s="1"/>
  <c r="K758" i="72"/>
  <c r="L758" i="72" s="1"/>
  <c r="K759" i="72"/>
  <c r="L759" i="72" s="1"/>
  <c r="K760" i="72"/>
  <c r="L760" i="72" s="1"/>
  <c r="K761" i="72"/>
  <c r="L761" i="72" s="1"/>
  <c r="K762" i="72"/>
  <c r="L762" i="72" s="1"/>
  <c r="K763" i="72"/>
  <c r="L763" i="72" s="1"/>
  <c r="K764" i="72"/>
  <c r="L764" i="72" s="1"/>
  <c r="K765" i="72"/>
  <c r="L765" i="72" s="1"/>
  <c r="K766" i="72"/>
  <c r="L766" i="72" s="1"/>
  <c r="K767" i="72"/>
  <c r="L767" i="72" s="1"/>
  <c r="K768" i="72"/>
  <c r="L768" i="72" s="1"/>
  <c r="K769" i="72"/>
  <c r="L769" i="72" s="1"/>
  <c r="K770" i="72"/>
  <c r="L770" i="72" s="1"/>
  <c r="K771" i="72"/>
  <c r="L771" i="72" s="1"/>
  <c r="K772" i="72"/>
  <c r="L772" i="72" s="1"/>
  <c r="K773" i="72"/>
  <c r="L773" i="72" s="1"/>
  <c r="K774" i="72"/>
  <c r="L774" i="72" s="1"/>
  <c r="K775" i="72"/>
  <c r="L775" i="72" s="1"/>
  <c r="K776" i="72"/>
  <c r="L776" i="72" s="1"/>
  <c r="K777" i="72"/>
  <c r="L777" i="72" s="1"/>
  <c r="K778" i="72"/>
  <c r="L778" i="72" s="1"/>
  <c r="K779" i="72"/>
  <c r="L779" i="72" s="1"/>
  <c r="K780" i="72"/>
  <c r="L780" i="72" s="1"/>
  <c r="K781" i="72"/>
  <c r="L781" i="72" s="1"/>
  <c r="K782" i="72"/>
  <c r="L782" i="72" s="1"/>
  <c r="K783" i="72"/>
  <c r="L783" i="72" s="1"/>
  <c r="K784" i="72"/>
  <c r="L784" i="72" s="1"/>
  <c r="K785" i="72"/>
  <c r="L785" i="72" s="1"/>
  <c r="K786" i="72"/>
  <c r="L786" i="72" s="1"/>
  <c r="K787" i="72"/>
  <c r="L787" i="72" s="1"/>
  <c r="K788" i="72"/>
  <c r="L788" i="72" s="1"/>
  <c r="K789" i="72"/>
  <c r="L789" i="72"/>
  <c r="K790" i="72"/>
  <c r="L790" i="72" s="1"/>
  <c r="K791" i="72"/>
  <c r="L791" i="72" s="1"/>
  <c r="K792" i="72"/>
  <c r="L792" i="72" s="1"/>
  <c r="K793" i="72"/>
  <c r="L793" i="72"/>
  <c r="K794" i="72"/>
  <c r="L794" i="72" s="1"/>
  <c r="K795" i="72"/>
  <c r="L795" i="72" s="1"/>
  <c r="K796" i="72"/>
  <c r="L796" i="72" s="1"/>
  <c r="K797" i="72"/>
  <c r="L797" i="72"/>
  <c r="K798" i="72"/>
  <c r="L798" i="72" s="1"/>
  <c r="K799" i="72"/>
  <c r="L799" i="72" s="1"/>
  <c r="K800" i="72"/>
  <c r="L800" i="72" s="1"/>
  <c r="K801" i="72"/>
  <c r="L801" i="72"/>
  <c r="K802" i="72"/>
  <c r="L802" i="72" s="1"/>
  <c r="K803" i="72"/>
  <c r="L803" i="72" s="1"/>
  <c r="K804" i="72"/>
  <c r="L804" i="72" s="1"/>
  <c r="K805" i="72"/>
  <c r="L805" i="72"/>
  <c r="K806" i="72"/>
  <c r="L806" i="72" s="1"/>
  <c r="K807" i="72"/>
  <c r="L807" i="72" s="1"/>
  <c r="K808" i="72"/>
  <c r="L808" i="72" s="1"/>
  <c r="K809" i="72"/>
  <c r="L809" i="72"/>
  <c r="K810" i="72"/>
  <c r="L810" i="72" s="1"/>
  <c r="K811" i="72"/>
  <c r="L811" i="72" s="1"/>
  <c r="K812" i="72"/>
  <c r="L812" i="72" s="1"/>
  <c r="K813" i="72"/>
  <c r="L813" i="72"/>
  <c r="K814" i="72"/>
  <c r="L814" i="72" s="1"/>
  <c r="K815" i="72"/>
  <c r="L815" i="72" s="1"/>
  <c r="K816" i="72"/>
  <c r="L816" i="72" s="1"/>
  <c r="K817" i="72"/>
  <c r="L817" i="72"/>
  <c r="K818" i="72"/>
  <c r="L818" i="72" s="1"/>
  <c r="K819" i="72"/>
  <c r="L819" i="72" s="1"/>
  <c r="K820" i="72"/>
  <c r="L820" i="72" s="1"/>
  <c r="K821" i="72"/>
  <c r="L821" i="72"/>
  <c r="K822" i="72"/>
  <c r="L822" i="72" s="1"/>
  <c r="K823" i="72"/>
  <c r="L823" i="72" s="1"/>
  <c r="K824" i="72"/>
  <c r="L824" i="72" s="1"/>
  <c r="K825" i="72"/>
  <c r="L825" i="72"/>
  <c r="K826" i="72"/>
  <c r="L826" i="72" s="1"/>
  <c r="K827" i="72"/>
  <c r="L827" i="72" s="1"/>
  <c r="K828" i="72"/>
  <c r="L828" i="72" s="1"/>
  <c r="K829" i="72"/>
  <c r="L829" i="72"/>
  <c r="K830" i="72"/>
  <c r="L830" i="72" s="1"/>
  <c r="K831" i="72"/>
  <c r="L831" i="72" s="1"/>
  <c r="K832" i="72"/>
  <c r="L832" i="72" s="1"/>
  <c r="K833" i="72"/>
  <c r="L833" i="72"/>
  <c r="K834" i="72"/>
  <c r="L834" i="72" s="1"/>
  <c r="K835" i="72"/>
  <c r="L835" i="72" s="1"/>
  <c r="K836" i="72"/>
  <c r="L836" i="72" s="1"/>
  <c r="K837" i="72"/>
  <c r="L837" i="72"/>
  <c r="K838" i="72"/>
  <c r="L838" i="72" s="1"/>
  <c r="K839" i="72"/>
  <c r="L839" i="72" s="1"/>
  <c r="K840" i="72"/>
  <c r="L840" i="72" s="1"/>
  <c r="K841" i="72"/>
  <c r="L841" i="72"/>
  <c r="K842" i="72"/>
  <c r="L842" i="72" s="1"/>
  <c r="K843" i="72"/>
  <c r="L843" i="72" s="1"/>
  <c r="K844" i="72"/>
  <c r="L844" i="72" s="1"/>
  <c r="K845" i="72"/>
  <c r="L845" i="72"/>
  <c r="K846" i="72"/>
  <c r="L846" i="72" s="1"/>
  <c r="K847" i="72"/>
  <c r="L847" i="72" s="1"/>
  <c r="K848" i="72"/>
  <c r="L848" i="72" s="1"/>
  <c r="K849" i="72"/>
  <c r="L849" i="72"/>
  <c r="K850" i="72"/>
  <c r="L850" i="72" s="1"/>
  <c r="K851" i="72"/>
  <c r="L851" i="72" s="1"/>
  <c r="K852" i="72"/>
  <c r="L852" i="72" s="1"/>
  <c r="K853" i="72"/>
  <c r="L853" i="72"/>
  <c r="K854" i="72"/>
  <c r="L854" i="72"/>
  <c r="K855" i="72"/>
  <c r="L855" i="72"/>
  <c r="K856" i="72"/>
  <c r="L856" i="72"/>
  <c r="K857" i="72"/>
  <c r="L857" i="72"/>
  <c r="K858" i="72"/>
  <c r="L858" i="72"/>
  <c r="K859" i="72"/>
  <c r="L859" i="72"/>
  <c r="K860" i="72"/>
  <c r="L860" i="72"/>
  <c r="K861" i="72"/>
  <c r="L861" i="72"/>
  <c r="K862" i="72"/>
  <c r="L862" i="72"/>
  <c r="K863" i="72"/>
  <c r="L863" i="72"/>
  <c r="K864" i="72"/>
  <c r="L864" i="72"/>
  <c r="K865" i="72"/>
  <c r="L865" i="72"/>
  <c r="K866" i="72"/>
  <c r="L866" i="72"/>
  <c r="K867" i="72"/>
  <c r="L867" i="72"/>
  <c r="K868" i="72"/>
  <c r="L868" i="72"/>
  <c r="K869" i="72"/>
  <c r="L869" i="72"/>
  <c r="K870" i="72"/>
  <c r="L870" i="72"/>
  <c r="K871" i="72"/>
  <c r="L871" i="72"/>
  <c r="K872" i="72"/>
  <c r="L872" i="72"/>
  <c r="K873" i="72"/>
  <c r="L873" i="72"/>
  <c r="K874" i="72"/>
  <c r="L874" i="72"/>
  <c r="K875" i="72"/>
  <c r="L875" i="72"/>
  <c r="K876" i="72"/>
  <c r="L876" i="72"/>
  <c r="K877" i="72"/>
  <c r="L877" i="72"/>
  <c r="K878" i="72"/>
  <c r="L878" i="72"/>
  <c r="K879" i="72"/>
  <c r="L879" i="72"/>
  <c r="K880" i="72"/>
  <c r="L880" i="72"/>
  <c r="K881" i="72"/>
  <c r="L881" i="72"/>
  <c r="K882" i="72"/>
  <c r="L882" i="72"/>
  <c r="K883" i="72"/>
  <c r="L883" i="72"/>
  <c r="K884" i="72"/>
  <c r="L884" i="72"/>
  <c r="K885" i="72"/>
  <c r="L885" i="72"/>
  <c r="K886" i="72"/>
  <c r="L886" i="72"/>
  <c r="K887" i="72"/>
  <c r="L887" i="72"/>
  <c r="K888" i="72"/>
  <c r="L888" i="72"/>
  <c r="K889" i="72"/>
  <c r="L889" i="72"/>
  <c r="K890" i="72"/>
  <c r="L890" i="72"/>
  <c r="K891" i="72"/>
  <c r="L891" i="72"/>
  <c r="K892" i="72"/>
  <c r="L892" i="72"/>
  <c r="K893" i="72"/>
  <c r="L893" i="72"/>
  <c r="K894" i="72"/>
  <c r="L894" i="72"/>
  <c r="K895" i="72"/>
  <c r="L895" i="72"/>
  <c r="K896" i="72"/>
  <c r="L896" i="72"/>
  <c r="K897" i="72"/>
  <c r="L897" i="72"/>
  <c r="K898" i="72"/>
  <c r="L898" i="72"/>
  <c r="K899" i="72"/>
  <c r="L899" i="72"/>
  <c r="K900" i="72"/>
  <c r="L900" i="72"/>
  <c r="K901" i="72"/>
  <c r="L901" i="72"/>
  <c r="K902" i="72"/>
  <c r="L902" i="72"/>
  <c r="K903" i="72"/>
  <c r="L903" i="72"/>
  <c r="K904" i="72"/>
  <c r="L904" i="72"/>
  <c r="K905" i="72"/>
  <c r="L905" i="72"/>
  <c r="K906" i="72"/>
  <c r="L906" i="72"/>
  <c r="K907" i="72"/>
  <c r="L907" i="72"/>
  <c r="K908" i="72"/>
  <c r="L908" i="72"/>
  <c r="K909" i="72"/>
  <c r="L909" i="72"/>
  <c r="K910" i="72"/>
  <c r="L910" i="72"/>
  <c r="K911" i="72"/>
  <c r="L911" i="72"/>
  <c r="K912" i="72"/>
  <c r="L912" i="72"/>
  <c r="K913" i="72"/>
  <c r="L913" i="72"/>
  <c r="K914" i="72"/>
  <c r="L914" i="72"/>
  <c r="K915" i="72"/>
  <c r="L915" i="72"/>
  <c r="K916" i="72"/>
  <c r="L916" i="72"/>
  <c r="K917" i="72"/>
  <c r="L917" i="72"/>
  <c r="K918" i="72"/>
  <c r="L918" i="72"/>
  <c r="K919" i="72"/>
  <c r="L919" i="72"/>
  <c r="K920" i="72"/>
  <c r="L920" i="72"/>
  <c r="K921" i="72"/>
  <c r="L921" i="72"/>
  <c r="K922" i="72"/>
  <c r="L922" i="72"/>
  <c r="K923" i="72"/>
  <c r="L923" i="72"/>
  <c r="K924" i="72"/>
  <c r="L924" i="72"/>
  <c r="K925" i="72"/>
  <c r="L925" i="72"/>
  <c r="K926" i="72"/>
  <c r="L926" i="72"/>
  <c r="K927" i="72"/>
  <c r="L927" i="72"/>
  <c r="K928" i="72"/>
  <c r="L928" i="72"/>
  <c r="K929" i="72"/>
  <c r="L929" i="72"/>
  <c r="K930" i="72"/>
  <c r="L930" i="72"/>
  <c r="K931" i="72"/>
  <c r="L931" i="72"/>
  <c r="K932" i="72"/>
  <c r="L932" i="72"/>
  <c r="K933" i="72"/>
  <c r="L933" i="72"/>
  <c r="K934" i="72"/>
  <c r="L934" i="72"/>
  <c r="K935" i="72"/>
  <c r="L935" i="72"/>
  <c r="K936" i="72"/>
  <c r="L936" i="72"/>
  <c r="K937" i="72"/>
  <c r="L937" i="72"/>
  <c r="K938" i="72"/>
  <c r="L938" i="72"/>
  <c r="K939" i="72"/>
  <c r="L939" i="72"/>
  <c r="K940" i="72"/>
  <c r="L940" i="72"/>
  <c r="K941" i="72"/>
  <c r="L941" i="72"/>
  <c r="K942" i="72"/>
  <c r="L942" i="72"/>
  <c r="K943" i="72"/>
  <c r="L943" i="72"/>
  <c r="K944" i="72"/>
  <c r="L944" i="72"/>
  <c r="K945" i="72"/>
  <c r="L945" i="72"/>
  <c r="K946" i="72"/>
  <c r="L946" i="72"/>
  <c r="K947" i="72"/>
  <c r="L947" i="72"/>
  <c r="K948" i="72"/>
  <c r="L948" i="72"/>
  <c r="K949" i="72"/>
  <c r="L949" i="72"/>
  <c r="K950" i="72"/>
  <c r="L950" i="72"/>
  <c r="K951" i="72"/>
  <c r="L951" i="72"/>
  <c r="K952" i="72"/>
  <c r="L952" i="72"/>
  <c r="K953" i="72"/>
  <c r="L953" i="72"/>
  <c r="K954" i="72"/>
  <c r="L954" i="72"/>
  <c r="K955" i="72"/>
  <c r="L955" i="72"/>
  <c r="K956" i="72"/>
  <c r="L956" i="72"/>
  <c r="K957" i="72"/>
  <c r="L957" i="72"/>
  <c r="K958" i="72"/>
  <c r="L958" i="72"/>
  <c r="K959" i="72"/>
  <c r="L959" i="72"/>
  <c r="K960" i="72"/>
  <c r="L960" i="72"/>
  <c r="K961" i="72"/>
  <c r="L961" i="72"/>
  <c r="K962" i="72"/>
  <c r="L962" i="72"/>
  <c r="K963" i="72"/>
  <c r="L963" i="72"/>
  <c r="K964" i="72"/>
  <c r="L964" i="72"/>
  <c r="K965" i="72"/>
  <c r="L965" i="72"/>
  <c r="K966" i="72"/>
  <c r="L966" i="72"/>
  <c r="K967" i="72"/>
  <c r="L967" i="72"/>
  <c r="K968" i="72"/>
  <c r="L968" i="72"/>
  <c r="K969" i="72"/>
  <c r="L969" i="72"/>
  <c r="K970" i="72"/>
  <c r="L970" i="72"/>
  <c r="K971" i="72"/>
  <c r="L971" i="72"/>
  <c r="K972" i="72"/>
  <c r="L972" i="72"/>
  <c r="K973" i="72"/>
  <c r="L973" i="72"/>
  <c r="K974" i="72"/>
  <c r="L974" i="72"/>
  <c r="K975" i="72"/>
  <c r="L975" i="72"/>
  <c r="K976" i="72"/>
  <c r="L976" i="72"/>
  <c r="K977" i="72"/>
  <c r="L977" i="72"/>
  <c r="K978" i="72"/>
  <c r="L978" i="72"/>
  <c r="K979" i="72"/>
  <c r="L979" i="72"/>
  <c r="K980" i="72"/>
  <c r="L980" i="72"/>
  <c r="K981" i="72"/>
  <c r="L981" i="72"/>
  <c r="K982" i="72"/>
  <c r="L982" i="72"/>
  <c r="K983" i="72"/>
  <c r="L983" i="72"/>
  <c r="K984" i="72"/>
  <c r="L984" i="72"/>
  <c r="K985" i="72"/>
  <c r="L985" i="72"/>
  <c r="K986" i="72"/>
  <c r="L986" i="72"/>
  <c r="K987" i="72"/>
  <c r="L987" i="72"/>
  <c r="K988" i="72"/>
  <c r="L988" i="72"/>
  <c r="K989" i="72"/>
  <c r="L989" i="72"/>
  <c r="K990" i="72"/>
  <c r="L990" i="72"/>
  <c r="K991" i="72"/>
  <c r="L991" i="72"/>
  <c r="K992" i="72"/>
  <c r="L992" i="72"/>
  <c r="K993" i="72"/>
  <c r="L993" i="72"/>
  <c r="K994" i="72"/>
  <c r="L994" i="72"/>
  <c r="K995" i="72"/>
  <c r="L995" i="72"/>
  <c r="K996" i="72"/>
  <c r="L996" i="72"/>
  <c r="K997" i="72"/>
  <c r="L997" i="72"/>
  <c r="K998" i="72"/>
  <c r="L998" i="72"/>
  <c r="K999" i="72"/>
  <c r="L999" i="72"/>
  <c r="K1000" i="72"/>
  <c r="L1000" i="72"/>
  <c r="K1001" i="72"/>
  <c r="L1001" i="72"/>
  <c r="K1002" i="72"/>
  <c r="L1002" i="72"/>
  <c r="K1003" i="72"/>
  <c r="L1003" i="72"/>
  <c r="K1004" i="72"/>
  <c r="L1004" i="72"/>
  <c r="K1005" i="72"/>
  <c r="L1005" i="72"/>
  <c r="K1006" i="72"/>
  <c r="L1006" i="72"/>
  <c r="K1007" i="72"/>
  <c r="L1007" i="72"/>
  <c r="K1008" i="72"/>
  <c r="L1008" i="72"/>
  <c r="K1009" i="72"/>
  <c r="L1009" i="72"/>
  <c r="K1010" i="72"/>
  <c r="L1010" i="72"/>
  <c r="K1011" i="72"/>
  <c r="L1011" i="72"/>
  <c r="K1012" i="72"/>
  <c r="L1012" i="72"/>
  <c r="K1013" i="72"/>
  <c r="L1013" i="72"/>
  <c r="K1014" i="72"/>
  <c r="L1014" i="72"/>
  <c r="K1015" i="72"/>
  <c r="L1015" i="72"/>
  <c r="K1016" i="72"/>
  <c r="L1016" i="72"/>
  <c r="K1017" i="72"/>
  <c r="L1017" i="72"/>
  <c r="K1018" i="72"/>
  <c r="L1018" i="72"/>
  <c r="K1019" i="72"/>
  <c r="L1019" i="72"/>
  <c r="K1020" i="72"/>
  <c r="L1020" i="72"/>
  <c r="K1021" i="72"/>
  <c r="L1021" i="72"/>
  <c r="K1022" i="72"/>
  <c r="L1022" i="72"/>
  <c r="K1023" i="72"/>
  <c r="L1023" i="72"/>
  <c r="K1024" i="72"/>
  <c r="L1024" i="72"/>
  <c r="K1025" i="72"/>
  <c r="L1025" i="72"/>
  <c r="K1026" i="72"/>
  <c r="L1026" i="72"/>
  <c r="K1027" i="72"/>
  <c r="L1027" i="72"/>
  <c r="K1028" i="72"/>
  <c r="L1028" i="72"/>
  <c r="K1029" i="72"/>
  <c r="L1029" i="72"/>
  <c r="K1030" i="72"/>
  <c r="L1030" i="72"/>
  <c r="K1031" i="72"/>
  <c r="L1031" i="72"/>
  <c r="K1032" i="72"/>
  <c r="L1032" i="72"/>
  <c r="K1033" i="72"/>
  <c r="L1033" i="72"/>
  <c r="K1034" i="72"/>
  <c r="L1034" i="72"/>
  <c r="K1035" i="72"/>
  <c r="L1035" i="72"/>
  <c r="K1036" i="72"/>
  <c r="L1036" i="72"/>
  <c r="K1037" i="72"/>
  <c r="L1037" i="72"/>
  <c r="K1038" i="72"/>
  <c r="L1038" i="72"/>
  <c r="K1039" i="72"/>
  <c r="L1039" i="72"/>
  <c r="K1040" i="72"/>
  <c r="L1040" i="72"/>
  <c r="K1041" i="72"/>
  <c r="L1041" i="72"/>
  <c r="K1042" i="72"/>
  <c r="L1042" i="72"/>
  <c r="K1043" i="72"/>
  <c r="L1043" i="72"/>
  <c r="K1044" i="72"/>
  <c r="L1044" i="72"/>
  <c r="K1045" i="72"/>
  <c r="L1045" i="72"/>
  <c r="K1046" i="72"/>
  <c r="L1046" i="72"/>
  <c r="K1047" i="72"/>
  <c r="L1047" i="72"/>
  <c r="K1048" i="72"/>
  <c r="L1048" i="72"/>
  <c r="K1049" i="72"/>
  <c r="L1049" i="72"/>
  <c r="K1050" i="72"/>
  <c r="L1050" i="72"/>
  <c r="K1051" i="72"/>
  <c r="L1051" i="72"/>
  <c r="K1052" i="72"/>
  <c r="L1052" i="72"/>
  <c r="K1053" i="72"/>
  <c r="L1053" i="72"/>
  <c r="K1054" i="72"/>
  <c r="L1054" i="72"/>
  <c r="K1055" i="72"/>
  <c r="L1055" i="72"/>
  <c r="K1056" i="72"/>
  <c r="L1056" i="72"/>
  <c r="K1057" i="72"/>
  <c r="L1057" i="72"/>
  <c r="K1058" i="72"/>
  <c r="L1058" i="72"/>
  <c r="K1059" i="72"/>
  <c r="L1059" i="72"/>
  <c r="K1060" i="72"/>
  <c r="L1060" i="72"/>
  <c r="K1061" i="72"/>
  <c r="L1061" i="72"/>
  <c r="K1062" i="72"/>
  <c r="L1062" i="72"/>
  <c r="K1063" i="72"/>
  <c r="L1063" i="72"/>
  <c r="K1064" i="72"/>
  <c r="L1064" i="72"/>
  <c r="K1065" i="72"/>
  <c r="L1065" i="72"/>
  <c r="K1066" i="72"/>
  <c r="L1066" i="72"/>
  <c r="K1067" i="72"/>
  <c r="L1067" i="72"/>
  <c r="K1068" i="72"/>
  <c r="L1068" i="72"/>
  <c r="K1069" i="72"/>
  <c r="L1069" i="72"/>
  <c r="K1070" i="72"/>
  <c r="L1070" i="72"/>
  <c r="K1071" i="72"/>
  <c r="L1071" i="72"/>
  <c r="K1072" i="72"/>
  <c r="L1072" i="72"/>
  <c r="K1073" i="72"/>
  <c r="L1073" i="72"/>
  <c r="K1074" i="72"/>
  <c r="L1074" i="72"/>
  <c r="K1075" i="72"/>
  <c r="L1075" i="72"/>
  <c r="K1076" i="72"/>
  <c r="L1076" i="72"/>
  <c r="K1077" i="72"/>
  <c r="L1077" i="72"/>
  <c r="K1078" i="72"/>
  <c r="L1078" i="72"/>
  <c r="K1079" i="72"/>
  <c r="L1079" i="72"/>
  <c r="K1080" i="72"/>
  <c r="L1080" i="72"/>
  <c r="K1081" i="72"/>
  <c r="L1081" i="72"/>
  <c r="K1082" i="72"/>
  <c r="L1082" i="72"/>
  <c r="K1083" i="72"/>
  <c r="L1083" i="72"/>
  <c r="K1084" i="72"/>
  <c r="L1084" i="72"/>
  <c r="K1085" i="72"/>
  <c r="L1085" i="72"/>
  <c r="K1086" i="72"/>
  <c r="L1086" i="72"/>
  <c r="K1087" i="72"/>
  <c r="L1087" i="72"/>
  <c r="K1088" i="72"/>
  <c r="L1088" i="72" s="1"/>
  <c r="K1089" i="72"/>
  <c r="L1089" i="72"/>
  <c r="K1090" i="72"/>
  <c r="L1090" i="72" s="1"/>
  <c r="K1091" i="72"/>
  <c r="L1091" i="72"/>
  <c r="K1092" i="72"/>
  <c r="L1092" i="72" s="1"/>
  <c r="K1093" i="72"/>
  <c r="L1093" i="72"/>
  <c r="K1094" i="72"/>
  <c r="L1094" i="72" s="1"/>
  <c r="K1095" i="72"/>
  <c r="L1095" i="72"/>
  <c r="K1096" i="72"/>
  <c r="L1096" i="72" s="1"/>
  <c r="K1097" i="72"/>
  <c r="L1097" i="72"/>
  <c r="K1098" i="72"/>
  <c r="L1098" i="72" s="1"/>
  <c r="K1099" i="72"/>
  <c r="L1099" i="72"/>
  <c r="K1100" i="72"/>
  <c r="L1100" i="72" s="1"/>
  <c r="K1101" i="72"/>
  <c r="L1101" i="72"/>
  <c r="K1102" i="72"/>
  <c r="L1102" i="72" s="1"/>
  <c r="K1103" i="72"/>
  <c r="L1103" i="72"/>
  <c r="K1104" i="72"/>
  <c r="L1104" i="72" s="1"/>
  <c r="K1105" i="72"/>
  <c r="L1105" i="72"/>
  <c r="K1106" i="72"/>
  <c r="L1106" i="72" s="1"/>
  <c r="K1107" i="72"/>
  <c r="L1107" i="72"/>
  <c r="K1108" i="72"/>
  <c r="L1108" i="72" s="1"/>
  <c r="K1109" i="72"/>
  <c r="L1109" i="72"/>
  <c r="K1110" i="72"/>
  <c r="L1110" i="72" s="1"/>
  <c r="K1111" i="72"/>
  <c r="L1111" i="72"/>
  <c r="K1112" i="72"/>
  <c r="L1112" i="72" s="1"/>
  <c r="K1113" i="72"/>
  <c r="L1113" i="72"/>
  <c r="K1114" i="72"/>
  <c r="L1114" i="72" s="1"/>
  <c r="K1115" i="72"/>
  <c r="L1115" i="72"/>
  <c r="K1116" i="72"/>
  <c r="L1116" i="72" s="1"/>
  <c r="K1117" i="72"/>
  <c r="L1117" i="72"/>
  <c r="K1118" i="72"/>
  <c r="L1118" i="72" s="1"/>
  <c r="K1119" i="72"/>
  <c r="L1119" i="72"/>
  <c r="K1120" i="72"/>
  <c r="L1120" i="72" s="1"/>
  <c r="K1121" i="72"/>
  <c r="L1121" i="72"/>
  <c r="K1122" i="72"/>
  <c r="L1122" i="72" s="1"/>
  <c r="K1123" i="72"/>
  <c r="L1123" i="72"/>
  <c r="K1124" i="72"/>
  <c r="L1124" i="72" s="1"/>
  <c r="K1125" i="72"/>
  <c r="L1125" i="72"/>
  <c r="K1126" i="72"/>
  <c r="L1126" i="72" s="1"/>
  <c r="K1127" i="72"/>
  <c r="L1127" i="72"/>
  <c r="K1128" i="72"/>
  <c r="L1128" i="72" s="1"/>
  <c r="K1129" i="72"/>
  <c r="L1129" i="72"/>
  <c r="K1130" i="72"/>
  <c r="L1130" i="72" s="1"/>
  <c r="K1131" i="72"/>
  <c r="L1131" i="72"/>
  <c r="K1132" i="72"/>
  <c r="L1132" i="72" s="1"/>
  <c r="K1133" i="72"/>
  <c r="L1133" i="72"/>
  <c r="K1134" i="72"/>
  <c r="L1134" i="72" s="1"/>
  <c r="K1135" i="72"/>
  <c r="L1135" i="72"/>
  <c r="K1136" i="72"/>
  <c r="L1136" i="72" s="1"/>
  <c r="K1137" i="72"/>
  <c r="L1137" i="72"/>
  <c r="K1138" i="72"/>
  <c r="L1138" i="72" s="1"/>
  <c r="K1139" i="72"/>
  <c r="L1139" i="72"/>
  <c r="K1140" i="72"/>
  <c r="L1140" i="72" s="1"/>
  <c r="K1141" i="72"/>
  <c r="L1141" i="72"/>
  <c r="K1142" i="72"/>
  <c r="L1142" i="72" s="1"/>
  <c r="K1143" i="72"/>
  <c r="L1143" i="72"/>
  <c r="K1144" i="72"/>
  <c r="L1144" i="72" s="1"/>
  <c r="K1145" i="72"/>
  <c r="L1145" i="72"/>
  <c r="K1146" i="72"/>
  <c r="L1146" i="72" s="1"/>
  <c r="K1147" i="72"/>
  <c r="L1147" i="72"/>
  <c r="K1148" i="72"/>
  <c r="L1148" i="72" s="1"/>
  <c r="K1149" i="72"/>
  <c r="L1149" i="72"/>
  <c r="K1150" i="72"/>
  <c r="L1150" i="72" s="1"/>
  <c r="K1151" i="72"/>
  <c r="L1151" i="72"/>
  <c r="K1152" i="72"/>
  <c r="L1152" i="72" s="1"/>
  <c r="K1153" i="72"/>
  <c r="L1153" i="72"/>
  <c r="K1154" i="72"/>
  <c r="L1154" i="72" s="1"/>
  <c r="K1155" i="72"/>
  <c r="L1155" i="72"/>
  <c r="K1156" i="72"/>
  <c r="L1156" i="72" s="1"/>
  <c r="K1157" i="72"/>
  <c r="L1157" i="72"/>
  <c r="K1158" i="72"/>
  <c r="L1158" i="72" s="1"/>
  <c r="K1159" i="72"/>
  <c r="L1159" i="72"/>
  <c r="K1160" i="72"/>
  <c r="L1160" i="72" s="1"/>
  <c r="K1161" i="72"/>
  <c r="L1161" i="72"/>
  <c r="K1162" i="72"/>
  <c r="L1162" i="72" s="1"/>
  <c r="K1163" i="72"/>
  <c r="L1163" i="72"/>
  <c r="K1164" i="72"/>
  <c r="L1164" i="72" s="1"/>
  <c r="K1165" i="72"/>
  <c r="L1165" i="72"/>
  <c r="K1166" i="72"/>
  <c r="L1166" i="72" s="1"/>
  <c r="K1167" i="72"/>
  <c r="L1167" i="72"/>
  <c r="K1168" i="72"/>
  <c r="L1168" i="72" s="1"/>
  <c r="K1169" i="72"/>
  <c r="L1169" i="72"/>
  <c r="K1170" i="72"/>
  <c r="L1170" i="72" s="1"/>
  <c r="K1171" i="72"/>
  <c r="L1171" i="72"/>
  <c r="K1172" i="72"/>
  <c r="L1172" i="72" s="1"/>
  <c r="K1173" i="72"/>
  <c r="L1173" i="72"/>
  <c r="K1174" i="72"/>
  <c r="L1174" i="72" s="1"/>
  <c r="K1175" i="72"/>
  <c r="L1175" i="72"/>
  <c r="K1176" i="72"/>
  <c r="L1176" i="72" s="1"/>
  <c r="K1177" i="72"/>
  <c r="L1177" i="72"/>
  <c r="K1178" i="72"/>
  <c r="L1178" i="72" s="1"/>
  <c r="K1179" i="72"/>
  <c r="L1179" i="72"/>
  <c r="K1180" i="72"/>
  <c r="L1180" i="72" s="1"/>
  <c r="K1181" i="72"/>
  <c r="L1181" i="72"/>
  <c r="K1182" i="72"/>
  <c r="L1182" i="72" s="1"/>
  <c r="K1183" i="72"/>
  <c r="L1183" i="72"/>
  <c r="K1184" i="72"/>
  <c r="L1184" i="72" s="1"/>
  <c r="K1185" i="72"/>
  <c r="L1185" i="72"/>
  <c r="K1186" i="72"/>
  <c r="L1186" i="72" s="1"/>
  <c r="K1187" i="72"/>
  <c r="L1187" i="72"/>
  <c r="K1188" i="72"/>
  <c r="L1188" i="72" s="1"/>
  <c r="K1189" i="72"/>
  <c r="L1189" i="72"/>
  <c r="K1190" i="72"/>
  <c r="L1190" i="72" s="1"/>
  <c r="K1191" i="72"/>
  <c r="L1191" i="72"/>
  <c r="K1192" i="72"/>
  <c r="L1192" i="72" s="1"/>
  <c r="K1193" i="72"/>
  <c r="L1193" i="72"/>
  <c r="K1194" i="72"/>
  <c r="L1194" i="72" s="1"/>
  <c r="K1195" i="72"/>
  <c r="L1195" i="72"/>
  <c r="K1196" i="72"/>
  <c r="L1196" i="72" s="1"/>
  <c r="K1197" i="72"/>
  <c r="L1197" i="72"/>
  <c r="K1198" i="72"/>
  <c r="L1198" i="72" s="1"/>
  <c r="K1199" i="72"/>
  <c r="L1199" i="72"/>
  <c r="K1200" i="72"/>
  <c r="L1200" i="72" s="1"/>
  <c r="K1201" i="72"/>
  <c r="L1201" i="72"/>
  <c r="K1202" i="72"/>
  <c r="L1202" i="72" s="1"/>
  <c r="K1203" i="72"/>
  <c r="L1203" i="72"/>
  <c r="K1204" i="72"/>
  <c r="L1204" i="72" s="1"/>
  <c r="K1205" i="72"/>
  <c r="L1205" i="72"/>
  <c r="K1206" i="72"/>
  <c r="L1206" i="72" s="1"/>
  <c r="K1207" i="72"/>
  <c r="L1207" i="72"/>
  <c r="K1208" i="72"/>
  <c r="L1208" i="72" s="1"/>
  <c r="K1209" i="72"/>
  <c r="L1209" i="72"/>
  <c r="K1210" i="72"/>
  <c r="L1210" i="72" s="1"/>
  <c r="K1211" i="72"/>
  <c r="L1211" i="72"/>
  <c r="K1212" i="72"/>
  <c r="L1212" i="72" s="1"/>
  <c r="K1213" i="72"/>
  <c r="L1213" i="72"/>
  <c r="K1214" i="72"/>
  <c r="L1214" i="72" s="1"/>
  <c r="K1215" i="72"/>
  <c r="L1215" i="72"/>
  <c r="K1216" i="72"/>
  <c r="L1216" i="72" s="1"/>
  <c r="K1217" i="72"/>
  <c r="L1217" i="72"/>
  <c r="K1218" i="72"/>
  <c r="L1218" i="72" s="1"/>
  <c r="K1219" i="72"/>
  <c r="L1219" i="72"/>
  <c r="K1220" i="72"/>
  <c r="L1220" i="72" s="1"/>
  <c r="K1221" i="72"/>
  <c r="L1221" i="72"/>
  <c r="K1222" i="72"/>
  <c r="L1222" i="72" s="1"/>
  <c r="K1223" i="72"/>
  <c r="L1223" i="72"/>
  <c r="K1224" i="72"/>
  <c r="L1224" i="72" s="1"/>
  <c r="K1225" i="72"/>
  <c r="L1225" i="72"/>
  <c r="K1226" i="72"/>
  <c r="L1226" i="72" s="1"/>
  <c r="K1227" i="72"/>
  <c r="L1227" i="72"/>
  <c r="K1228" i="72"/>
  <c r="L1228" i="72" s="1"/>
  <c r="K1229" i="72"/>
  <c r="L1229" i="72"/>
  <c r="K1230" i="72"/>
  <c r="L1230" i="72" s="1"/>
  <c r="K1231" i="72"/>
  <c r="L1231" i="72"/>
  <c r="K1232" i="72"/>
  <c r="L1232" i="72" s="1"/>
  <c r="K1233" i="72"/>
  <c r="L1233" i="72"/>
  <c r="K1234" i="72"/>
  <c r="L1234" i="72" s="1"/>
  <c r="K1235" i="72"/>
  <c r="L1235" i="72"/>
  <c r="K1236" i="72"/>
  <c r="L1236" i="72" s="1"/>
  <c r="K1237" i="72"/>
  <c r="L1237" i="72"/>
  <c r="K1238" i="72"/>
  <c r="L1238" i="72" s="1"/>
  <c r="K1239" i="72"/>
  <c r="L1239" i="72"/>
  <c r="K1240" i="72"/>
  <c r="L1240" i="72" s="1"/>
  <c r="K1241" i="72"/>
  <c r="L1241" i="72"/>
  <c r="K1242" i="72"/>
  <c r="L1242" i="72" s="1"/>
  <c r="K1243" i="72"/>
  <c r="L1243" i="72"/>
  <c r="K1244" i="72"/>
  <c r="L1244" i="72" s="1"/>
  <c r="K1245" i="72"/>
  <c r="L1245" i="72"/>
  <c r="K1246" i="72"/>
  <c r="L1246" i="72" s="1"/>
  <c r="K1247" i="72"/>
  <c r="L1247" i="72"/>
  <c r="K1248" i="72"/>
  <c r="L1248" i="72" s="1"/>
  <c r="K1249" i="72"/>
  <c r="L1249" i="72"/>
  <c r="K1250" i="72"/>
  <c r="L1250" i="72" s="1"/>
  <c r="K1251" i="72"/>
  <c r="L1251" i="72"/>
  <c r="K1252" i="72"/>
  <c r="L1252" i="72" s="1"/>
  <c r="K1253" i="72"/>
  <c r="L1253" i="72"/>
  <c r="K1254" i="72"/>
  <c r="L1254" i="72" s="1"/>
  <c r="K1255" i="72"/>
  <c r="L1255" i="72"/>
  <c r="K1256" i="72"/>
  <c r="L1256" i="72" s="1"/>
  <c r="K1257" i="72"/>
  <c r="L1257" i="72"/>
  <c r="K1258" i="72"/>
  <c r="L1258" i="72" s="1"/>
  <c r="K1259" i="72"/>
  <c r="L1259" i="72"/>
  <c r="K1260" i="72"/>
  <c r="L1260" i="72" s="1"/>
  <c r="K1261" i="72"/>
  <c r="L1261" i="72"/>
  <c r="K1262" i="72"/>
  <c r="L1262" i="72" s="1"/>
  <c r="K1263" i="72"/>
  <c r="L1263" i="72"/>
  <c r="K1264" i="72"/>
  <c r="L1264" i="72" s="1"/>
  <c r="K1265" i="72"/>
  <c r="L1265" i="72"/>
  <c r="K1266" i="72"/>
  <c r="L1266" i="72" s="1"/>
  <c r="K1267" i="72"/>
  <c r="L1267" i="72"/>
  <c r="K1268" i="72"/>
  <c r="L1268" i="72" s="1"/>
  <c r="K1269" i="72"/>
  <c r="L1269" i="72"/>
  <c r="K1270" i="72"/>
  <c r="L1270" i="72" s="1"/>
  <c r="K1271" i="72"/>
  <c r="L1271" i="72"/>
  <c r="K1272" i="72"/>
  <c r="L1272" i="72" s="1"/>
  <c r="K1273" i="72"/>
  <c r="L1273" i="72"/>
  <c r="K1274" i="72"/>
  <c r="L1274" i="72" s="1"/>
  <c r="K1275" i="72"/>
  <c r="L1275" i="72"/>
  <c r="K1276" i="72"/>
  <c r="L1276" i="72" s="1"/>
  <c r="K1277" i="72"/>
  <c r="L1277" i="72"/>
  <c r="K1278" i="72"/>
  <c r="L1278" i="72" s="1"/>
  <c r="K1279" i="72"/>
  <c r="L1279" i="72"/>
  <c r="K1280" i="72"/>
  <c r="L1280" i="72" s="1"/>
  <c r="K1281" i="72"/>
  <c r="L1281" i="72"/>
  <c r="K1282" i="72"/>
  <c r="L1282" i="72" s="1"/>
  <c r="K1283" i="72"/>
  <c r="L1283" i="72"/>
  <c r="K1284" i="72"/>
  <c r="L1284" i="72" s="1"/>
  <c r="K1285" i="72"/>
  <c r="L1285" i="72"/>
  <c r="K1286" i="72"/>
  <c r="L1286" i="72" s="1"/>
  <c r="K1287" i="72"/>
  <c r="L1287" i="72"/>
  <c r="K1288" i="72"/>
  <c r="L1288" i="72" s="1"/>
  <c r="K1289" i="72"/>
  <c r="L1289" i="72"/>
  <c r="K1290" i="72"/>
  <c r="L1290" i="72" s="1"/>
  <c r="K1291" i="72"/>
  <c r="L1291" i="72"/>
  <c r="K1292" i="72"/>
  <c r="L1292" i="72" s="1"/>
  <c r="K1293" i="72"/>
  <c r="L1293" i="72"/>
  <c r="K1294" i="72"/>
  <c r="L1294" i="72" s="1"/>
  <c r="K1295" i="72"/>
  <c r="L1295" i="72"/>
  <c r="K1296" i="72"/>
  <c r="L1296" i="72" s="1"/>
  <c r="K1297" i="72"/>
  <c r="L1297" i="72"/>
  <c r="K1298" i="72"/>
  <c r="L1298" i="72" s="1"/>
  <c r="K1299" i="72"/>
  <c r="L1299" i="72"/>
  <c r="K1300" i="72"/>
  <c r="L1300" i="72" s="1"/>
  <c r="K1301" i="72"/>
  <c r="L1301" i="72"/>
  <c r="K1302" i="72"/>
  <c r="L1302" i="72" s="1"/>
  <c r="K1303" i="72"/>
  <c r="L1303" i="72"/>
  <c r="K1304" i="72"/>
  <c r="L1304" i="72" s="1"/>
  <c r="K1305" i="72"/>
  <c r="L1305" i="72"/>
  <c r="K1306" i="72"/>
  <c r="L1306" i="72" s="1"/>
  <c r="K1307" i="72"/>
  <c r="L1307" i="72" s="1"/>
  <c r="K1308" i="72"/>
  <c r="L1308" i="72" s="1"/>
  <c r="K1309" i="72"/>
  <c r="L1309" i="72"/>
  <c r="K1310" i="72"/>
  <c r="L1310" i="72" s="1"/>
  <c r="K1311" i="72"/>
  <c r="L1311" i="72" s="1"/>
  <c r="K1312" i="72"/>
  <c r="L1312" i="72" s="1"/>
  <c r="K1313" i="72"/>
  <c r="L1313" i="72"/>
  <c r="K1314" i="72"/>
  <c r="L1314" i="72" s="1"/>
  <c r="K1315" i="72"/>
  <c r="L1315" i="72" s="1"/>
  <c r="K1316" i="72"/>
  <c r="L1316" i="72" s="1"/>
  <c r="K1317" i="72"/>
  <c r="L1317" i="72"/>
  <c r="K1318" i="72"/>
  <c r="L1318" i="72" s="1"/>
  <c r="K1319" i="72"/>
  <c r="L1319" i="72" s="1"/>
  <c r="K1320" i="72"/>
  <c r="L1320" i="72" s="1"/>
  <c r="K1321" i="72"/>
  <c r="L1321" i="72"/>
  <c r="K1322" i="72"/>
  <c r="L1322" i="72" s="1"/>
  <c r="K1323" i="72"/>
  <c r="L1323" i="72" s="1"/>
  <c r="K1324" i="72"/>
  <c r="L1324" i="72" s="1"/>
  <c r="K1325" i="72"/>
  <c r="L1325" i="72"/>
  <c r="K1326" i="72"/>
  <c r="L1326" i="72" s="1"/>
  <c r="K1327" i="72"/>
  <c r="L1327" i="72" s="1"/>
  <c r="K1328" i="72"/>
  <c r="L1328" i="72" s="1"/>
  <c r="K1329" i="72"/>
  <c r="L1329" i="72"/>
  <c r="K1330" i="72"/>
  <c r="L1330" i="72" s="1"/>
  <c r="K1331" i="72"/>
  <c r="L1331" i="72" s="1"/>
  <c r="K1332" i="72"/>
  <c r="L1332" i="72" s="1"/>
  <c r="K1333" i="72"/>
  <c r="L1333" i="72"/>
  <c r="K1334" i="72"/>
  <c r="L1334" i="72" s="1"/>
  <c r="K1335" i="72"/>
  <c r="L1335" i="72" s="1"/>
  <c r="K1336" i="72"/>
  <c r="L1336" i="72" s="1"/>
  <c r="K1337" i="72"/>
  <c r="L1337" i="72"/>
  <c r="K1338" i="72"/>
  <c r="L1338" i="72" s="1"/>
  <c r="K1339" i="72"/>
  <c r="L1339" i="72" s="1"/>
  <c r="K1340" i="72"/>
  <c r="L1340" i="72" s="1"/>
  <c r="K1341" i="72"/>
  <c r="L1341" i="72"/>
  <c r="K1342" i="72"/>
  <c r="L1342" i="72" s="1"/>
  <c r="K1343" i="72"/>
  <c r="L1343" i="72" s="1"/>
  <c r="K1344" i="72"/>
  <c r="L1344" i="72" s="1"/>
  <c r="K1345" i="72"/>
  <c r="L1345" i="72"/>
  <c r="K1346" i="72"/>
  <c r="L1346" i="72" s="1"/>
  <c r="K1347" i="72"/>
  <c r="L1347" i="72" s="1"/>
  <c r="K1348" i="72"/>
  <c r="L1348" i="72" s="1"/>
  <c r="K1349" i="72"/>
  <c r="L1349" i="72"/>
  <c r="K1350" i="72"/>
  <c r="L1350" i="72" s="1"/>
  <c r="K1351" i="72"/>
  <c r="L1351" i="72" s="1"/>
  <c r="K1352" i="72"/>
  <c r="L1352" i="72" s="1"/>
  <c r="K1353" i="72"/>
  <c r="L1353" i="72"/>
  <c r="K1354" i="72"/>
  <c r="L1354" i="72" s="1"/>
  <c r="K1355" i="72"/>
  <c r="L1355" i="72" s="1"/>
  <c r="K1356" i="72"/>
  <c r="L1356" i="72" s="1"/>
  <c r="K1357" i="72"/>
  <c r="L1357" i="72"/>
  <c r="K1358" i="72"/>
  <c r="L1358" i="72" s="1"/>
  <c r="K1359" i="72"/>
  <c r="L1359" i="72" s="1"/>
  <c r="K1360" i="72"/>
  <c r="L1360" i="72" s="1"/>
  <c r="K1361" i="72"/>
  <c r="L1361" i="72"/>
  <c r="K1362" i="72"/>
  <c r="L1362" i="72" s="1"/>
  <c r="K1363" i="72"/>
  <c r="L1363" i="72" s="1"/>
  <c r="K1364" i="72"/>
  <c r="L1364" i="72" s="1"/>
  <c r="K1365" i="72"/>
  <c r="L1365" i="72"/>
  <c r="K1366" i="72"/>
  <c r="L1366" i="72" s="1"/>
  <c r="K1367" i="72"/>
  <c r="L1367" i="72" s="1"/>
  <c r="K1368" i="72"/>
  <c r="L1368" i="72" s="1"/>
  <c r="K1369" i="72"/>
  <c r="L1369" i="72"/>
  <c r="K1370" i="72"/>
  <c r="L1370" i="72" s="1"/>
  <c r="K1371" i="72"/>
  <c r="L1371" i="72" s="1"/>
  <c r="K1372" i="72"/>
  <c r="L1372" i="72" s="1"/>
  <c r="K1373" i="72"/>
  <c r="L1373" i="72"/>
  <c r="K1374" i="72"/>
  <c r="L1374" i="72" s="1"/>
  <c r="K1375" i="72"/>
  <c r="L1375" i="72" s="1"/>
  <c r="K1376" i="72"/>
  <c r="L1376" i="72" s="1"/>
  <c r="K1377" i="72"/>
  <c r="L1377" i="72"/>
  <c r="K1378" i="72"/>
  <c r="L1378" i="72" s="1"/>
  <c r="K1379" i="72"/>
  <c r="L1379" i="72" s="1"/>
  <c r="K1380" i="72"/>
  <c r="L1380" i="72" s="1"/>
  <c r="K1381" i="72"/>
  <c r="L1381" i="72"/>
  <c r="K1382" i="72"/>
  <c r="L1382" i="72" s="1"/>
  <c r="K1383" i="72"/>
  <c r="L1383" i="72" s="1"/>
  <c r="K1384" i="72"/>
  <c r="L1384" i="72" s="1"/>
  <c r="K1385" i="72"/>
  <c r="L1385" i="72"/>
  <c r="K1386" i="72"/>
  <c r="L1386" i="72" s="1"/>
  <c r="K1387" i="72"/>
  <c r="L1387" i="72" s="1"/>
  <c r="K1388" i="72"/>
  <c r="L1388" i="72" s="1"/>
  <c r="K1389" i="72"/>
  <c r="L1389" i="72"/>
  <c r="K1390" i="72"/>
  <c r="L1390" i="72" s="1"/>
  <c r="K1391" i="72"/>
  <c r="L1391" i="72" s="1"/>
  <c r="K1392" i="72"/>
  <c r="L1392" i="72" s="1"/>
  <c r="K1393" i="72"/>
  <c r="L1393" i="72"/>
  <c r="K1394" i="72"/>
  <c r="L1394" i="72" s="1"/>
  <c r="K1395" i="72"/>
  <c r="L1395" i="72" s="1"/>
  <c r="K1396" i="72"/>
  <c r="L1396" i="72" s="1"/>
  <c r="K1397" i="72"/>
  <c r="L1397" i="72"/>
  <c r="K1398" i="72"/>
  <c r="L1398" i="72" s="1"/>
  <c r="K1399" i="72"/>
  <c r="L1399" i="72" s="1"/>
  <c r="K1400" i="72"/>
  <c r="L1400" i="72" s="1"/>
  <c r="K1401" i="72"/>
  <c r="L1401" i="72"/>
  <c r="K1402" i="72"/>
  <c r="L1402" i="72" s="1"/>
  <c r="K1403" i="72"/>
  <c r="L1403" i="72" s="1"/>
  <c r="K1404" i="72"/>
  <c r="L1404" i="72" s="1"/>
  <c r="K1405" i="72"/>
  <c r="L1405" i="72"/>
  <c r="K1406" i="72"/>
  <c r="L1406" i="72" s="1"/>
  <c r="K1407" i="72"/>
  <c r="L1407" i="72" s="1"/>
  <c r="K1408" i="72"/>
  <c r="L1408" i="72" s="1"/>
  <c r="K1409" i="72"/>
  <c r="L1409" i="72"/>
  <c r="K1410" i="72"/>
  <c r="L1410" i="72" s="1"/>
  <c r="K1411" i="72"/>
  <c r="L1411" i="72" s="1"/>
  <c r="K1412" i="72"/>
  <c r="L1412" i="72" s="1"/>
  <c r="K1413" i="72"/>
  <c r="L1413" i="72"/>
  <c r="K1414" i="72"/>
  <c r="L1414" i="72" s="1"/>
  <c r="K1415" i="72"/>
  <c r="L1415" i="72" s="1"/>
  <c r="K1416" i="72"/>
  <c r="L1416" i="72" s="1"/>
  <c r="K1417" i="72"/>
  <c r="L1417" i="72"/>
  <c r="K1418" i="72"/>
  <c r="L1418" i="72" s="1"/>
  <c r="K1419" i="72"/>
  <c r="L1419" i="72" s="1"/>
  <c r="K1420" i="72"/>
  <c r="L1420" i="72" s="1"/>
  <c r="K1421" i="72"/>
  <c r="L1421" i="72"/>
  <c r="K1422" i="72"/>
  <c r="L1422" i="72" s="1"/>
  <c r="K1423" i="72"/>
  <c r="L1423" i="72" s="1"/>
  <c r="K1424" i="72"/>
  <c r="L1424" i="72" s="1"/>
  <c r="K1425" i="72"/>
  <c r="L1425" i="72"/>
  <c r="K1426" i="72"/>
  <c r="L1426" i="72" s="1"/>
  <c r="K1427" i="72"/>
  <c r="L1427" i="72" s="1"/>
  <c r="K1428" i="72"/>
  <c r="L1428" i="72" s="1"/>
  <c r="K1429" i="72"/>
  <c r="L1429" i="72" s="1"/>
  <c r="K1430" i="72"/>
  <c r="L1430" i="72" s="1"/>
  <c r="K1431" i="72"/>
  <c r="L1431" i="72" s="1"/>
  <c r="K1432" i="72"/>
  <c r="L1432" i="72" s="1"/>
  <c r="K1433" i="72"/>
  <c r="L1433" i="72" s="1"/>
  <c r="K1434" i="72"/>
  <c r="L1434" i="72" s="1"/>
  <c r="K1435" i="72"/>
  <c r="L1435" i="72" s="1"/>
  <c r="K1436" i="72"/>
  <c r="L1436" i="72" s="1"/>
  <c r="K1437" i="72"/>
  <c r="L1437" i="72" s="1"/>
  <c r="K1438" i="72"/>
  <c r="L1438" i="72" s="1"/>
  <c r="K1439" i="72"/>
  <c r="L1439" i="72" s="1"/>
  <c r="K1440" i="72"/>
  <c r="L1440" i="72" s="1"/>
  <c r="K1441" i="72"/>
  <c r="L1441" i="72" s="1"/>
  <c r="K1442" i="72"/>
  <c r="L1442" i="72" s="1"/>
  <c r="K1443" i="72"/>
  <c r="L1443" i="72" s="1"/>
  <c r="K1444" i="72"/>
  <c r="L1444" i="72" s="1"/>
  <c r="K1445" i="72"/>
  <c r="L1445" i="72" s="1"/>
  <c r="K1446" i="72"/>
  <c r="L1446" i="72" s="1"/>
  <c r="K1447" i="72"/>
  <c r="L1447" i="72" s="1"/>
  <c r="K1448" i="72"/>
  <c r="L1448" i="72" s="1"/>
  <c r="K1449" i="72"/>
  <c r="L1449" i="72" s="1"/>
  <c r="K1450" i="72"/>
  <c r="L1450" i="72" s="1"/>
  <c r="K1451" i="72"/>
  <c r="L1451" i="72" s="1"/>
  <c r="K1452" i="72"/>
  <c r="L1452" i="72" s="1"/>
  <c r="K1453" i="72"/>
  <c r="L1453" i="72" s="1"/>
  <c r="K1454" i="72"/>
  <c r="L1454" i="72" s="1"/>
  <c r="K1455" i="72"/>
  <c r="L1455" i="72" s="1"/>
  <c r="K1456" i="72"/>
  <c r="L1456" i="72" s="1"/>
  <c r="K1457" i="72"/>
  <c r="L1457" i="72" s="1"/>
  <c r="K1458" i="72"/>
  <c r="L1458" i="72" s="1"/>
  <c r="K1459" i="72"/>
  <c r="L1459" i="72" s="1"/>
  <c r="K1460" i="72"/>
  <c r="L1460" i="72" s="1"/>
  <c r="K1461" i="72"/>
  <c r="L1461" i="72" s="1"/>
  <c r="K1462" i="72"/>
  <c r="L1462" i="72" s="1"/>
  <c r="K1463" i="72"/>
  <c r="L1463" i="72" s="1"/>
  <c r="K1464" i="72"/>
  <c r="L1464" i="72" s="1"/>
  <c r="K1465" i="72"/>
  <c r="L1465" i="72" s="1"/>
  <c r="K1466" i="72"/>
  <c r="L1466" i="72" s="1"/>
  <c r="K1467" i="72"/>
  <c r="L1467" i="72" s="1"/>
  <c r="K1468" i="72"/>
  <c r="L1468" i="72" s="1"/>
  <c r="K1469" i="72"/>
  <c r="L1469" i="72" s="1"/>
  <c r="K1470" i="72"/>
  <c r="L1470" i="72" s="1"/>
  <c r="K1471" i="72"/>
  <c r="L1471" i="72" s="1"/>
  <c r="K1472" i="72"/>
  <c r="L1472" i="72" s="1"/>
  <c r="K1473" i="72"/>
  <c r="L1473" i="72" s="1"/>
  <c r="K1474" i="72"/>
  <c r="L1474" i="72" s="1"/>
  <c r="K1475" i="72"/>
  <c r="L1475" i="72" s="1"/>
  <c r="K1476" i="72"/>
  <c r="L1476" i="72" s="1"/>
  <c r="K1477" i="72"/>
  <c r="L1477" i="72" s="1"/>
  <c r="K1478" i="72"/>
  <c r="L1478" i="72" s="1"/>
  <c r="K1479" i="72"/>
  <c r="L1479" i="72" s="1"/>
  <c r="K1480" i="72"/>
  <c r="L1480" i="72" s="1"/>
  <c r="K1481" i="72"/>
  <c r="L1481" i="72" s="1"/>
  <c r="K1482" i="72"/>
  <c r="L1482" i="72" s="1"/>
  <c r="K1483" i="72"/>
  <c r="L1483" i="72" s="1"/>
  <c r="K1484" i="72"/>
  <c r="L1484" i="72" s="1"/>
  <c r="K1485" i="72"/>
  <c r="L1485" i="72" s="1"/>
  <c r="K1486" i="72"/>
  <c r="L1486" i="72" s="1"/>
  <c r="K1487" i="72"/>
  <c r="L1487" i="72" s="1"/>
  <c r="K1488" i="72"/>
  <c r="L1488" i="72" s="1"/>
  <c r="K1489" i="72"/>
  <c r="L1489" i="72" s="1"/>
  <c r="K1490" i="72"/>
  <c r="L1490" i="72" s="1"/>
  <c r="K1491" i="72"/>
  <c r="L1491" i="72" s="1"/>
  <c r="K1492" i="72"/>
  <c r="L1492" i="72" s="1"/>
  <c r="K1493" i="72"/>
  <c r="L1493" i="72" s="1"/>
  <c r="K1494" i="72"/>
  <c r="L1494" i="72" s="1"/>
  <c r="K1495" i="72"/>
  <c r="L1495" i="72" s="1"/>
  <c r="K1496" i="72"/>
  <c r="L1496" i="72" s="1"/>
  <c r="K1497" i="72"/>
  <c r="L1497" i="72" s="1"/>
  <c r="K1498" i="72"/>
  <c r="L1498" i="72" s="1"/>
  <c r="K1499" i="72"/>
  <c r="L1499" i="72" s="1"/>
  <c r="K1500" i="72"/>
  <c r="L1500" i="72" s="1"/>
  <c r="K1501" i="72"/>
  <c r="L1501" i="72" s="1"/>
  <c r="K1502" i="72"/>
  <c r="L1502" i="72" s="1"/>
  <c r="K1503" i="72"/>
  <c r="L1503" i="72" s="1"/>
  <c r="K1504" i="72"/>
  <c r="L1504" i="72" s="1"/>
  <c r="K1505" i="72"/>
  <c r="L1505" i="72" s="1"/>
  <c r="K1506" i="72"/>
  <c r="L1506" i="72" s="1"/>
  <c r="K1507" i="72"/>
  <c r="L1507" i="72" s="1"/>
  <c r="K1508" i="72"/>
  <c r="L1508" i="72" s="1"/>
  <c r="K1509" i="72"/>
  <c r="L1509" i="72" s="1"/>
  <c r="K1510" i="72"/>
  <c r="L1510" i="72" s="1"/>
  <c r="K1511" i="72"/>
  <c r="L1511" i="72" s="1"/>
  <c r="K1512" i="72"/>
  <c r="L1512" i="72" s="1"/>
  <c r="K1513" i="72"/>
  <c r="L1513" i="72" s="1"/>
  <c r="K1514" i="72"/>
  <c r="L1514" i="72" s="1"/>
  <c r="K1515" i="72"/>
  <c r="L1515" i="72" s="1"/>
  <c r="K1516" i="72"/>
  <c r="L1516" i="72" s="1"/>
  <c r="K1517" i="72"/>
  <c r="L1517" i="72" s="1"/>
  <c r="K1518" i="72"/>
  <c r="L1518" i="72" s="1"/>
  <c r="K1519" i="72"/>
  <c r="L1519" i="72" s="1"/>
  <c r="K1520" i="72"/>
  <c r="L1520" i="72" s="1"/>
  <c r="K1521" i="72"/>
  <c r="L1521" i="72" s="1"/>
  <c r="K1522" i="72"/>
  <c r="L1522" i="72" s="1"/>
  <c r="K1523" i="72"/>
  <c r="L1523" i="72" s="1"/>
  <c r="K1524" i="72"/>
  <c r="L1524" i="72" s="1"/>
  <c r="K1525" i="72"/>
  <c r="L1525" i="72" s="1"/>
  <c r="K1526" i="72"/>
  <c r="L1526" i="72" s="1"/>
  <c r="K1527" i="72"/>
  <c r="L1527" i="72" s="1"/>
  <c r="K1528" i="72"/>
  <c r="L1528" i="72" s="1"/>
  <c r="K1529" i="72"/>
  <c r="L1529" i="72" s="1"/>
  <c r="K1530" i="72"/>
  <c r="L1530" i="72" s="1"/>
  <c r="K1531" i="72"/>
  <c r="L1531" i="72" s="1"/>
  <c r="K1532" i="72"/>
  <c r="L1532" i="72" s="1"/>
  <c r="K1533" i="72"/>
  <c r="L1533" i="72" s="1"/>
  <c r="K1534" i="72"/>
  <c r="L1534" i="72" s="1"/>
  <c r="K1535" i="72"/>
  <c r="L1535" i="72" s="1"/>
  <c r="K1536" i="72"/>
  <c r="L1536" i="72" s="1"/>
  <c r="K1537" i="72"/>
  <c r="L1537" i="72" s="1"/>
  <c r="K1538" i="72"/>
  <c r="L1538" i="72" s="1"/>
  <c r="K1539" i="72"/>
  <c r="L1539" i="72" s="1"/>
  <c r="K1540" i="72"/>
  <c r="L1540" i="72" s="1"/>
  <c r="K1541" i="72"/>
  <c r="L1541" i="72" s="1"/>
  <c r="K1542" i="72"/>
  <c r="L1542" i="72" s="1"/>
  <c r="K1543" i="72"/>
  <c r="L1543" i="72" s="1"/>
  <c r="K1544" i="72"/>
  <c r="L1544" i="72" s="1"/>
  <c r="K1545" i="72"/>
  <c r="L1545" i="72" s="1"/>
  <c r="K1546" i="72"/>
  <c r="L1546" i="72" s="1"/>
  <c r="K1547" i="72"/>
  <c r="L1547" i="72" s="1"/>
  <c r="K1548" i="72"/>
  <c r="L1548" i="72" s="1"/>
  <c r="K1549" i="72"/>
  <c r="L1549" i="72" s="1"/>
  <c r="K1550" i="72"/>
  <c r="L1550" i="72" s="1"/>
  <c r="K1551" i="72"/>
  <c r="L1551" i="72" s="1"/>
  <c r="K1552" i="72"/>
  <c r="L1552" i="72" s="1"/>
  <c r="K1553" i="72"/>
  <c r="L1553" i="72" s="1"/>
  <c r="K1554" i="72"/>
  <c r="L1554" i="72" s="1"/>
  <c r="K1555" i="72"/>
  <c r="L1555" i="72" s="1"/>
  <c r="K1556" i="72"/>
  <c r="L1556" i="72" s="1"/>
  <c r="K1557" i="72"/>
  <c r="L1557" i="72" s="1"/>
  <c r="K1558" i="72"/>
  <c r="L1558" i="72" s="1"/>
  <c r="K1559" i="72"/>
  <c r="L1559" i="72" s="1"/>
  <c r="K1560" i="72"/>
  <c r="L1560" i="72" s="1"/>
  <c r="K1561" i="72"/>
  <c r="L1561" i="72" s="1"/>
  <c r="K1562" i="72"/>
  <c r="L1562" i="72" s="1"/>
  <c r="K1563" i="72"/>
  <c r="L1563" i="72" s="1"/>
  <c r="K1564" i="72"/>
  <c r="L1564" i="72" s="1"/>
  <c r="K1565" i="72"/>
  <c r="L1565" i="72" s="1"/>
  <c r="K1566" i="72"/>
  <c r="L1566" i="72" s="1"/>
  <c r="K1567" i="72"/>
  <c r="L1567" i="72" s="1"/>
  <c r="K1568" i="72"/>
  <c r="L1568" i="72" s="1"/>
  <c r="K1569" i="72"/>
  <c r="L1569" i="72" s="1"/>
  <c r="K1570" i="72"/>
  <c r="L1570" i="72" s="1"/>
  <c r="K1571" i="72"/>
  <c r="L1571" i="72" s="1"/>
  <c r="K1572" i="72"/>
  <c r="L1572" i="72" s="1"/>
  <c r="K1573" i="72"/>
  <c r="L1573" i="72" s="1"/>
  <c r="K1574" i="72"/>
  <c r="L1574" i="72" s="1"/>
  <c r="K1575" i="72"/>
  <c r="L1575" i="72" s="1"/>
  <c r="K1576" i="72"/>
  <c r="L1576" i="72" s="1"/>
  <c r="K1577" i="72"/>
  <c r="L1577" i="72" s="1"/>
  <c r="K1578" i="72"/>
  <c r="L1578" i="72" s="1"/>
  <c r="K1579" i="72"/>
  <c r="L1579" i="72" s="1"/>
  <c r="K1580" i="72"/>
  <c r="L1580" i="72" s="1"/>
  <c r="K1581" i="72"/>
  <c r="L1581" i="72" s="1"/>
  <c r="K1582" i="72"/>
  <c r="L1582" i="72" s="1"/>
  <c r="K1583" i="72"/>
  <c r="L1583" i="72" s="1"/>
  <c r="K1584" i="72"/>
  <c r="L1584" i="72" s="1"/>
  <c r="K1585" i="72"/>
  <c r="L1585" i="72" s="1"/>
  <c r="K1586" i="72"/>
  <c r="L1586" i="72" s="1"/>
  <c r="K1587" i="72"/>
  <c r="L1587" i="72" s="1"/>
  <c r="K1588" i="72"/>
  <c r="L1588" i="72" s="1"/>
  <c r="K1589" i="72"/>
  <c r="L1589" i="72" s="1"/>
  <c r="K1590" i="72"/>
  <c r="L1590" i="72" s="1"/>
  <c r="K1591" i="72"/>
  <c r="L1591" i="72" s="1"/>
  <c r="K1592" i="72"/>
  <c r="L1592" i="72" s="1"/>
  <c r="K1593" i="72"/>
  <c r="L1593" i="72" s="1"/>
  <c r="K1594" i="72"/>
  <c r="L1594" i="72" s="1"/>
  <c r="K1595" i="72"/>
  <c r="L1595" i="72" s="1"/>
  <c r="K1596" i="72"/>
  <c r="L1596" i="72" s="1"/>
  <c r="K1597" i="72"/>
  <c r="L1597" i="72" s="1"/>
  <c r="K1598" i="72"/>
  <c r="L1598" i="72" s="1"/>
  <c r="K1599" i="72"/>
  <c r="L1599" i="72" s="1"/>
  <c r="K1600" i="72"/>
  <c r="L1600" i="72" s="1"/>
  <c r="K1601" i="72"/>
  <c r="L1601" i="72" s="1"/>
  <c r="K1602" i="72"/>
  <c r="L1602" i="72" s="1"/>
  <c r="K1603" i="72"/>
  <c r="L1603" i="72" s="1"/>
  <c r="K1604" i="72"/>
  <c r="L1604" i="72" s="1"/>
  <c r="K1605" i="72"/>
  <c r="L1605" i="72" s="1"/>
  <c r="K1606" i="72"/>
  <c r="L1606" i="72" s="1"/>
  <c r="K1607" i="72"/>
  <c r="L1607" i="72" s="1"/>
  <c r="K1608" i="72"/>
  <c r="L1608" i="72" s="1"/>
  <c r="K1609" i="72"/>
  <c r="L1609" i="72" s="1"/>
  <c r="K1610" i="72"/>
  <c r="L1610" i="72" s="1"/>
  <c r="K1611" i="72"/>
  <c r="L1611" i="72" s="1"/>
  <c r="K1612" i="72"/>
  <c r="L1612" i="72" s="1"/>
  <c r="K1613" i="72"/>
  <c r="L1613" i="72" s="1"/>
  <c r="K1614" i="72"/>
  <c r="L1614" i="72" s="1"/>
  <c r="K1615" i="72"/>
  <c r="L1615" i="72" s="1"/>
  <c r="K1616" i="72"/>
  <c r="L1616" i="72" s="1"/>
  <c r="K1617" i="72"/>
  <c r="L1617" i="72" s="1"/>
  <c r="K1618" i="72"/>
  <c r="L1618" i="72" s="1"/>
  <c r="K1619" i="72"/>
  <c r="L1619" i="72" s="1"/>
  <c r="K1620" i="72"/>
  <c r="L1620" i="72" s="1"/>
  <c r="K1621" i="72"/>
  <c r="L1621" i="72" s="1"/>
  <c r="K1622" i="72"/>
  <c r="L1622" i="72" s="1"/>
  <c r="K1623" i="72"/>
  <c r="L1623" i="72" s="1"/>
  <c r="K1624" i="72"/>
  <c r="L1624" i="72" s="1"/>
  <c r="K1625" i="72"/>
  <c r="L1625" i="72" s="1"/>
  <c r="K1626" i="72"/>
  <c r="L1626" i="72" s="1"/>
  <c r="K1627" i="72"/>
  <c r="L1627" i="72" s="1"/>
  <c r="K1628" i="72"/>
  <c r="L1628" i="72" s="1"/>
  <c r="K1629" i="72"/>
  <c r="L1629" i="72" s="1"/>
  <c r="K1630" i="72"/>
  <c r="L1630" i="72" s="1"/>
  <c r="K1631" i="72"/>
  <c r="L1631" i="72" s="1"/>
  <c r="K1632" i="72"/>
  <c r="L1632" i="72" s="1"/>
  <c r="K1633" i="72"/>
  <c r="L1633" i="72" s="1"/>
  <c r="K1634" i="72"/>
  <c r="L1634" i="72" s="1"/>
  <c r="K1635" i="72"/>
  <c r="L1635" i="72" s="1"/>
  <c r="K1636" i="72"/>
  <c r="L1636" i="72" s="1"/>
  <c r="K1637" i="72"/>
  <c r="L1637" i="72" s="1"/>
  <c r="K1638" i="72"/>
  <c r="L1638" i="72" s="1"/>
  <c r="K1639" i="72"/>
  <c r="L1639" i="72" s="1"/>
  <c r="K1640" i="72"/>
  <c r="L1640" i="72" s="1"/>
  <c r="K1641" i="72"/>
  <c r="L1641" i="72" s="1"/>
  <c r="K1642" i="72"/>
  <c r="L1642" i="72" s="1"/>
  <c r="K1643" i="72"/>
  <c r="L1643" i="72" s="1"/>
  <c r="K1644" i="72"/>
  <c r="L1644" i="72" s="1"/>
  <c r="K1645" i="72"/>
  <c r="L1645" i="72" s="1"/>
  <c r="K1646" i="72"/>
  <c r="L1646" i="72" s="1"/>
  <c r="K1647" i="72"/>
  <c r="L1647" i="72" s="1"/>
  <c r="K1648" i="72"/>
  <c r="L1648" i="72" s="1"/>
  <c r="K1649" i="72"/>
  <c r="L1649" i="72" s="1"/>
  <c r="K1650" i="72"/>
  <c r="L1650" i="72" s="1"/>
  <c r="K1651" i="72"/>
  <c r="L1651" i="72" s="1"/>
  <c r="K1652" i="72"/>
  <c r="L1652" i="72" s="1"/>
  <c r="K1653" i="72"/>
  <c r="L1653" i="72" s="1"/>
  <c r="K1654" i="72"/>
  <c r="L1654" i="72" s="1"/>
  <c r="K1655" i="72"/>
  <c r="L1655" i="72" s="1"/>
  <c r="K1656" i="72"/>
  <c r="L1656" i="72" s="1"/>
  <c r="K1657" i="72"/>
  <c r="L1657" i="72" s="1"/>
  <c r="K1658" i="72"/>
  <c r="L1658" i="72" s="1"/>
  <c r="K1659" i="72"/>
  <c r="L1659" i="72" s="1"/>
  <c r="K1660" i="72"/>
  <c r="L1660" i="72" s="1"/>
  <c r="K1661" i="72"/>
  <c r="L1661" i="72" s="1"/>
  <c r="K1662" i="72"/>
  <c r="L1662" i="72" s="1"/>
  <c r="K1663" i="72"/>
  <c r="L1663" i="72" s="1"/>
  <c r="K1664" i="72"/>
  <c r="L1664" i="72" s="1"/>
  <c r="K1665" i="72"/>
  <c r="L1665" i="72" s="1"/>
  <c r="K1666" i="72"/>
  <c r="L1666" i="72" s="1"/>
  <c r="K1667" i="72"/>
  <c r="L1667" i="72" s="1"/>
  <c r="K1668" i="72"/>
  <c r="L1668" i="72" s="1"/>
  <c r="K1669" i="72"/>
  <c r="L1669" i="72" s="1"/>
  <c r="K1670" i="72"/>
  <c r="L1670" i="72" s="1"/>
  <c r="K1671" i="72"/>
  <c r="L1671" i="72" s="1"/>
  <c r="K1672" i="72"/>
  <c r="L1672" i="72" s="1"/>
  <c r="K1673" i="72"/>
  <c r="L1673" i="72" s="1"/>
  <c r="K1674" i="72"/>
  <c r="L1674" i="72" s="1"/>
  <c r="K1675" i="72"/>
  <c r="L1675" i="72" s="1"/>
  <c r="K1676" i="72"/>
  <c r="L1676" i="72" s="1"/>
  <c r="K1677" i="72"/>
  <c r="L1677" i="72" s="1"/>
  <c r="K1678" i="72"/>
  <c r="L1678" i="72" s="1"/>
  <c r="K1679" i="72"/>
  <c r="L1679" i="72" s="1"/>
  <c r="K1680" i="72"/>
  <c r="L1680" i="72" s="1"/>
  <c r="K1681" i="72"/>
  <c r="L1681" i="72" s="1"/>
  <c r="K1682" i="72"/>
  <c r="L1682" i="72" s="1"/>
  <c r="K1683" i="72"/>
  <c r="L1683" i="72" s="1"/>
  <c r="K1684" i="72"/>
  <c r="L1684" i="72" s="1"/>
  <c r="K1685" i="72"/>
  <c r="L1685" i="72" s="1"/>
  <c r="K1686" i="72"/>
  <c r="L1686" i="72" s="1"/>
  <c r="K1687" i="72"/>
  <c r="L1687" i="72" s="1"/>
  <c r="K1688" i="72"/>
  <c r="L1688" i="72" s="1"/>
  <c r="K1689" i="72"/>
  <c r="L1689" i="72" s="1"/>
  <c r="K1690" i="72"/>
  <c r="L1690" i="72" s="1"/>
  <c r="K1691" i="72"/>
  <c r="L1691" i="72" s="1"/>
  <c r="K1692" i="72"/>
  <c r="L1692" i="72" s="1"/>
  <c r="K1693" i="72"/>
  <c r="L1693" i="72" s="1"/>
  <c r="K1694" i="72"/>
  <c r="L1694" i="72" s="1"/>
  <c r="K1695" i="72"/>
  <c r="L1695" i="72" s="1"/>
  <c r="K1696" i="72"/>
  <c r="L1696" i="72" s="1"/>
  <c r="K1697" i="72"/>
  <c r="L1697" i="72" s="1"/>
  <c r="K1698" i="72"/>
  <c r="L1698" i="72" s="1"/>
  <c r="K1699" i="72"/>
  <c r="L1699" i="72" s="1"/>
  <c r="K1700" i="72"/>
  <c r="L1700" i="72" s="1"/>
  <c r="K1701" i="72"/>
  <c r="L1701" i="72" s="1"/>
  <c r="K1702" i="72"/>
  <c r="L1702" i="72" s="1"/>
  <c r="K1703" i="72"/>
  <c r="L1703" i="72" s="1"/>
  <c r="K1704" i="72"/>
  <c r="L1704" i="72" s="1"/>
  <c r="K1705" i="72"/>
  <c r="L1705" i="72" s="1"/>
  <c r="K1706" i="72"/>
  <c r="L1706" i="72" s="1"/>
  <c r="K1707" i="72"/>
  <c r="L1707" i="72" s="1"/>
  <c r="K1708" i="72"/>
  <c r="L1708" i="72" s="1"/>
  <c r="K1709" i="72"/>
  <c r="L1709" i="72" s="1"/>
  <c r="K1710" i="72"/>
  <c r="L1710" i="72" s="1"/>
  <c r="K1711" i="72"/>
  <c r="L1711" i="72" s="1"/>
  <c r="K1712" i="72"/>
  <c r="L1712" i="72" s="1"/>
  <c r="K1713" i="72"/>
  <c r="L1713" i="72" s="1"/>
  <c r="K1714" i="72"/>
  <c r="L1714" i="72" s="1"/>
  <c r="K1715" i="72"/>
  <c r="L1715" i="72" s="1"/>
  <c r="K1716" i="72"/>
  <c r="L1716" i="72" s="1"/>
  <c r="K1717" i="72"/>
  <c r="L1717" i="72" s="1"/>
  <c r="K1718" i="72"/>
  <c r="L1718" i="72" s="1"/>
  <c r="K1719" i="72"/>
  <c r="L1719" i="72" s="1"/>
  <c r="K1720" i="72"/>
  <c r="L1720" i="72" s="1"/>
  <c r="K1721" i="72"/>
  <c r="L1721" i="72" s="1"/>
  <c r="K1722" i="72"/>
  <c r="L1722" i="72" s="1"/>
  <c r="K1723" i="72"/>
  <c r="L1723" i="72" s="1"/>
  <c r="K1724" i="72"/>
  <c r="L1724" i="72" s="1"/>
  <c r="K1725" i="72"/>
  <c r="L1725" i="72" s="1"/>
  <c r="K1726" i="72"/>
  <c r="L1726" i="72" s="1"/>
  <c r="K1727" i="72"/>
  <c r="L1727" i="72" s="1"/>
  <c r="K1728" i="72"/>
  <c r="L1728" i="72" s="1"/>
  <c r="K1729" i="72"/>
  <c r="L1729" i="72" s="1"/>
  <c r="K1730" i="72"/>
  <c r="L1730" i="72" s="1"/>
  <c r="K1731" i="72"/>
  <c r="L1731" i="72" s="1"/>
  <c r="K1732" i="72"/>
  <c r="L1732" i="72" s="1"/>
  <c r="K1733" i="72"/>
  <c r="L1733" i="72" s="1"/>
  <c r="K1734" i="72"/>
  <c r="L1734" i="72" s="1"/>
  <c r="K1735" i="72"/>
  <c r="L1735" i="72" s="1"/>
  <c r="K1736" i="72"/>
  <c r="L1736" i="72" s="1"/>
  <c r="K1737" i="72"/>
  <c r="L1737" i="72" s="1"/>
  <c r="K1738" i="72"/>
  <c r="L1738" i="72" s="1"/>
  <c r="K1739" i="72"/>
  <c r="L1739" i="72" s="1"/>
  <c r="K1740" i="72"/>
  <c r="L1740" i="72" s="1"/>
  <c r="K1741" i="72"/>
  <c r="L1741" i="72" s="1"/>
  <c r="K1742" i="72"/>
  <c r="L1742" i="72" s="1"/>
  <c r="K1743" i="72"/>
  <c r="L1743" i="72" s="1"/>
  <c r="K1744" i="72"/>
  <c r="L1744" i="72" s="1"/>
  <c r="K1745" i="72"/>
  <c r="L1745" i="72" s="1"/>
  <c r="K1746" i="72"/>
  <c r="L1746" i="72" s="1"/>
  <c r="K1747" i="72"/>
  <c r="L1747" i="72" s="1"/>
  <c r="K1748" i="72"/>
  <c r="L1748" i="72" s="1"/>
  <c r="K1749" i="72"/>
  <c r="L1749" i="72" s="1"/>
  <c r="K1750" i="72"/>
  <c r="L1750" i="72" s="1"/>
  <c r="K1751" i="72"/>
  <c r="L1751" i="72" s="1"/>
  <c r="K1752" i="72"/>
  <c r="L1752" i="72" s="1"/>
  <c r="K1753" i="72"/>
  <c r="L1753" i="72" s="1"/>
  <c r="K1754" i="72"/>
  <c r="L1754" i="72" s="1"/>
  <c r="K1755" i="72"/>
  <c r="L1755" i="72" s="1"/>
  <c r="K1756" i="72"/>
  <c r="L1756" i="72" s="1"/>
  <c r="K1757" i="72"/>
  <c r="L1757" i="72" s="1"/>
  <c r="K1758" i="72"/>
  <c r="L1758" i="72" s="1"/>
  <c r="K1759" i="72"/>
  <c r="L1759" i="72" s="1"/>
  <c r="K1760" i="72"/>
  <c r="L1760" i="72" s="1"/>
  <c r="K1761" i="72"/>
  <c r="L1761" i="72" s="1"/>
  <c r="K1762" i="72"/>
  <c r="L1762" i="72" s="1"/>
  <c r="K1763" i="72"/>
  <c r="L1763" i="72" s="1"/>
  <c r="K1764" i="72"/>
  <c r="L1764" i="72" s="1"/>
  <c r="K1765" i="72"/>
  <c r="L1765" i="72" s="1"/>
  <c r="K1766" i="72"/>
  <c r="L1766" i="72" s="1"/>
  <c r="K1767" i="72"/>
  <c r="L1767" i="72" s="1"/>
  <c r="K1768" i="72"/>
  <c r="L1768" i="72" s="1"/>
  <c r="K1769" i="72"/>
  <c r="L1769" i="72" s="1"/>
  <c r="K1770" i="72"/>
  <c r="L1770" i="72" s="1"/>
  <c r="K1771" i="72"/>
  <c r="L1771" i="72" s="1"/>
  <c r="K1772" i="72"/>
  <c r="L1772" i="72" s="1"/>
  <c r="K1773" i="72"/>
  <c r="L1773" i="72" s="1"/>
  <c r="K1774" i="72"/>
  <c r="L1774" i="72" s="1"/>
  <c r="K1775" i="72"/>
  <c r="L1775" i="72" s="1"/>
  <c r="K1776" i="72"/>
  <c r="L1776" i="72" s="1"/>
  <c r="K1777" i="72"/>
  <c r="L1777" i="72" s="1"/>
  <c r="K1778" i="72"/>
  <c r="L1778" i="72" s="1"/>
  <c r="K1779" i="72"/>
  <c r="L1779" i="72" s="1"/>
  <c r="K1780" i="72"/>
  <c r="L1780" i="72" s="1"/>
  <c r="K1781" i="72"/>
  <c r="L1781" i="72" s="1"/>
  <c r="K1782" i="72"/>
  <c r="L1782" i="72" s="1"/>
  <c r="K1783" i="72"/>
  <c r="L1783" i="72" s="1"/>
  <c r="K1784" i="72"/>
  <c r="L1784" i="72" s="1"/>
  <c r="K1785" i="72"/>
  <c r="L1785" i="72" s="1"/>
  <c r="K1786" i="72"/>
  <c r="L1786" i="72" s="1"/>
  <c r="K1787" i="72"/>
  <c r="L1787" i="72" s="1"/>
  <c r="K1788" i="72"/>
  <c r="L1788" i="72" s="1"/>
  <c r="K1789" i="72"/>
  <c r="L1789" i="72" s="1"/>
  <c r="K1790" i="72"/>
  <c r="L1790" i="72" s="1"/>
  <c r="K1791" i="72"/>
  <c r="L1791" i="72" s="1"/>
  <c r="K1792" i="72"/>
  <c r="L1792" i="72" s="1"/>
  <c r="K1793" i="72"/>
  <c r="L1793" i="72" s="1"/>
  <c r="K1794" i="72"/>
  <c r="L1794" i="72" s="1"/>
  <c r="K1795" i="72"/>
  <c r="L1795" i="72" s="1"/>
  <c r="K1796" i="72"/>
  <c r="L1796" i="72" s="1"/>
  <c r="K1797" i="72"/>
  <c r="L1797" i="72" s="1"/>
  <c r="K1798" i="72"/>
  <c r="L1798" i="72" s="1"/>
  <c r="K1799" i="72"/>
  <c r="L1799" i="72" s="1"/>
  <c r="K1800" i="72"/>
  <c r="L1800" i="72" s="1"/>
  <c r="K1801" i="72"/>
  <c r="L1801" i="72" s="1"/>
  <c r="K1802" i="72"/>
  <c r="L1802" i="72" s="1"/>
  <c r="K1803" i="72"/>
  <c r="L1803" i="72" s="1"/>
  <c r="K1804" i="72"/>
  <c r="L1804" i="72" s="1"/>
  <c r="K1805" i="72"/>
  <c r="L1805" i="72" s="1"/>
  <c r="K1806" i="72"/>
  <c r="L1806" i="72" s="1"/>
  <c r="K1807" i="72"/>
  <c r="L1807" i="72" s="1"/>
  <c r="K1808" i="72"/>
  <c r="L1808" i="72" s="1"/>
  <c r="K1809" i="72"/>
  <c r="L1809" i="72" s="1"/>
  <c r="K1810" i="72"/>
  <c r="L1810" i="72" s="1"/>
  <c r="K1811" i="72"/>
  <c r="L1811" i="72" s="1"/>
  <c r="K1812" i="72"/>
  <c r="L1812" i="72" s="1"/>
  <c r="K1813" i="72"/>
  <c r="L1813" i="72" s="1"/>
  <c r="K1814" i="72"/>
  <c r="L1814" i="72" s="1"/>
  <c r="K1815" i="72"/>
  <c r="L1815" i="72" s="1"/>
  <c r="K1816" i="72"/>
  <c r="L1816" i="72" s="1"/>
  <c r="K1817" i="72"/>
  <c r="L1817" i="72" s="1"/>
  <c r="K1818" i="72"/>
  <c r="L1818" i="72" s="1"/>
  <c r="K1819" i="72"/>
  <c r="L1819" i="72" s="1"/>
  <c r="K1820" i="72"/>
  <c r="L1820" i="72" s="1"/>
  <c r="K1821" i="72"/>
  <c r="L1821" i="72" s="1"/>
  <c r="K1822" i="72"/>
  <c r="L1822" i="72" s="1"/>
  <c r="K1823" i="72"/>
  <c r="L1823" i="72" s="1"/>
  <c r="K1824" i="72"/>
  <c r="L1824" i="72" s="1"/>
  <c r="K1825" i="72"/>
  <c r="L1825" i="72" s="1"/>
  <c r="K1826" i="72"/>
  <c r="L1826" i="72" s="1"/>
  <c r="K1827" i="72"/>
  <c r="L1827" i="72" s="1"/>
  <c r="K1828" i="72"/>
  <c r="L1828" i="72" s="1"/>
  <c r="K1829" i="72"/>
  <c r="L1829" i="72" s="1"/>
  <c r="K1830" i="72"/>
  <c r="L1830" i="72" s="1"/>
  <c r="K1831" i="72"/>
  <c r="L1831" i="72" s="1"/>
  <c r="K1832" i="72"/>
  <c r="L1832" i="72" s="1"/>
  <c r="K1833" i="72"/>
  <c r="L1833" i="72" s="1"/>
  <c r="K1834" i="72"/>
  <c r="L1834" i="72" s="1"/>
  <c r="K1835" i="72"/>
  <c r="L1835" i="72" s="1"/>
  <c r="K1836" i="72"/>
  <c r="L1836" i="72" s="1"/>
  <c r="K1837" i="72"/>
  <c r="L1837" i="72" s="1"/>
  <c r="K1838" i="72"/>
  <c r="L1838" i="72" s="1"/>
  <c r="K1839" i="72"/>
  <c r="L1839" i="72" s="1"/>
  <c r="K1840" i="72"/>
  <c r="L1840" i="72" s="1"/>
  <c r="K1841" i="72"/>
  <c r="L1841" i="72" s="1"/>
  <c r="K1842" i="72"/>
  <c r="L1842" i="72" s="1"/>
  <c r="K1843" i="72"/>
  <c r="L1843" i="72" s="1"/>
  <c r="K1844" i="72"/>
  <c r="L1844" i="72" s="1"/>
  <c r="K1845" i="72"/>
  <c r="L1845" i="72" s="1"/>
  <c r="K1846" i="72"/>
  <c r="L1846" i="72" s="1"/>
  <c r="K1847" i="72"/>
  <c r="L1847" i="72" s="1"/>
  <c r="K1848" i="72"/>
  <c r="L1848" i="72" s="1"/>
  <c r="K1849" i="72"/>
  <c r="L1849" i="72" s="1"/>
  <c r="K1850" i="72"/>
  <c r="L1850" i="72" s="1"/>
  <c r="K1851" i="72"/>
  <c r="L1851" i="72" s="1"/>
  <c r="K1852" i="72"/>
  <c r="L1852" i="72" s="1"/>
  <c r="K1853" i="72"/>
  <c r="L1853" i="72" s="1"/>
  <c r="K1854" i="72"/>
  <c r="L1854" i="72" s="1"/>
  <c r="K1855" i="72"/>
  <c r="L1855" i="72" s="1"/>
  <c r="K1856" i="72"/>
  <c r="L1856" i="72" s="1"/>
  <c r="K1857" i="72"/>
  <c r="L1857" i="72" s="1"/>
  <c r="K1858" i="72"/>
  <c r="L1858" i="72" s="1"/>
  <c r="K1859" i="72"/>
  <c r="L1859" i="72" s="1"/>
  <c r="K1860" i="72"/>
  <c r="L1860" i="72" s="1"/>
  <c r="K1861" i="72"/>
  <c r="L1861" i="72" s="1"/>
  <c r="K1862" i="72"/>
  <c r="L1862" i="72" s="1"/>
  <c r="K1863" i="72"/>
  <c r="L1863" i="72" s="1"/>
  <c r="K1864" i="72"/>
  <c r="L1864" i="72" s="1"/>
  <c r="K1865" i="72"/>
  <c r="L1865" i="72" s="1"/>
  <c r="K1866" i="72"/>
  <c r="L1866" i="72" s="1"/>
  <c r="K1867" i="72"/>
  <c r="L1867" i="72" s="1"/>
  <c r="K1868" i="72"/>
  <c r="L1868" i="72" s="1"/>
  <c r="K1869" i="72"/>
  <c r="L1869" i="72" s="1"/>
  <c r="K1870" i="72"/>
  <c r="L1870" i="72" s="1"/>
  <c r="K1871" i="72"/>
  <c r="L1871" i="72" s="1"/>
  <c r="K1872" i="72"/>
  <c r="L1872" i="72" s="1"/>
  <c r="K1873" i="72"/>
  <c r="L1873" i="72" s="1"/>
  <c r="K1874" i="72"/>
  <c r="L1874" i="72" s="1"/>
  <c r="K1875" i="72"/>
  <c r="L1875" i="72" s="1"/>
  <c r="K1876" i="72"/>
  <c r="L1876" i="72" s="1"/>
  <c r="K1877" i="72"/>
  <c r="L1877" i="72" s="1"/>
  <c r="K1878" i="72"/>
  <c r="L1878" i="72" s="1"/>
  <c r="K1879" i="72"/>
  <c r="L1879" i="72" s="1"/>
  <c r="K1880" i="72"/>
  <c r="L1880" i="72" s="1"/>
  <c r="K1881" i="72"/>
  <c r="L1881" i="72" s="1"/>
  <c r="K1882" i="72"/>
  <c r="L1882" i="72" s="1"/>
  <c r="K1883" i="72"/>
  <c r="L1883" i="72" s="1"/>
  <c r="K1884" i="72"/>
  <c r="L1884" i="72" s="1"/>
  <c r="K1885" i="72"/>
  <c r="L1885" i="72" s="1"/>
  <c r="K1886" i="72"/>
  <c r="L1886" i="72" s="1"/>
  <c r="K1887" i="72"/>
  <c r="L1887" i="72" s="1"/>
  <c r="K1888" i="72"/>
  <c r="L1888" i="72" s="1"/>
  <c r="K1889" i="72"/>
  <c r="L1889" i="72" s="1"/>
  <c r="K1890" i="72"/>
  <c r="L1890" i="72" s="1"/>
  <c r="K1891" i="72"/>
  <c r="L1891" i="72" s="1"/>
  <c r="K1892" i="72"/>
  <c r="L1892" i="72" s="1"/>
  <c r="K1893" i="72"/>
  <c r="L1893" i="72" s="1"/>
  <c r="K1894" i="72"/>
  <c r="L1894" i="72" s="1"/>
  <c r="K1895" i="72"/>
  <c r="L1895" i="72" s="1"/>
  <c r="K1896" i="72"/>
  <c r="L1896" i="72" s="1"/>
  <c r="K1897" i="72"/>
  <c r="L1897" i="72" s="1"/>
  <c r="K1898" i="72"/>
  <c r="L1898" i="72" s="1"/>
  <c r="K1899" i="72"/>
  <c r="L1899" i="72" s="1"/>
  <c r="K1900" i="72"/>
  <c r="L1900" i="72" s="1"/>
  <c r="K1901" i="72"/>
  <c r="L1901" i="72" s="1"/>
  <c r="K1902" i="72"/>
  <c r="L1902" i="72" s="1"/>
  <c r="K1903" i="72"/>
  <c r="L1903" i="72" s="1"/>
  <c r="K1904" i="72"/>
  <c r="L1904" i="72" s="1"/>
  <c r="K1905" i="72"/>
  <c r="L1905" i="72" s="1"/>
  <c r="K1906" i="72"/>
  <c r="L1906" i="72"/>
  <c r="K1907" i="72"/>
  <c r="L1907" i="72"/>
  <c r="K1908" i="72"/>
  <c r="L1908" i="72"/>
  <c r="K1909" i="72"/>
  <c r="L1909" i="72"/>
  <c r="K1910" i="72"/>
  <c r="L1910" i="72"/>
  <c r="K1911" i="72"/>
  <c r="L1911" i="72"/>
  <c r="K1912" i="72"/>
  <c r="L1912" i="72"/>
  <c r="K1913" i="72"/>
  <c r="L1913" i="72"/>
  <c r="K1914" i="72"/>
  <c r="L1914" i="72"/>
  <c r="K1915" i="72"/>
  <c r="L1915" i="72"/>
  <c r="K1916" i="72"/>
  <c r="L1916" i="72"/>
  <c r="K1917" i="72"/>
  <c r="L1917" i="72"/>
  <c r="K1918" i="72"/>
  <c r="L1918" i="72"/>
  <c r="K1919" i="72"/>
  <c r="L1919" i="72"/>
  <c r="K1920" i="72"/>
  <c r="L1920" i="72"/>
  <c r="K1921" i="72"/>
  <c r="L1921" i="72"/>
  <c r="K1922" i="72"/>
  <c r="L1922" i="72"/>
  <c r="K1923" i="72"/>
  <c r="L1923" i="72"/>
  <c r="K1924" i="72"/>
  <c r="L1924" i="72"/>
  <c r="K1925" i="72"/>
  <c r="L1925" i="72"/>
  <c r="K1926" i="72"/>
  <c r="L1926" i="72"/>
  <c r="K1927" i="72"/>
  <c r="L1927" i="72"/>
  <c r="K1928" i="72"/>
  <c r="L1928" i="72"/>
  <c r="K1929" i="72"/>
  <c r="L1929" i="72"/>
  <c r="K1930" i="72"/>
  <c r="L1930" i="72"/>
  <c r="K1931" i="72"/>
  <c r="L1931" i="72"/>
  <c r="K1932" i="72"/>
  <c r="L1932" i="72"/>
  <c r="K1933" i="72"/>
  <c r="L1933" i="72"/>
  <c r="K1934" i="72"/>
  <c r="L1934" i="72"/>
  <c r="K1935" i="72"/>
  <c r="L1935" i="72"/>
  <c r="K1936" i="72"/>
  <c r="L1936" i="72"/>
  <c r="K1937" i="72"/>
  <c r="L1937" i="72"/>
  <c r="K1938" i="72"/>
  <c r="L1938" i="72"/>
  <c r="K1939" i="72"/>
  <c r="L1939" i="72"/>
  <c r="K1940" i="72"/>
  <c r="L1940" i="72"/>
  <c r="K1941" i="72"/>
  <c r="L1941" i="72"/>
  <c r="K1942" i="72"/>
  <c r="L1942" i="72"/>
  <c r="K1943" i="72"/>
  <c r="L1943" i="72"/>
  <c r="K1944" i="72"/>
  <c r="L1944" i="72"/>
  <c r="K1945" i="72"/>
  <c r="L1945" i="72"/>
  <c r="K1946" i="72"/>
  <c r="L1946" i="72"/>
  <c r="K1947" i="72"/>
  <c r="L1947" i="72"/>
  <c r="K1948" i="72"/>
  <c r="L1948" i="72"/>
  <c r="K1949" i="72"/>
  <c r="L1949" i="72"/>
  <c r="K1950" i="72"/>
  <c r="L1950" i="72"/>
  <c r="K1951" i="72"/>
  <c r="L1951" i="72"/>
  <c r="K1952" i="72"/>
  <c r="L1952" i="72"/>
  <c r="K1953" i="72"/>
  <c r="L1953" i="72"/>
  <c r="K1954" i="72"/>
  <c r="L1954" i="72"/>
  <c r="K1955" i="72"/>
  <c r="L1955" i="72"/>
  <c r="K1956" i="72"/>
  <c r="L1956" i="72"/>
  <c r="K1957" i="72"/>
  <c r="L1957" i="72"/>
  <c r="K1958" i="72"/>
  <c r="L1958" i="72"/>
  <c r="K1959" i="72"/>
  <c r="L1959" i="72"/>
  <c r="K1960" i="72"/>
  <c r="L1960" i="72"/>
  <c r="K1961" i="72"/>
  <c r="L1961" i="72"/>
  <c r="K1962" i="72"/>
  <c r="L1962" i="72"/>
  <c r="K1963" i="72"/>
  <c r="L1963" i="72"/>
  <c r="K1964" i="72"/>
  <c r="L1964" i="72"/>
  <c r="K1965" i="72"/>
  <c r="L1965" i="72"/>
  <c r="K1966" i="72"/>
  <c r="L1966" i="72"/>
  <c r="K1967" i="72"/>
  <c r="L1967" i="72"/>
  <c r="K1968" i="72"/>
  <c r="L1968" i="72"/>
  <c r="K1969" i="72"/>
  <c r="L1969" i="72"/>
  <c r="K1970" i="72"/>
  <c r="L1970" i="72"/>
  <c r="K1971" i="72"/>
  <c r="L1971" i="72"/>
  <c r="K1972" i="72"/>
  <c r="L1972" i="72"/>
  <c r="K1973" i="72"/>
  <c r="L1973" i="72"/>
  <c r="K1974" i="72"/>
  <c r="L1974" i="72"/>
  <c r="K1975" i="72"/>
  <c r="L1975" i="72"/>
  <c r="K1976" i="72"/>
  <c r="L1976" i="72"/>
  <c r="K1977" i="72"/>
  <c r="L1977" i="72"/>
  <c r="K1978" i="72"/>
  <c r="L1978" i="72"/>
  <c r="K1979" i="72"/>
  <c r="L1979" i="72"/>
  <c r="K1980" i="72"/>
  <c r="L1980" i="72"/>
  <c r="K1981" i="72"/>
  <c r="L1981" i="72"/>
  <c r="K1982" i="72"/>
  <c r="L1982" i="72"/>
  <c r="K1983" i="72"/>
  <c r="L1983" i="72"/>
  <c r="K1984" i="72"/>
  <c r="L1984" i="72"/>
  <c r="K1985" i="72"/>
  <c r="L1985" i="72"/>
  <c r="K1986" i="72"/>
  <c r="L1986" i="72"/>
  <c r="K1987" i="72"/>
  <c r="L1987" i="72"/>
  <c r="K1988" i="72"/>
  <c r="L1988" i="72"/>
  <c r="K1989" i="72"/>
  <c r="L1989" i="72"/>
  <c r="K1990" i="72"/>
  <c r="L1990" i="72"/>
  <c r="K1991" i="72"/>
  <c r="L1991" i="72"/>
  <c r="K1992" i="72"/>
  <c r="L1992" i="72"/>
  <c r="K1993" i="72"/>
  <c r="L1993" i="72"/>
  <c r="K1994" i="72"/>
  <c r="L1994" i="72"/>
  <c r="K1995" i="72"/>
  <c r="L1995" i="72"/>
  <c r="K1996" i="72"/>
  <c r="L1996" i="72"/>
  <c r="K1997" i="72"/>
  <c r="L1997" i="72"/>
  <c r="K1998" i="72"/>
  <c r="L1998" i="72"/>
  <c r="K1999" i="72"/>
  <c r="L1999" i="72"/>
  <c r="K2000" i="72"/>
  <c r="L2000" i="72"/>
  <c r="K2001" i="72"/>
  <c r="L2001" i="72"/>
  <c r="K2002" i="72"/>
  <c r="L2002" i="72"/>
  <c r="K2003" i="72"/>
  <c r="L2003" i="72"/>
  <c r="K2004" i="72"/>
  <c r="L2004" i="72"/>
  <c r="K2005" i="72"/>
  <c r="L2005" i="72"/>
  <c r="K2006" i="72"/>
  <c r="L2006" i="72"/>
  <c r="K2007" i="72"/>
  <c r="L2007" i="72"/>
  <c r="K2008" i="72"/>
  <c r="L2008" i="72"/>
  <c r="K2009" i="72"/>
  <c r="L2009" i="72"/>
  <c r="K2010" i="72"/>
  <c r="L2010" i="72"/>
  <c r="K2011" i="72"/>
  <c r="L2011" i="72"/>
  <c r="K2012" i="72"/>
  <c r="L2012" i="72"/>
  <c r="K2013" i="72"/>
  <c r="L2013" i="72"/>
  <c r="K2014" i="72"/>
  <c r="L2014" i="72"/>
  <c r="K2015" i="72"/>
  <c r="L2015" i="72"/>
  <c r="K2016" i="72"/>
  <c r="L2016" i="72"/>
  <c r="K2017" i="72"/>
  <c r="L2017" i="72"/>
  <c r="K2018" i="72"/>
  <c r="L2018" i="72"/>
  <c r="K2019" i="72"/>
  <c r="L2019" i="72"/>
  <c r="K2020" i="72"/>
  <c r="L2020" i="72"/>
  <c r="K2021" i="72"/>
  <c r="L2021" i="72"/>
  <c r="K2022" i="72"/>
  <c r="L2022" i="72"/>
  <c r="K2023" i="72"/>
  <c r="L2023" i="72"/>
  <c r="K2024" i="72"/>
  <c r="L2024" i="72"/>
  <c r="K2025" i="72"/>
  <c r="L2025" i="72"/>
  <c r="K2026" i="72"/>
  <c r="L2026" i="72"/>
  <c r="K2027" i="72"/>
  <c r="L2027" i="72"/>
  <c r="K2028" i="72"/>
  <c r="L2028" i="72"/>
  <c r="K2029" i="72"/>
  <c r="L2029" i="72"/>
  <c r="K2030" i="72"/>
  <c r="L2030" i="72"/>
  <c r="K2031" i="72"/>
  <c r="L2031" i="72"/>
  <c r="K2032" i="72"/>
  <c r="L2032" i="72"/>
  <c r="K2033" i="72"/>
  <c r="L2033" i="72"/>
  <c r="K2034" i="72"/>
  <c r="L2034" i="72"/>
  <c r="K2035" i="72"/>
  <c r="L2035" i="72"/>
  <c r="K2036" i="72"/>
  <c r="L2036" i="72"/>
  <c r="K2037" i="72"/>
  <c r="L2037" i="72"/>
  <c r="K2038" i="72"/>
  <c r="L2038" i="72"/>
  <c r="K2039" i="72"/>
  <c r="L2039" i="72"/>
  <c r="K2040" i="72"/>
  <c r="L2040" i="72"/>
  <c r="K2041" i="72"/>
  <c r="L2041" i="72"/>
  <c r="K2042" i="72"/>
  <c r="L2042" i="72"/>
  <c r="K2043" i="72"/>
  <c r="L2043" i="72"/>
  <c r="K2044" i="72"/>
  <c r="L2044" i="72"/>
  <c r="K2045" i="72"/>
  <c r="L2045" i="72"/>
  <c r="K2046" i="72"/>
  <c r="L2046" i="72"/>
  <c r="K2047" i="72"/>
  <c r="L2047" i="72"/>
  <c r="K2048" i="72"/>
  <c r="L2048" i="72"/>
  <c r="K2049" i="72"/>
  <c r="L2049" i="72"/>
  <c r="K2050" i="72"/>
  <c r="L2050" i="72"/>
  <c r="K2051" i="72"/>
  <c r="L2051" i="72"/>
  <c r="K2052" i="72"/>
  <c r="L2052" i="72"/>
  <c r="K2053" i="72"/>
  <c r="L2053" i="72"/>
  <c r="K2054" i="72"/>
  <c r="L2054" i="72"/>
  <c r="K2055" i="72"/>
  <c r="L2055" i="72"/>
  <c r="K2056" i="72"/>
  <c r="L2056" i="72"/>
  <c r="K2057" i="72"/>
  <c r="L2057" i="72"/>
  <c r="K2058" i="72"/>
  <c r="L2058" i="72"/>
  <c r="K2059" i="72"/>
  <c r="L2059" i="72"/>
  <c r="K2060" i="72"/>
  <c r="L2060" i="72"/>
  <c r="K2061" i="72"/>
  <c r="L2061" i="72"/>
  <c r="K2062" i="72"/>
  <c r="L2062" i="72"/>
  <c r="K2063" i="72"/>
  <c r="L2063" i="72"/>
  <c r="K2064" i="72"/>
  <c r="L2064" i="72"/>
  <c r="K2065" i="72"/>
  <c r="L2065" i="72"/>
  <c r="K2066" i="72"/>
  <c r="L2066" i="72"/>
  <c r="K2067" i="72"/>
  <c r="L2067" i="72"/>
  <c r="K2068" i="72"/>
  <c r="L2068" i="72"/>
  <c r="K2069" i="72"/>
  <c r="L2069" i="72"/>
  <c r="K2070" i="72"/>
  <c r="L2070" i="72"/>
  <c r="K2071" i="72"/>
  <c r="L2071" i="72"/>
  <c r="K2072" i="72"/>
  <c r="L2072" i="72"/>
  <c r="K2073" i="72"/>
  <c r="L2073" i="72"/>
  <c r="K2074" i="72"/>
  <c r="L2074" i="72"/>
  <c r="K2075" i="72"/>
  <c r="L2075" i="72"/>
  <c r="K2076" i="72"/>
  <c r="L2076" i="72"/>
  <c r="K2077" i="72"/>
  <c r="L2077" i="72"/>
  <c r="K2078" i="72"/>
  <c r="L2078" i="72"/>
  <c r="K2079" i="72"/>
  <c r="L2079" i="72"/>
  <c r="K2080" i="72"/>
  <c r="L2080" i="72"/>
  <c r="K2081" i="72"/>
  <c r="L2081" i="72"/>
  <c r="K2082" i="72"/>
  <c r="L2082" i="72"/>
  <c r="K2083" i="72"/>
  <c r="L2083" i="72"/>
  <c r="K2084" i="72"/>
  <c r="L2084" i="72"/>
  <c r="K2085" i="72"/>
  <c r="L2085" i="72"/>
  <c r="K2086" i="72"/>
  <c r="L2086" i="72"/>
  <c r="K2087" i="72"/>
  <c r="L2087" i="72"/>
  <c r="K2088" i="72"/>
  <c r="L2088" i="72"/>
  <c r="K2089" i="72"/>
  <c r="L2089" i="72"/>
  <c r="K2090" i="72"/>
  <c r="L2090" i="72"/>
  <c r="K2091" i="72"/>
  <c r="L2091" i="72"/>
  <c r="K2092" i="72"/>
  <c r="L2092" i="72"/>
  <c r="K2093" i="72"/>
  <c r="L2093" i="72"/>
  <c r="K2094" i="72"/>
  <c r="L2094" i="72"/>
  <c r="K2095" i="72"/>
  <c r="L2095" i="72"/>
  <c r="K2096" i="72"/>
  <c r="L2096" i="72"/>
  <c r="K2097" i="72"/>
  <c r="L2097" i="72"/>
  <c r="K2098" i="72"/>
  <c r="L2098" i="72"/>
  <c r="K2099" i="72"/>
  <c r="L2099" i="72"/>
  <c r="K2100" i="72"/>
  <c r="L2100" i="72"/>
  <c r="K2101" i="72"/>
  <c r="L2101" i="72"/>
  <c r="K2102" i="72"/>
  <c r="L2102" i="72"/>
  <c r="K2103" i="72"/>
  <c r="L2103" i="72"/>
  <c r="K2104" i="72"/>
  <c r="L2104" i="72"/>
  <c r="K2105" i="72"/>
  <c r="L2105" i="72"/>
  <c r="K2106" i="72"/>
  <c r="L2106" i="72"/>
  <c r="K2107" i="72"/>
  <c r="L2107" i="72"/>
  <c r="K2108" i="72"/>
  <c r="L2108" i="72"/>
  <c r="K2109" i="72"/>
  <c r="L2109" i="72"/>
  <c r="K2110" i="72"/>
  <c r="L2110" i="72"/>
  <c r="K2111" i="72"/>
  <c r="L2111" i="72"/>
  <c r="K2112" i="72"/>
  <c r="L2112" i="72"/>
  <c r="K2113" i="72"/>
  <c r="L2113" i="72"/>
  <c r="K2114" i="72"/>
  <c r="L2114" i="72"/>
  <c r="K2115" i="72"/>
  <c r="L2115" i="72"/>
  <c r="K2116" i="72"/>
  <c r="L2116" i="72"/>
  <c r="K2117" i="72"/>
  <c r="L2117" i="72"/>
  <c r="K2118" i="72"/>
  <c r="L2118" i="72"/>
  <c r="K2119" i="72"/>
  <c r="L2119" i="72"/>
  <c r="K2120" i="72"/>
  <c r="L2120" i="72"/>
  <c r="K2121" i="72"/>
  <c r="L2121" i="72"/>
  <c r="K2122" i="72"/>
  <c r="L2122" i="72"/>
  <c r="K2123" i="72"/>
  <c r="L2123" i="72"/>
  <c r="K2124" i="72"/>
  <c r="L2124" i="72"/>
  <c r="K2125" i="72"/>
  <c r="L2125" i="72"/>
  <c r="K2126" i="72"/>
  <c r="L2126" i="72"/>
  <c r="K2127" i="72"/>
  <c r="L2127" i="72"/>
  <c r="K2128" i="72"/>
  <c r="L2128" i="72"/>
  <c r="K2129" i="72"/>
  <c r="L2129" i="72"/>
  <c r="K2130" i="72"/>
  <c r="L2130" i="72"/>
  <c r="K2131" i="72"/>
  <c r="L2131" i="72"/>
  <c r="K2132" i="72"/>
  <c r="L2132" i="72"/>
  <c r="K2133" i="72"/>
  <c r="L2133" i="72"/>
  <c r="K2134" i="72"/>
  <c r="L2134" i="72"/>
  <c r="K2135" i="72"/>
  <c r="L2135" i="72"/>
  <c r="K2136" i="72"/>
  <c r="L2136" i="72"/>
  <c r="K2137" i="72"/>
  <c r="L2137" i="72"/>
  <c r="K2138" i="72"/>
  <c r="L2138" i="72"/>
  <c r="K2139" i="72"/>
  <c r="L2139" i="72"/>
  <c r="K2140" i="72"/>
  <c r="L2140" i="72"/>
  <c r="K2141" i="72"/>
  <c r="L2141" i="72"/>
  <c r="K2142" i="72"/>
  <c r="L2142" i="72"/>
  <c r="K2143" i="72"/>
  <c r="L2143" i="72"/>
  <c r="K2144" i="72"/>
  <c r="L2144" i="72"/>
  <c r="K2145" i="72"/>
  <c r="L2145" i="72"/>
  <c r="K2146" i="72"/>
  <c r="L2146" i="72"/>
  <c r="K2147" i="72"/>
  <c r="L2147" i="72"/>
  <c r="K2148" i="72"/>
  <c r="L2148" i="72"/>
  <c r="K2149" i="72"/>
  <c r="L2149" i="72"/>
  <c r="K2150" i="72"/>
  <c r="L2150" i="72"/>
  <c r="K2151" i="72"/>
  <c r="L2151" i="72"/>
  <c r="K2152" i="72"/>
  <c r="L2152" i="72"/>
  <c r="K2153" i="72"/>
  <c r="L2153" i="72"/>
  <c r="K2154" i="72"/>
  <c r="L2154" i="72"/>
  <c r="K2155" i="72"/>
  <c r="L2155" i="72"/>
  <c r="K2156" i="72"/>
  <c r="L2156" i="72"/>
  <c r="K2157" i="72"/>
  <c r="L2157" i="72"/>
  <c r="K2158" i="72"/>
  <c r="L2158" i="72"/>
  <c r="K2159" i="72"/>
  <c r="L2159" i="72"/>
  <c r="K2160" i="72"/>
  <c r="L2160" i="72"/>
  <c r="K2161" i="72"/>
  <c r="L2161" i="72"/>
  <c r="K2162" i="72"/>
  <c r="L2162" i="72"/>
  <c r="K2163" i="72"/>
  <c r="L2163" i="72"/>
  <c r="K2164" i="72"/>
  <c r="L2164" i="72"/>
  <c r="K2165" i="72"/>
  <c r="L2165" i="72"/>
  <c r="K2166" i="72"/>
  <c r="L2166" i="72"/>
  <c r="K2167" i="72"/>
  <c r="L2167" i="72"/>
  <c r="K2168" i="72"/>
  <c r="L2168" i="72"/>
  <c r="K2169" i="72"/>
  <c r="L2169" i="72"/>
  <c r="K2170" i="72"/>
  <c r="L2170" i="72"/>
  <c r="K2171" i="72"/>
  <c r="L2171" i="72"/>
  <c r="K2172" i="72"/>
  <c r="L2172" i="72"/>
  <c r="K2173" i="72"/>
  <c r="L2173" i="72"/>
  <c r="K2174" i="72"/>
  <c r="L2174" i="72"/>
  <c r="K2175" i="72"/>
  <c r="L2175" i="72"/>
  <c r="K2176" i="72"/>
  <c r="L2176" i="72"/>
  <c r="K2177" i="72"/>
  <c r="L2177" i="72"/>
  <c r="K2178" i="72"/>
  <c r="L2178" i="72"/>
  <c r="K2179" i="72"/>
  <c r="L2179" i="72"/>
  <c r="K2180" i="72"/>
  <c r="L2180" i="72"/>
  <c r="K2181" i="72"/>
  <c r="L2181" i="72"/>
  <c r="K2182" i="72"/>
  <c r="L2182" i="72"/>
  <c r="K2183" i="72"/>
  <c r="L2183" i="72"/>
  <c r="K2184" i="72"/>
  <c r="L2184" i="72"/>
  <c r="K2185" i="72"/>
  <c r="L2185" i="72"/>
  <c r="K2186" i="72"/>
  <c r="L2186" i="72"/>
  <c r="K2187" i="72"/>
  <c r="L2187" i="72"/>
  <c r="K2188" i="72"/>
  <c r="L2188" i="72"/>
  <c r="K2189" i="72"/>
  <c r="L2189" i="72"/>
  <c r="K2190" i="72"/>
  <c r="L2190" i="72"/>
  <c r="K2191" i="72"/>
  <c r="L2191" i="72"/>
  <c r="K2192" i="72"/>
  <c r="L2192" i="72"/>
  <c r="K2193" i="72"/>
  <c r="L2193" i="72"/>
  <c r="K2194" i="72"/>
  <c r="L2194" i="72"/>
  <c r="K2195" i="72"/>
  <c r="L2195" i="72"/>
  <c r="K2196" i="72"/>
  <c r="L2196" i="72"/>
  <c r="K2197" i="72"/>
  <c r="L2197" i="72"/>
  <c r="K2198" i="72"/>
  <c r="L2198" i="72"/>
  <c r="K2199" i="72"/>
  <c r="L2199" i="72"/>
  <c r="K2200" i="72"/>
  <c r="L2200" i="72"/>
  <c r="K2201" i="72"/>
  <c r="L2201" i="72"/>
  <c r="K2202" i="72"/>
  <c r="L2202" i="72"/>
  <c r="K2203" i="72"/>
  <c r="L2203" i="72"/>
  <c r="K2204" i="72"/>
  <c r="L2204" i="72"/>
  <c r="K2205" i="72"/>
  <c r="L2205" i="72"/>
  <c r="K2206" i="72"/>
  <c r="L2206" i="72"/>
  <c r="K2207" i="72"/>
  <c r="L2207" i="72"/>
  <c r="K2208" i="72"/>
  <c r="L2208" i="72"/>
  <c r="K2209" i="72"/>
  <c r="L2209" i="72"/>
  <c r="K2210" i="72"/>
  <c r="L2210" i="72"/>
  <c r="K2211" i="72"/>
  <c r="L2211" i="72"/>
  <c r="K2212" i="72"/>
  <c r="L2212" i="72"/>
  <c r="K2213" i="72"/>
  <c r="L2213" i="72"/>
  <c r="K2214" i="72"/>
  <c r="L2214" i="72"/>
  <c r="K2215" i="72"/>
  <c r="L2215" i="72"/>
  <c r="K2216" i="72"/>
  <c r="L2216" i="72"/>
  <c r="K2217" i="72"/>
  <c r="L2217" i="72"/>
  <c r="K2218" i="72"/>
  <c r="L2218" i="72"/>
  <c r="K2219" i="72"/>
  <c r="L2219" i="72"/>
  <c r="K2220" i="72"/>
  <c r="L2220" i="72"/>
  <c r="K2221" i="72"/>
  <c r="L2221" i="72"/>
  <c r="K2222" i="72"/>
  <c r="L2222" i="72"/>
  <c r="K2223" i="72"/>
  <c r="L2223" i="72"/>
  <c r="K2224" i="72"/>
  <c r="L2224" i="72"/>
  <c r="K2225" i="72"/>
  <c r="L2225" i="72"/>
  <c r="K2226" i="72"/>
  <c r="L2226" i="72"/>
  <c r="K2227" i="72"/>
  <c r="L2227" i="72"/>
  <c r="K2228" i="72"/>
  <c r="L2228" i="72"/>
  <c r="K2229" i="72"/>
  <c r="L2229" i="72"/>
  <c r="K2230" i="72"/>
  <c r="L2230" i="72"/>
  <c r="K2231" i="72"/>
  <c r="L2231" i="72"/>
  <c r="K2232" i="72"/>
  <c r="L2232" i="72"/>
  <c r="K2233" i="72"/>
  <c r="L2233" i="72"/>
  <c r="K2234" i="72"/>
  <c r="L2234" i="72"/>
  <c r="K2235" i="72"/>
  <c r="L2235" i="72"/>
  <c r="K2236" i="72"/>
  <c r="L2236" i="72"/>
  <c r="K2237" i="72"/>
  <c r="L2237" i="72"/>
  <c r="K2238" i="72"/>
  <c r="L2238" i="72"/>
  <c r="K2239" i="72"/>
  <c r="L2239" i="72"/>
  <c r="K2240" i="72"/>
  <c r="L2240" i="72"/>
  <c r="K2241" i="72"/>
  <c r="L2241" i="72"/>
  <c r="K2242" i="72"/>
  <c r="L2242" i="72"/>
  <c r="K2243" i="72"/>
  <c r="L2243" i="72"/>
  <c r="K2244" i="72"/>
  <c r="L2244" i="72"/>
  <c r="K2245" i="72"/>
  <c r="L2245" i="72"/>
  <c r="K2246" i="72"/>
  <c r="L2246" i="72"/>
  <c r="K2247" i="72"/>
  <c r="L2247" i="72"/>
  <c r="K2248" i="72"/>
  <c r="L2248" i="72"/>
  <c r="K2249" i="72"/>
  <c r="L2249" i="72"/>
  <c r="K2250" i="72"/>
  <c r="L2250" i="72"/>
  <c r="K2251" i="72"/>
  <c r="L2251" i="72"/>
  <c r="K2252" i="72"/>
  <c r="L2252" i="72"/>
  <c r="K2253" i="72"/>
  <c r="L2253" i="72"/>
  <c r="K2254" i="72"/>
  <c r="L2254" i="72"/>
  <c r="K2255" i="72"/>
  <c r="L2255" i="72"/>
  <c r="K2256" i="72"/>
  <c r="L2256" i="72"/>
  <c r="K2257" i="72"/>
  <c r="L2257" i="72"/>
  <c r="K2258" i="72"/>
  <c r="L2258" i="72"/>
  <c r="K2259" i="72"/>
  <c r="L2259" i="72"/>
  <c r="K2260" i="72"/>
  <c r="L2260" i="72"/>
  <c r="K2261" i="72"/>
  <c r="L2261" i="72"/>
  <c r="K2262" i="72"/>
  <c r="L2262" i="72"/>
  <c r="K2263" i="72"/>
  <c r="L2263" i="72"/>
  <c r="K2264" i="72"/>
  <c r="L2264" i="72"/>
  <c r="K2265" i="72"/>
  <c r="L2265" i="72"/>
  <c r="K2266" i="72"/>
  <c r="L2266" i="72"/>
  <c r="K2267" i="72"/>
  <c r="L2267" i="72"/>
  <c r="K2268" i="72"/>
  <c r="L2268" i="72"/>
  <c r="K2269" i="72"/>
  <c r="L2269" i="72"/>
  <c r="K2270" i="72"/>
  <c r="L2270" i="72"/>
  <c r="K2271" i="72"/>
  <c r="L2271" i="72"/>
  <c r="K2272" i="72"/>
  <c r="L2272" i="72"/>
  <c r="K2273" i="72"/>
  <c r="L2273" i="72"/>
  <c r="K2274" i="72"/>
  <c r="L2274" i="72"/>
  <c r="K2275" i="72"/>
  <c r="L2275" i="72"/>
  <c r="K2276" i="72"/>
  <c r="L2276" i="72"/>
  <c r="K2277" i="72"/>
  <c r="L2277" i="72"/>
  <c r="K2278" i="72"/>
  <c r="L2278" i="72"/>
  <c r="K2279" i="72"/>
  <c r="L2279" i="72"/>
  <c r="K2280" i="72"/>
  <c r="L2280" i="72"/>
  <c r="K2281" i="72"/>
  <c r="L2281" i="72"/>
  <c r="K2282" i="72"/>
  <c r="L2282" i="72"/>
  <c r="K2283" i="72"/>
  <c r="L2283" i="72"/>
  <c r="K2284" i="72"/>
  <c r="L2284" i="72"/>
  <c r="K2285" i="72"/>
  <c r="L2285" i="72"/>
  <c r="K2286" i="72"/>
  <c r="L2286" i="72"/>
  <c r="K2287" i="72"/>
  <c r="L2287" i="72"/>
  <c r="K2288" i="72"/>
  <c r="L2288" i="72"/>
  <c r="K2289" i="72"/>
  <c r="L2289" i="72"/>
  <c r="K2290" i="72"/>
  <c r="L2290" i="72"/>
  <c r="K2291" i="72"/>
  <c r="L2291" i="72"/>
  <c r="K2292" i="72"/>
  <c r="L2292" i="72"/>
  <c r="K2293" i="72"/>
  <c r="L2293" i="72"/>
  <c r="K2294" i="72"/>
  <c r="L2294" i="72"/>
  <c r="K2295" i="72"/>
  <c r="L2295" i="72"/>
  <c r="K2296" i="72"/>
  <c r="L2296" i="72"/>
  <c r="K2297" i="72"/>
  <c r="L2297" i="72"/>
  <c r="K2298" i="72"/>
  <c r="L2298" i="72"/>
  <c r="K2299" i="72"/>
  <c r="L2299" i="72"/>
  <c r="K2300" i="72"/>
  <c r="L2300" i="72"/>
  <c r="K2301" i="72"/>
  <c r="L2301" i="72"/>
  <c r="K2302" i="72"/>
  <c r="L2302" i="72"/>
  <c r="K2303" i="72"/>
  <c r="L2303" i="72"/>
  <c r="K2304" i="72"/>
  <c r="L2304" i="72"/>
  <c r="K2305" i="72"/>
  <c r="L2305" i="72"/>
  <c r="K2306" i="72"/>
  <c r="L2306" i="72"/>
  <c r="K2307" i="72"/>
  <c r="L2307" i="72"/>
  <c r="K2308" i="72"/>
  <c r="L2308" i="72"/>
  <c r="K2309" i="72"/>
  <c r="L2309" i="72"/>
  <c r="K2310" i="72"/>
  <c r="L2310" i="72"/>
  <c r="K2311" i="72"/>
  <c r="L2311" i="72"/>
  <c r="K2312" i="72"/>
  <c r="L2312" i="72"/>
  <c r="K2313" i="72"/>
  <c r="L2313" i="72"/>
  <c r="K2314" i="72"/>
  <c r="L2314" i="72"/>
  <c r="K2315" i="72"/>
  <c r="L2315" i="72"/>
  <c r="K2316" i="72"/>
  <c r="L2316" i="72"/>
  <c r="K2317" i="72"/>
  <c r="L2317" i="72"/>
  <c r="K2318" i="72"/>
  <c r="L2318" i="72" s="1"/>
  <c r="K2319" i="72"/>
  <c r="L2319" i="72"/>
  <c r="K2320" i="72"/>
  <c r="L2320" i="72"/>
  <c r="K2321" i="72"/>
  <c r="L2321" i="72"/>
  <c r="K2322" i="72"/>
  <c r="L2322" i="72"/>
  <c r="K2323" i="72"/>
  <c r="L2323" i="72"/>
  <c r="K2324" i="72"/>
  <c r="L2324" i="72"/>
  <c r="K2325" i="72"/>
  <c r="L2325" i="72"/>
  <c r="K2326" i="72"/>
  <c r="L2326" i="72"/>
  <c r="K2327" i="72"/>
  <c r="L2327" i="72"/>
  <c r="K2328" i="72"/>
  <c r="L2328" i="72"/>
  <c r="K2329" i="72"/>
  <c r="L2329" i="72"/>
  <c r="K2330" i="72"/>
  <c r="L2330" i="72"/>
  <c r="K2331" i="72"/>
  <c r="L2331" i="72"/>
  <c r="K2332" i="72"/>
  <c r="L2332" i="72"/>
  <c r="K2333" i="72"/>
  <c r="L2333" i="72"/>
  <c r="K2334" i="72"/>
  <c r="L2334" i="72"/>
  <c r="K2335" i="72"/>
  <c r="L2335" i="72"/>
  <c r="K2336" i="72"/>
  <c r="L2336" i="72"/>
  <c r="K2337" i="72"/>
  <c r="L2337" i="72"/>
  <c r="K2338" i="72"/>
  <c r="L2338" i="72"/>
  <c r="K2339" i="72"/>
  <c r="L2339" i="72"/>
  <c r="K2340" i="72"/>
  <c r="L2340" i="72"/>
  <c r="K2341" i="72"/>
  <c r="L2341" i="72"/>
  <c r="K2342" i="72"/>
  <c r="L2342" i="72"/>
  <c r="K2343" i="72"/>
  <c r="L2343" i="72"/>
  <c r="K2344" i="72"/>
  <c r="L2344" i="72"/>
  <c r="K2345" i="72"/>
  <c r="L2345" i="72"/>
  <c r="K2346" i="72"/>
  <c r="L2346" i="72"/>
  <c r="K2347" i="72"/>
  <c r="L2347" i="72"/>
  <c r="K2348" i="72"/>
  <c r="L2348" i="72"/>
  <c r="K2349" i="72"/>
  <c r="L2349" i="72"/>
  <c r="K2350" i="72"/>
  <c r="L2350" i="72"/>
  <c r="K2351" i="72"/>
  <c r="L2351" i="72"/>
  <c r="K2352" i="72"/>
  <c r="L2352" i="72"/>
  <c r="K2353" i="72"/>
  <c r="L2353" i="72"/>
  <c r="K2354" i="72"/>
  <c r="L2354" i="72"/>
  <c r="K2355" i="72"/>
  <c r="L2355" i="72"/>
  <c r="K2356" i="72"/>
  <c r="L2356" i="72"/>
  <c r="K2357" i="72"/>
  <c r="L2357" i="72"/>
  <c r="K2358" i="72"/>
  <c r="L2358" i="72"/>
  <c r="K2359" i="72"/>
  <c r="L2359" i="72"/>
  <c r="K2360" i="72"/>
  <c r="L2360" i="72"/>
  <c r="K2361" i="72"/>
  <c r="L2361" i="72"/>
  <c r="K2362" i="72"/>
  <c r="L2362" i="72"/>
  <c r="K2363" i="72"/>
  <c r="L2363" i="72"/>
  <c r="K2364" i="72"/>
  <c r="L2364" i="72"/>
  <c r="K2365" i="72"/>
  <c r="L2365" i="72"/>
  <c r="K2366" i="72"/>
  <c r="L2366" i="72"/>
  <c r="K2367" i="72"/>
  <c r="L2367" i="72"/>
  <c r="K2368" i="72"/>
  <c r="L2368" i="72"/>
  <c r="K2369" i="72"/>
  <c r="L2369" i="72"/>
  <c r="K2370" i="72"/>
  <c r="L2370" i="72"/>
  <c r="K2371" i="72"/>
  <c r="L2371" i="72"/>
  <c r="K2372" i="72"/>
  <c r="L2372" i="72"/>
  <c r="K2373" i="72"/>
  <c r="L2373" i="72"/>
  <c r="K2374" i="72"/>
  <c r="L2374" i="72"/>
  <c r="K2375" i="72"/>
  <c r="L2375" i="72"/>
  <c r="K2376" i="72"/>
  <c r="L2376" i="72"/>
  <c r="K2377" i="72"/>
  <c r="L2377" i="72"/>
  <c r="K2378" i="72"/>
  <c r="L2378" i="72"/>
  <c r="K2379" i="72"/>
  <c r="L2379" i="72"/>
  <c r="K2380" i="72"/>
  <c r="L2380" i="72"/>
  <c r="K2381" i="72"/>
  <c r="L2381" i="72"/>
  <c r="K2382" i="72"/>
  <c r="L2382" i="72"/>
  <c r="K2383" i="72"/>
  <c r="L2383" i="72"/>
  <c r="K2384" i="72"/>
  <c r="L2384" i="72"/>
  <c r="K2385" i="72"/>
  <c r="L2385" i="72"/>
  <c r="K2386" i="72"/>
  <c r="L2386" i="72"/>
  <c r="K2387" i="72"/>
  <c r="L2387" i="72"/>
  <c r="K2388" i="72"/>
  <c r="L2388" i="72"/>
  <c r="K2389" i="72"/>
  <c r="L2389" i="72"/>
  <c r="K2390" i="72"/>
  <c r="L2390" i="72"/>
  <c r="K2391" i="72"/>
  <c r="L2391" i="72"/>
  <c r="K2392" i="72"/>
  <c r="L2392" i="72"/>
  <c r="K2393" i="72"/>
  <c r="L2393" i="72"/>
  <c r="K2394" i="72"/>
  <c r="L2394" i="72"/>
  <c r="K2395" i="72"/>
  <c r="L2395" i="72"/>
  <c r="K2396" i="72"/>
  <c r="L2396" i="72"/>
  <c r="K2397" i="72"/>
  <c r="L2397" i="72"/>
  <c r="K2398" i="72"/>
  <c r="L2398" i="72"/>
  <c r="K2399" i="72"/>
  <c r="L2399" i="72"/>
  <c r="K2400" i="72"/>
  <c r="L2400" i="72"/>
  <c r="K2401" i="72"/>
  <c r="L2401" i="72"/>
  <c r="K2402" i="72"/>
  <c r="L2402" i="72"/>
  <c r="K2403" i="72"/>
  <c r="L2403" i="72"/>
  <c r="K2404" i="72"/>
  <c r="L2404" i="72"/>
  <c r="K2405" i="72"/>
  <c r="L2405" i="72"/>
  <c r="K2406" i="72"/>
  <c r="L2406" i="72"/>
  <c r="K2407" i="72"/>
  <c r="L2407" i="72"/>
  <c r="K2408" i="72"/>
  <c r="L2408" i="72"/>
  <c r="K2409" i="72"/>
  <c r="L2409" i="72"/>
  <c r="K2410" i="72"/>
  <c r="L2410" i="72"/>
  <c r="K2411" i="72"/>
  <c r="L2411" i="72"/>
  <c r="K2412" i="72"/>
  <c r="L2412" i="72"/>
  <c r="K2413" i="72"/>
  <c r="L2413" i="72"/>
  <c r="K2414" i="72"/>
  <c r="L2414" i="72"/>
  <c r="K2415" i="72"/>
  <c r="L2415" i="72"/>
  <c r="K2416" i="72"/>
  <c r="L2416" i="72"/>
  <c r="K2417" i="72"/>
  <c r="L2417" i="72"/>
  <c r="K2418" i="72"/>
  <c r="L2418" i="72"/>
  <c r="K2419" i="72"/>
  <c r="L2419" i="72"/>
  <c r="K2420" i="72"/>
  <c r="L2420" i="72"/>
  <c r="K2421" i="72"/>
  <c r="L2421" i="72"/>
  <c r="K2422" i="72"/>
  <c r="L2422" i="72"/>
  <c r="K2423" i="72"/>
  <c r="L2423" i="72"/>
  <c r="K2424" i="72"/>
  <c r="L2424" i="72"/>
  <c r="K2425" i="72"/>
  <c r="L2425" i="72"/>
  <c r="K2426" i="72"/>
  <c r="L2426" i="72"/>
  <c r="K2427" i="72"/>
  <c r="L2427" i="72"/>
  <c r="K2428" i="72"/>
  <c r="L2428" i="72"/>
  <c r="K2429" i="72"/>
  <c r="L2429" i="72"/>
  <c r="K2430" i="72"/>
  <c r="L2430" i="72"/>
  <c r="K2431" i="72"/>
  <c r="L2431" i="72"/>
  <c r="K2432" i="72"/>
  <c r="L2432" i="72"/>
  <c r="K2433" i="72"/>
  <c r="L2433" i="72"/>
  <c r="K2434" i="72"/>
  <c r="L2434" i="72"/>
  <c r="K2435" i="72"/>
  <c r="L2435" i="72"/>
  <c r="K2436" i="72"/>
  <c r="L2436" i="72"/>
  <c r="K2437" i="72"/>
  <c r="L2437" i="72"/>
  <c r="K2438" i="72"/>
  <c r="L2438" i="72"/>
  <c r="K2439" i="72"/>
  <c r="L2439" i="72"/>
  <c r="K2440" i="72"/>
  <c r="L2440" i="72"/>
  <c r="K2441" i="72"/>
  <c r="L2441" i="72"/>
  <c r="K2442" i="72"/>
  <c r="L2442" i="72"/>
  <c r="K2443" i="72"/>
  <c r="L2443" i="72"/>
  <c r="K2444" i="72"/>
  <c r="L2444" i="72"/>
  <c r="K2445" i="72"/>
  <c r="L2445" i="72"/>
  <c r="K2446" i="72"/>
  <c r="L2446" i="72"/>
  <c r="K2447" i="72"/>
  <c r="L2447" i="72"/>
  <c r="K2448" i="72"/>
  <c r="L2448" i="72"/>
  <c r="K2449" i="72"/>
  <c r="L2449" i="72"/>
  <c r="K2450" i="72"/>
  <c r="L2450" i="72"/>
  <c r="K2451" i="72"/>
  <c r="L2451" i="72"/>
  <c r="K2452" i="72"/>
  <c r="L2452" i="72"/>
  <c r="K2453" i="72"/>
  <c r="L2453" i="72"/>
  <c r="K2454" i="72"/>
  <c r="L2454" i="72"/>
  <c r="K2455" i="72"/>
  <c r="L2455" i="72"/>
  <c r="K2456" i="72"/>
  <c r="L2456" i="72"/>
  <c r="K2457" i="72"/>
  <c r="L2457" i="72"/>
  <c r="K2458" i="72"/>
  <c r="L2458" i="72"/>
  <c r="K2459" i="72"/>
  <c r="L2459" i="72"/>
  <c r="K2460" i="72"/>
  <c r="L2460" i="72"/>
  <c r="K2461" i="72"/>
  <c r="L2461" i="72"/>
  <c r="K2462" i="72"/>
  <c r="L2462" i="72"/>
  <c r="K2463" i="72"/>
  <c r="L2463" i="72"/>
  <c r="K2464" i="72"/>
  <c r="L2464" i="72"/>
  <c r="K2465" i="72"/>
  <c r="L2465" i="72"/>
  <c r="K2466" i="72"/>
  <c r="L2466" i="72"/>
  <c r="K2467" i="72"/>
  <c r="L2467" i="72"/>
  <c r="K2468" i="72"/>
  <c r="L2468" i="72"/>
  <c r="K2469" i="72"/>
  <c r="L2469" i="72"/>
  <c r="K2470" i="72"/>
  <c r="L2470" i="72"/>
  <c r="K2471" i="72"/>
  <c r="L2471" i="72"/>
  <c r="K2472" i="72"/>
  <c r="L2472" i="72"/>
  <c r="K2473" i="72"/>
  <c r="L2473" i="72"/>
  <c r="K2474" i="72"/>
  <c r="L2474" i="72"/>
  <c r="K2475" i="72"/>
  <c r="L2475" i="72"/>
  <c r="K2476" i="72"/>
  <c r="L2476" i="72"/>
  <c r="K2477" i="72"/>
  <c r="L2477" i="72"/>
  <c r="K2478" i="72"/>
  <c r="L2478" i="72"/>
  <c r="K2479" i="72"/>
  <c r="L2479" i="72"/>
  <c r="K2480" i="72"/>
  <c r="L2480" i="72"/>
  <c r="K2481" i="72"/>
  <c r="L2481" i="72"/>
  <c r="K2482" i="72"/>
  <c r="L2482" i="72"/>
  <c r="K2483" i="72"/>
  <c r="L2483" i="72"/>
  <c r="K2484" i="72"/>
  <c r="L2484" i="72"/>
  <c r="K2485" i="72"/>
  <c r="L2485" i="72"/>
  <c r="K2486" i="72"/>
  <c r="L2486" i="72"/>
  <c r="K2487" i="72"/>
  <c r="L2487" i="72"/>
  <c r="K2488" i="72"/>
  <c r="L2488" i="72"/>
  <c r="K2489" i="72"/>
  <c r="L2489" i="72"/>
  <c r="K2490" i="72"/>
  <c r="L2490" i="72"/>
  <c r="K2491" i="72"/>
  <c r="L2491" i="72"/>
  <c r="K2492" i="72"/>
  <c r="L2492" i="72"/>
  <c r="K2493" i="72"/>
  <c r="L2493" i="72"/>
  <c r="K2494" i="72"/>
  <c r="L2494" i="72"/>
  <c r="K2495" i="72"/>
  <c r="L2495" i="72"/>
  <c r="K2496" i="72"/>
  <c r="L2496" i="72"/>
  <c r="K2497" i="72"/>
  <c r="L2497" i="72"/>
  <c r="K2498" i="72"/>
  <c r="L2498" i="72"/>
  <c r="K2499" i="72"/>
  <c r="L2499" i="72"/>
  <c r="K2500" i="72"/>
  <c r="L2500" i="72"/>
  <c r="K2501" i="72"/>
  <c r="L2501" i="72"/>
  <c r="K2502" i="72"/>
  <c r="L2502" i="72"/>
  <c r="K2503" i="72"/>
  <c r="L2503" i="72"/>
  <c r="K2504" i="72"/>
  <c r="L2504" i="72"/>
  <c r="K2505" i="72"/>
  <c r="L2505" i="72"/>
  <c r="K2506" i="72"/>
  <c r="L2506" i="72"/>
  <c r="K2507" i="72"/>
  <c r="L2507" i="72"/>
  <c r="K2508" i="72"/>
  <c r="L2508" i="72"/>
  <c r="K2509" i="72"/>
  <c r="L2509" i="72"/>
  <c r="K2510" i="72"/>
  <c r="L2510" i="72"/>
  <c r="K2511" i="72"/>
  <c r="L2511" i="72"/>
  <c r="K2512" i="72"/>
  <c r="L2512" i="72"/>
  <c r="K2513" i="72"/>
  <c r="L2513" i="72"/>
  <c r="K2514" i="72"/>
  <c r="L2514" i="72"/>
  <c r="K2515" i="72"/>
  <c r="L2515" i="72"/>
  <c r="K2516" i="72"/>
  <c r="L2516" i="72"/>
  <c r="K2517" i="72"/>
  <c r="L2517" i="72"/>
  <c r="K2518" i="72"/>
  <c r="L2518" i="72"/>
  <c r="K2519" i="72"/>
  <c r="L2519" i="72"/>
  <c r="K2520" i="72"/>
  <c r="L2520" i="72" s="1"/>
  <c r="K2521" i="72"/>
  <c r="L2521" i="72"/>
  <c r="K2522" i="72"/>
  <c r="L2522" i="72" s="1"/>
  <c r="K2523" i="72"/>
  <c r="L2523" i="72"/>
  <c r="K2524" i="72"/>
  <c r="L2524" i="72" s="1"/>
  <c r="K2525" i="72"/>
  <c r="L2525" i="72"/>
  <c r="K2526" i="72"/>
  <c r="L2526" i="72" s="1"/>
  <c r="K2527" i="72"/>
  <c r="L2527" i="72"/>
  <c r="K2528" i="72"/>
  <c r="L2528" i="72" s="1"/>
  <c r="K2529" i="72"/>
  <c r="L2529" i="72"/>
  <c r="K2530" i="72"/>
  <c r="L2530" i="72" s="1"/>
  <c r="K2531" i="72"/>
  <c r="L2531" i="72"/>
  <c r="K2532" i="72"/>
  <c r="L2532" i="72" s="1"/>
  <c r="K2533" i="72"/>
  <c r="L2533" i="72"/>
  <c r="K2534" i="72"/>
  <c r="L2534" i="72" s="1"/>
  <c r="K2535" i="72"/>
  <c r="L2535" i="72"/>
  <c r="K2536" i="72"/>
  <c r="L2536" i="72" s="1"/>
  <c r="K2537" i="72"/>
  <c r="L2537" i="72"/>
  <c r="K2538" i="72"/>
  <c r="L2538" i="72" s="1"/>
  <c r="K2539" i="72"/>
  <c r="L2539" i="72"/>
  <c r="K2540" i="72"/>
  <c r="L2540" i="72" s="1"/>
  <c r="K2541" i="72"/>
  <c r="L2541" i="72"/>
  <c r="K2542" i="72"/>
  <c r="L2542" i="72" s="1"/>
  <c r="K2543" i="72"/>
  <c r="L2543" i="72"/>
  <c r="K2544" i="72"/>
  <c r="L2544" i="72" s="1"/>
  <c r="K2545" i="72"/>
  <c r="L2545" i="72"/>
  <c r="K2546" i="72"/>
  <c r="L2546" i="72" s="1"/>
  <c r="K2547" i="72"/>
  <c r="L2547" i="72"/>
  <c r="K2548" i="72"/>
  <c r="L2548" i="72" s="1"/>
  <c r="K2549" i="72"/>
  <c r="L2549" i="72"/>
  <c r="K2550" i="72"/>
  <c r="L2550" i="72" s="1"/>
  <c r="K2551" i="72"/>
  <c r="L2551" i="72"/>
  <c r="K2552" i="72"/>
  <c r="L2552" i="72" s="1"/>
  <c r="K2553" i="72"/>
  <c r="L2553" i="72"/>
  <c r="K2554" i="72"/>
  <c r="L2554" i="72" s="1"/>
  <c r="K2555" i="72"/>
  <c r="L2555" i="72"/>
  <c r="K2556" i="72"/>
  <c r="L2556" i="72" s="1"/>
  <c r="K2557" i="72"/>
  <c r="L2557" i="72"/>
  <c r="K2558" i="72"/>
  <c r="L2558" i="72" s="1"/>
  <c r="K2559" i="72"/>
  <c r="L2559" i="72"/>
  <c r="K2560" i="72"/>
  <c r="L2560" i="72" s="1"/>
  <c r="K2561" i="72"/>
  <c r="L2561" i="72"/>
  <c r="K2562" i="72"/>
  <c r="L2562" i="72" s="1"/>
  <c r="K2563" i="72"/>
  <c r="L2563" i="72"/>
  <c r="K2564" i="72"/>
  <c r="L2564" i="72" s="1"/>
  <c r="K2565" i="72"/>
  <c r="L2565" i="72"/>
  <c r="K2566" i="72"/>
  <c r="L2566" i="72" s="1"/>
  <c r="K2567" i="72"/>
  <c r="L2567" i="72"/>
  <c r="K2568" i="72"/>
  <c r="L2568" i="72" s="1"/>
  <c r="K2569" i="72"/>
  <c r="L2569" i="72"/>
  <c r="K2570" i="72"/>
  <c r="L2570" i="72" s="1"/>
  <c r="K2571" i="72"/>
  <c r="L2571" i="72"/>
  <c r="K2572" i="72"/>
  <c r="L2572" i="72" s="1"/>
  <c r="K2573" i="72"/>
  <c r="L2573" i="72"/>
  <c r="K2574" i="72"/>
  <c r="L2574" i="72" s="1"/>
  <c r="K2575" i="72"/>
  <c r="L2575" i="72"/>
  <c r="K2576" i="72"/>
  <c r="L2576" i="72" s="1"/>
  <c r="K2577" i="72"/>
  <c r="L2577" i="72"/>
  <c r="K2578" i="72"/>
  <c r="L2578" i="72" s="1"/>
  <c r="K2579" i="72"/>
  <c r="L2579" i="72"/>
  <c r="K2580" i="72"/>
  <c r="L2580" i="72" s="1"/>
  <c r="K2581" i="72"/>
  <c r="L2581" i="72"/>
  <c r="K2582" i="72"/>
  <c r="L2582" i="72" s="1"/>
  <c r="K2583" i="72"/>
  <c r="L2583" i="72"/>
  <c r="K2584" i="72"/>
  <c r="L2584" i="72" s="1"/>
  <c r="K2585" i="72"/>
  <c r="L2585" i="72"/>
  <c r="K2586" i="72"/>
  <c r="L2586" i="72" s="1"/>
  <c r="K2587" i="72"/>
  <c r="L2587" i="72"/>
  <c r="K2588" i="72"/>
  <c r="L2588" i="72" s="1"/>
  <c r="K2589" i="72"/>
  <c r="L2589" i="72"/>
  <c r="K2590" i="72"/>
  <c r="L2590" i="72" s="1"/>
  <c r="K2591" i="72"/>
  <c r="L2591" i="72"/>
  <c r="K2592" i="72"/>
  <c r="L2592" i="72" s="1"/>
  <c r="K2593" i="72"/>
  <c r="L2593" i="72"/>
  <c r="K2594" i="72"/>
  <c r="L2594" i="72" s="1"/>
  <c r="K2595" i="72"/>
  <c r="L2595" i="72"/>
  <c r="K2596" i="72"/>
  <c r="L2596" i="72" s="1"/>
  <c r="K2597" i="72"/>
  <c r="L2597" i="72"/>
  <c r="K2598" i="72"/>
  <c r="L2598" i="72" s="1"/>
  <c r="K2599" i="72"/>
  <c r="L2599" i="72"/>
  <c r="K2600" i="72"/>
  <c r="L2600" i="72" s="1"/>
  <c r="K2601" i="72"/>
  <c r="L2601" i="72"/>
  <c r="K2602" i="72"/>
  <c r="L2602" i="72" s="1"/>
  <c r="K2603" i="72"/>
  <c r="L2603" i="72"/>
  <c r="K2604" i="72"/>
  <c r="L2604" i="72" s="1"/>
  <c r="K2605" i="72"/>
  <c r="L2605" i="72"/>
  <c r="K2606" i="72"/>
  <c r="L2606" i="72" s="1"/>
  <c r="K2607" i="72"/>
  <c r="L2607" i="72"/>
  <c r="K2608" i="72"/>
  <c r="L2608" i="72" s="1"/>
  <c r="K2609" i="72"/>
  <c r="L2609" i="72"/>
  <c r="K2610" i="72"/>
  <c r="L2610" i="72" s="1"/>
  <c r="K2611" i="72"/>
  <c r="L2611" i="72"/>
  <c r="K2612" i="72"/>
  <c r="L2612" i="72" s="1"/>
  <c r="K2613" i="72"/>
  <c r="L2613" i="72"/>
  <c r="K2614" i="72"/>
  <c r="L2614" i="72" s="1"/>
  <c r="K2615" i="72"/>
  <c r="L2615" i="72"/>
  <c r="K2616" i="72"/>
  <c r="L2616" i="72" s="1"/>
  <c r="K2617" i="72"/>
  <c r="L2617" i="72"/>
  <c r="K2618" i="72"/>
  <c r="L2618" i="72" s="1"/>
  <c r="K2619" i="72"/>
  <c r="L2619" i="72"/>
  <c r="K2620" i="72"/>
  <c r="L2620" i="72" s="1"/>
  <c r="K2621" i="72"/>
  <c r="L2621" i="72"/>
  <c r="K2622" i="72"/>
  <c r="L2622" i="72" s="1"/>
  <c r="K2623" i="72"/>
  <c r="L2623" i="72"/>
  <c r="K2624" i="72"/>
  <c r="L2624" i="72" s="1"/>
  <c r="K2625" i="72"/>
  <c r="L2625" i="72"/>
  <c r="K2626" i="72"/>
  <c r="L2626" i="72" s="1"/>
  <c r="K2627" i="72"/>
  <c r="L2627" i="72"/>
  <c r="K2628" i="72"/>
  <c r="L2628" i="72" s="1"/>
  <c r="K2629" i="72"/>
  <c r="L2629" i="72"/>
  <c r="K2630" i="72"/>
  <c r="L2630" i="72" s="1"/>
  <c r="K2631" i="72"/>
  <c r="L2631" i="72"/>
  <c r="K2632" i="72"/>
  <c r="L2632" i="72" s="1"/>
  <c r="K2633" i="72"/>
  <c r="L2633" i="72"/>
  <c r="K2634" i="72"/>
  <c r="L2634" i="72" s="1"/>
  <c r="K2635" i="72"/>
  <c r="L2635" i="72"/>
  <c r="K2636" i="72"/>
  <c r="L2636" i="72" s="1"/>
  <c r="K2637" i="72"/>
  <c r="L2637" i="72"/>
  <c r="K2638" i="72"/>
  <c r="L2638" i="72" s="1"/>
  <c r="K2639" i="72"/>
  <c r="L2639" i="72"/>
  <c r="K2640" i="72"/>
  <c r="L2640" i="72" s="1"/>
  <c r="K2641" i="72"/>
  <c r="L2641" i="72"/>
  <c r="K2642" i="72"/>
  <c r="L2642" i="72" s="1"/>
  <c r="K2643" i="72"/>
  <c r="L2643" i="72"/>
  <c r="K2644" i="72"/>
  <c r="L2644" i="72" s="1"/>
  <c r="K2645" i="72"/>
  <c r="L2645" i="72"/>
  <c r="K2646" i="72"/>
  <c r="L2646" i="72" s="1"/>
  <c r="K2647" i="72"/>
  <c r="L2647" i="72"/>
  <c r="K2648" i="72"/>
  <c r="L2648" i="72" s="1"/>
  <c r="K2649" i="72"/>
  <c r="L2649" i="72"/>
  <c r="K2650" i="72"/>
  <c r="L2650" i="72" s="1"/>
  <c r="K2651" i="72"/>
  <c r="L2651" i="72"/>
  <c r="K2652" i="72"/>
  <c r="L2652" i="72" s="1"/>
  <c r="K2653" i="72"/>
  <c r="L2653" i="72"/>
  <c r="K2654" i="72"/>
  <c r="L2654" i="72" s="1"/>
  <c r="K2655" i="72"/>
  <c r="L2655" i="72"/>
  <c r="K2656" i="72"/>
  <c r="L2656" i="72" s="1"/>
  <c r="K2657" i="72"/>
  <c r="L2657" i="72"/>
  <c r="K2658" i="72"/>
  <c r="L2658" i="72" s="1"/>
  <c r="K2659" i="72"/>
  <c r="L2659" i="72"/>
  <c r="K2660" i="72"/>
  <c r="L2660" i="72" s="1"/>
  <c r="K2661" i="72"/>
  <c r="L2661" i="72"/>
  <c r="K2662" i="72"/>
  <c r="L2662" i="72" s="1"/>
  <c r="K2663" i="72"/>
  <c r="L2663" i="72"/>
  <c r="K2664" i="72"/>
  <c r="L2664" i="72" s="1"/>
  <c r="K2665" i="72"/>
  <c r="L2665" i="72"/>
  <c r="K2666" i="72"/>
  <c r="L2666" i="72" s="1"/>
  <c r="K2667" i="72"/>
  <c r="L2667" i="72"/>
  <c r="K2668" i="72"/>
  <c r="L2668" i="72" s="1"/>
  <c r="K2669" i="72"/>
  <c r="L2669" i="72"/>
  <c r="K2670" i="72"/>
  <c r="L2670" i="72" s="1"/>
  <c r="K2671" i="72"/>
  <c r="L2671" i="72"/>
  <c r="K2672" i="72"/>
  <c r="L2672" i="72" s="1"/>
  <c r="K2673" i="72"/>
  <c r="L2673" i="72"/>
  <c r="K2674" i="72"/>
  <c r="L2674" i="72" s="1"/>
  <c r="K2675" i="72"/>
  <c r="L2675" i="72"/>
  <c r="K2676" i="72"/>
  <c r="L2676" i="72" s="1"/>
  <c r="K2677" i="72"/>
  <c r="L2677" i="72"/>
  <c r="K2678" i="72"/>
  <c r="L2678" i="72" s="1"/>
  <c r="K2679" i="72"/>
  <c r="L2679" i="72"/>
  <c r="K2680" i="72"/>
  <c r="L2680" i="72" s="1"/>
  <c r="K2681" i="72"/>
  <c r="L2681" i="72"/>
  <c r="K2682" i="72"/>
  <c r="L2682" i="72" s="1"/>
  <c r="K2683" i="72"/>
  <c r="L2683" i="72"/>
  <c r="K2684" i="72"/>
  <c r="L2684" i="72" s="1"/>
  <c r="K2685" i="72"/>
  <c r="L2685" i="72"/>
  <c r="K2686" i="72"/>
  <c r="L2686" i="72" s="1"/>
  <c r="K2687" i="72"/>
  <c r="L2687" i="72"/>
  <c r="K2688" i="72"/>
  <c r="L2688" i="72" s="1"/>
  <c r="K2689" i="72"/>
  <c r="L2689" i="72"/>
  <c r="K2690" i="72"/>
  <c r="L2690" i="72" s="1"/>
  <c r="K2691" i="72"/>
  <c r="L2691" i="72"/>
  <c r="K2692" i="72"/>
  <c r="L2692" i="72" s="1"/>
  <c r="K2693" i="72"/>
  <c r="L2693" i="72"/>
  <c r="K2694" i="72"/>
  <c r="L2694" i="72" s="1"/>
  <c r="K2695" i="72"/>
  <c r="L2695" i="72"/>
  <c r="K2696" i="72"/>
  <c r="L2696" i="72" s="1"/>
  <c r="K2697" i="72"/>
  <c r="L2697" i="72"/>
  <c r="K2698" i="72"/>
  <c r="L2698" i="72" s="1"/>
  <c r="K2699" i="72"/>
  <c r="L2699" i="72"/>
  <c r="K2700" i="72"/>
  <c r="L2700" i="72" s="1"/>
  <c r="K2701" i="72"/>
  <c r="L2701" i="72"/>
  <c r="K2702" i="72"/>
  <c r="L2702" i="72" s="1"/>
  <c r="K2703" i="72"/>
  <c r="L2703" i="72"/>
  <c r="K2704" i="72"/>
  <c r="L2704" i="72" s="1"/>
  <c r="K2705" i="72"/>
  <c r="L2705" i="72"/>
  <c r="K2706" i="72"/>
  <c r="L2706" i="72" s="1"/>
  <c r="K2707" i="72"/>
  <c r="L2707" i="72"/>
  <c r="K2708" i="72"/>
  <c r="L2708" i="72" s="1"/>
  <c r="K2709" i="72"/>
  <c r="L2709" i="72"/>
  <c r="K2710" i="72"/>
  <c r="L2710" i="72" s="1"/>
  <c r="K2711" i="72"/>
  <c r="L2711" i="72"/>
  <c r="K2712" i="72"/>
  <c r="L2712" i="72" s="1"/>
  <c r="K2713" i="72"/>
  <c r="L2713" i="72"/>
  <c r="K2714" i="72"/>
  <c r="L2714" i="72" s="1"/>
  <c r="K2715" i="72"/>
  <c r="L2715" i="72"/>
  <c r="K2716" i="72"/>
  <c r="L2716" i="72" s="1"/>
  <c r="K2717" i="72"/>
  <c r="L2717" i="72"/>
  <c r="K2718" i="72"/>
  <c r="L2718" i="72" s="1"/>
  <c r="K2719" i="72"/>
  <c r="L2719" i="72"/>
  <c r="K2720" i="72"/>
  <c r="L2720" i="72" s="1"/>
  <c r="K2721" i="72"/>
  <c r="L2721" i="72"/>
  <c r="K2722" i="72"/>
  <c r="L2722" i="72" s="1"/>
  <c r="K2723" i="72"/>
  <c r="L2723" i="72"/>
  <c r="K2724" i="72"/>
  <c r="L2724" i="72" s="1"/>
  <c r="K2725" i="72"/>
  <c r="L2725" i="72"/>
  <c r="K2726" i="72"/>
  <c r="L2726" i="72" s="1"/>
  <c r="K2727" i="72"/>
  <c r="L2727" i="72"/>
  <c r="K2728" i="72"/>
  <c r="L2728" i="72" s="1"/>
  <c r="K2729" i="72"/>
  <c r="L2729" i="72"/>
  <c r="K2730" i="72"/>
  <c r="L2730" i="72" s="1"/>
  <c r="K2731" i="72"/>
  <c r="L2731" i="72"/>
  <c r="K2732" i="72"/>
  <c r="L2732" i="72" s="1"/>
  <c r="K2733" i="72"/>
  <c r="L2733" i="72"/>
  <c r="K2734" i="72"/>
  <c r="L2734" i="72" s="1"/>
  <c r="K2735" i="72"/>
  <c r="L2735" i="72"/>
  <c r="K2736" i="72"/>
  <c r="L2736" i="72" s="1"/>
  <c r="K2737" i="72"/>
  <c r="L2737" i="72"/>
  <c r="K2738" i="72"/>
  <c r="L2738" i="72" s="1"/>
  <c r="K2739" i="72"/>
  <c r="L2739" i="72"/>
  <c r="K2740" i="72"/>
  <c r="L2740" i="72" s="1"/>
  <c r="K2741" i="72"/>
  <c r="L2741" i="72"/>
  <c r="K2742" i="72"/>
  <c r="L2742" i="72" s="1"/>
  <c r="K2743" i="72"/>
  <c r="L2743" i="72"/>
  <c r="K2744" i="72"/>
  <c r="L2744" i="72" s="1"/>
  <c r="K2745" i="72"/>
  <c r="L2745" i="72"/>
  <c r="K2746" i="72"/>
  <c r="L2746" i="72" s="1"/>
  <c r="K2747" i="72"/>
  <c r="L2747" i="72"/>
  <c r="K2748" i="72"/>
  <c r="L2748" i="72" s="1"/>
  <c r="K2749" i="72"/>
  <c r="L2749" i="72"/>
  <c r="K2750" i="72"/>
  <c r="L2750" i="72" s="1"/>
  <c r="K2751" i="72"/>
  <c r="L2751" i="72"/>
  <c r="K2752" i="72"/>
  <c r="L2752" i="72" s="1"/>
  <c r="K2753" i="72"/>
  <c r="L2753" i="72"/>
  <c r="K2754" i="72"/>
  <c r="L2754" i="72" s="1"/>
  <c r="K2755" i="72"/>
  <c r="L2755" i="72"/>
  <c r="K2756" i="72"/>
  <c r="L2756" i="72" s="1"/>
  <c r="K2757" i="72"/>
  <c r="L2757" i="72"/>
  <c r="K2758" i="72"/>
  <c r="L2758" i="72" s="1"/>
  <c r="K2759" i="72"/>
  <c r="L2759" i="72"/>
  <c r="K2760" i="72"/>
  <c r="L2760" i="72" s="1"/>
  <c r="K2761" i="72"/>
  <c r="L2761" i="72"/>
  <c r="K2762" i="72"/>
  <c r="L2762" i="72" s="1"/>
  <c r="K2763" i="72"/>
  <c r="L2763" i="72"/>
  <c r="K2764" i="72"/>
  <c r="L2764" i="72" s="1"/>
  <c r="K2765" i="72"/>
  <c r="L2765" i="72"/>
  <c r="K2766" i="72"/>
  <c r="L2766" i="72" s="1"/>
  <c r="K2767" i="72"/>
  <c r="L2767" i="72"/>
  <c r="K2768" i="72"/>
  <c r="L2768" i="72" s="1"/>
  <c r="K2769" i="72"/>
  <c r="L2769" i="72"/>
  <c r="K2770" i="72"/>
  <c r="L2770" i="72" s="1"/>
  <c r="K2771" i="72"/>
  <c r="L2771" i="72"/>
  <c r="K2772" i="72"/>
  <c r="L2772" i="72" s="1"/>
  <c r="K2773" i="72"/>
  <c r="L2773" i="72"/>
  <c r="K2774" i="72"/>
  <c r="L2774" i="72" s="1"/>
  <c r="K2775" i="72"/>
  <c r="L2775" i="72"/>
  <c r="K2776" i="72"/>
  <c r="L2776" i="72" s="1"/>
  <c r="K2777" i="72"/>
  <c r="L2777" i="72"/>
  <c r="K2778" i="72"/>
  <c r="L2778" i="72" s="1"/>
  <c r="K2779" i="72"/>
  <c r="L2779" i="72"/>
  <c r="K2780" i="72"/>
  <c r="L2780" i="72" s="1"/>
  <c r="K2781" i="72"/>
  <c r="L2781" i="72"/>
  <c r="K2782" i="72"/>
  <c r="L2782" i="72" s="1"/>
  <c r="K2783" i="72"/>
  <c r="L2783" i="72"/>
  <c r="K2784" i="72"/>
  <c r="L2784" i="72" s="1"/>
  <c r="K2785" i="72"/>
  <c r="L2785" i="72"/>
  <c r="K2786" i="72"/>
  <c r="L2786" i="72" s="1"/>
  <c r="K2787" i="72"/>
  <c r="L2787" i="72"/>
  <c r="K2788" i="72"/>
  <c r="L2788" i="72" s="1"/>
  <c r="K2789" i="72"/>
  <c r="L2789" i="72"/>
  <c r="K2790" i="72"/>
  <c r="L2790" i="72" s="1"/>
  <c r="K2791" i="72"/>
  <c r="L2791" i="72"/>
  <c r="K2792" i="72"/>
  <c r="L2792" i="72" s="1"/>
  <c r="K2793" i="72"/>
  <c r="L2793" i="72"/>
  <c r="K2794" i="72"/>
  <c r="L2794" i="72" s="1"/>
  <c r="K2795" i="72"/>
  <c r="L2795" i="72"/>
  <c r="K2796" i="72"/>
  <c r="L2796" i="72" s="1"/>
  <c r="K2797" i="72"/>
  <c r="L2797" i="72"/>
  <c r="K2798" i="72"/>
  <c r="L2798" i="72" s="1"/>
  <c r="K2799" i="72"/>
  <c r="L2799" i="72"/>
  <c r="K2800" i="72"/>
  <c r="L2800" i="72" s="1"/>
  <c r="K2801" i="72"/>
  <c r="L2801" i="72"/>
  <c r="K2802" i="72"/>
  <c r="L2802" i="72" s="1"/>
  <c r="K2803" i="72"/>
  <c r="L2803" i="72"/>
  <c r="K2804" i="72"/>
  <c r="L2804" i="72" s="1"/>
  <c r="K2805" i="72"/>
  <c r="L2805" i="72"/>
  <c r="K2806" i="72"/>
  <c r="L2806" i="72" s="1"/>
  <c r="K2807" i="72"/>
  <c r="L2807" i="72"/>
  <c r="K2808" i="72"/>
  <c r="L2808" i="72" s="1"/>
  <c r="K2809" i="72"/>
  <c r="L2809" i="72"/>
  <c r="K2810" i="72"/>
  <c r="L2810" i="72" s="1"/>
  <c r="K2811" i="72"/>
  <c r="L2811" i="72"/>
  <c r="K2812" i="72"/>
  <c r="L2812" i="72" s="1"/>
  <c r="K2813" i="72"/>
  <c r="L2813" i="72"/>
  <c r="K2814" i="72"/>
  <c r="L2814" i="72" s="1"/>
  <c r="K2815" i="72"/>
  <c r="L2815" i="72"/>
  <c r="K2816" i="72"/>
  <c r="L2816" i="72" s="1"/>
  <c r="K2817" i="72"/>
  <c r="L2817" i="72"/>
  <c r="K2818" i="72"/>
  <c r="L2818" i="72" s="1"/>
  <c r="K2819" i="72"/>
  <c r="L2819" i="72"/>
  <c r="K2820" i="72"/>
  <c r="L2820" i="72" s="1"/>
  <c r="K2821" i="72"/>
  <c r="L2821" i="72"/>
  <c r="K2822" i="72"/>
  <c r="L2822" i="72" s="1"/>
  <c r="K2823" i="72"/>
  <c r="L2823" i="72"/>
  <c r="K2824" i="72"/>
  <c r="L2824" i="72" s="1"/>
  <c r="K2825" i="72"/>
  <c r="L2825" i="72"/>
  <c r="K2826" i="72"/>
  <c r="L2826" i="72" s="1"/>
  <c r="K2827" i="72"/>
  <c r="L2827" i="72"/>
  <c r="K2828" i="72"/>
  <c r="L2828" i="72" s="1"/>
  <c r="K2829" i="72"/>
  <c r="L2829" i="72"/>
  <c r="K2830" i="72"/>
  <c r="L2830" i="72" s="1"/>
  <c r="K2831" i="72"/>
  <c r="L2831" i="72"/>
  <c r="K2832" i="72"/>
  <c r="L2832" i="72" s="1"/>
  <c r="K2833" i="72"/>
  <c r="L2833" i="72"/>
  <c r="K2834" i="72"/>
  <c r="L2834" i="72" s="1"/>
  <c r="K2835" i="72"/>
  <c r="L2835" i="72"/>
  <c r="K2836" i="72"/>
  <c r="L2836" i="72" s="1"/>
  <c r="K2837" i="72"/>
  <c r="L2837" i="72"/>
  <c r="K2838" i="72"/>
  <c r="L2838" i="72" s="1"/>
  <c r="K2839" i="72"/>
  <c r="L2839" i="72"/>
  <c r="K2840" i="72"/>
  <c r="L2840" i="72" s="1"/>
  <c r="K2841" i="72"/>
  <c r="L2841" i="72"/>
  <c r="K2842" i="72"/>
  <c r="L2842" i="72" s="1"/>
  <c r="K2843" i="72"/>
  <c r="L2843" i="72"/>
  <c r="K2844" i="72"/>
  <c r="L2844" i="72" s="1"/>
  <c r="K2845" i="72"/>
  <c r="L2845" i="72"/>
  <c r="K2846" i="72"/>
  <c r="L2846" i="72" s="1"/>
  <c r="K2847" i="72"/>
  <c r="L2847" i="72"/>
  <c r="K2848" i="72"/>
  <c r="L2848" i="72" s="1"/>
  <c r="K2849" i="72"/>
  <c r="L2849" i="72"/>
  <c r="K2850" i="72"/>
  <c r="L2850" i="72" s="1"/>
  <c r="K2851" i="72"/>
  <c r="L2851" i="72"/>
  <c r="K2852" i="72"/>
  <c r="L2852" i="72" s="1"/>
  <c r="K2853" i="72"/>
  <c r="L2853" i="72"/>
  <c r="K2854" i="72"/>
  <c r="L2854" i="72" s="1"/>
  <c r="K2855" i="72"/>
  <c r="L2855" i="72"/>
  <c r="K2856" i="72"/>
  <c r="L2856" i="72" s="1"/>
  <c r="K2857" i="72"/>
  <c r="L2857" i="72"/>
  <c r="K2858" i="72"/>
  <c r="L2858" i="72" s="1"/>
  <c r="K2859" i="72"/>
  <c r="L2859" i="72"/>
  <c r="K2860" i="72"/>
  <c r="L2860" i="72" s="1"/>
  <c r="K2861" i="72"/>
  <c r="L2861" i="72"/>
  <c r="K2862" i="72"/>
  <c r="L2862" i="72" s="1"/>
  <c r="K2863" i="72"/>
  <c r="L2863" i="72"/>
  <c r="K2864" i="72"/>
  <c r="L2864" i="72" s="1"/>
  <c r="K2865" i="72"/>
  <c r="L2865" i="72"/>
  <c r="K2866" i="72"/>
  <c r="L2866" i="72" s="1"/>
  <c r="K2867" i="72"/>
  <c r="L2867" i="72"/>
  <c r="K2868" i="72"/>
  <c r="L2868" i="72" s="1"/>
  <c r="K2869" i="72"/>
  <c r="L2869" i="72"/>
  <c r="K2870" i="72"/>
  <c r="L2870" i="72" s="1"/>
  <c r="K2871" i="72"/>
  <c r="L2871" i="72"/>
  <c r="K2872" i="72"/>
  <c r="L2872" i="72" s="1"/>
  <c r="K2873" i="72"/>
  <c r="L2873" i="72"/>
  <c r="K2874" i="72"/>
  <c r="L2874" i="72" s="1"/>
  <c r="K2875" i="72"/>
  <c r="L2875" i="72"/>
  <c r="K2876" i="72"/>
  <c r="L2876" i="72" s="1"/>
  <c r="K2877" i="72"/>
  <c r="L2877" i="72"/>
  <c r="K2878" i="72"/>
  <c r="L2878" i="72" s="1"/>
  <c r="K2879" i="72"/>
  <c r="L2879" i="72"/>
  <c r="K2880" i="72"/>
  <c r="L2880" i="72" s="1"/>
  <c r="K2881" i="72"/>
  <c r="L2881" i="72"/>
  <c r="K2882" i="72"/>
  <c r="L2882" i="72" s="1"/>
  <c r="K2883" i="72"/>
  <c r="L2883" i="72"/>
  <c r="K2884" i="72"/>
  <c r="L2884" i="72" s="1"/>
  <c r="K2885" i="72"/>
  <c r="L2885" i="72"/>
  <c r="K2886" i="72"/>
  <c r="L2886" i="72" s="1"/>
  <c r="K2887" i="72"/>
  <c r="L2887" i="72"/>
  <c r="K2888" i="72"/>
  <c r="L2888" i="72" s="1"/>
  <c r="K2889" i="72"/>
  <c r="L2889" i="72"/>
  <c r="K2890" i="72"/>
  <c r="L2890" i="72" s="1"/>
  <c r="K2891" i="72"/>
  <c r="L2891" i="72"/>
  <c r="K2892" i="72"/>
  <c r="L2892" i="72" s="1"/>
  <c r="K2893" i="72"/>
  <c r="L2893" i="72"/>
  <c r="K2894" i="72"/>
  <c r="L2894" i="72" s="1"/>
  <c r="K2895" i="72"/>
  <c r="L2895" i="72"/>
  <c r="K2896" i="72"/>
  <c r="L2896" i="72" s="1"/>
  <c r="K2897" i="72"/>
  <c r="L2897" i="72"/>
  <c r="K2898" i="72"/>
  <c r="L2898" i="72" s="1"/>
  <c r="K2899" i="72"/>
  <c r="L2899" i="72"/>
  <c r="K2900" i="72"/>
  <c r="L2900" i="72" s="1"/>
  <c r="K2901" i="72"/>
  <c r="L2901" i="72"/>
  <c r="K2902" i="72"/>
  <c r="L2902" i="72" s="1"/>
  <c r="K2903" i="72"/>
  <c r="L2903" i="72"/>
  <c r="K2904" i="72"/>
  <c r="L2904" i="72" s="1"/>
  <c r="K2905" i="72"/>
  <c r="L2905" i="72"/>
  <c r="K2906" i="72"/>
  <c r="L2906" i="72" s="1"/>
  <c r="K2907" i="72"/>
  <c r="L2907" i="72"/>
  <c r="K2908" i="72"/>
  <c r="L2908" i="72" s="1"/>
  <c r="K2909" i="72"/>
  <c r="L2909" i="72"/>
  <c r="K2910" i="72"/>
  <c r="L2910" i="72" s="1"/>
  <c r="K2911" i="72"/>
  <c r="L2911" i="72"/>
  <c r="K2912" i="72"/>
  <c r="L2912" i="72" s="1"/>
  <c r="K2913" i="72"/>
  <c r="L2913" i="72"/>
  <c r="K2914" i="72"/>
  <c r="L2914" i="72" s="1"/>
  <c r="K2915" i="72"/>
  <c r="L2915" i="72"/>
  <c r="K2916" i="72"/>
  <c r="L2916" i="72" s="1"/>
  <c r="K2917" i="72"/>
  <c r="L2917" i="72"/>
  <c r="K2918" i="72"/>
  <c r="L2918" i="72" s="1"/>
  <c r="K2919" i="72"/>
  <c r="L2919" i="72"/>
  <c r="K2920" i="72"/>
  <c r="L2920" i="72" s="1"/>
  <c r="K2921" i="72"/>
  <c r="L2921" i="72"/>
  <c r="K2922" i="72"/>
  <c r="L2922" i="72" s="1"/>
  <c r="K2923" i="72"/>
  <c r="L2923" i="72"/>
  <c r="K2924" i="72"/>
  <c r="L2924" i="72" s="1"/>
  <c r="K2925" i="72"/>
  <c r="L2925" i="72"/>
  <c r="K2926" i="72"/>
  <c r="L2926" i="72" s="1"/>
  <c r="K2927" i="72"/>
  <c r="L2927" i="72"/>
  <c r="K2928" i="72"/>
  <c r="L2928" i="72" s="1"/>
  <c r="K2929" i="72"/>
  <c r="L2929" i="72"/>
  <c r="K2930" i="72"/>
  <c r="L2930" i="72" s="1"/>
  <c r="K2931" i="72"/>
  <c r="L2931" i="72"/>
  <c r="K2932" i="72"/>
  <c r="L2932" i="72" s="1"/>
  <c r="K2933" i="72"/>
  <c r="L2933" i="72"/>
  <c r="K2934" i="72"/>
  <c r="L2934" i="72" s="1"/>
  <c r="K2935" i="72"/>
  <c r="L2935" i="72"/>
  <c r="K2936" i="72"/>
  <c r="L2936" i="72" s="1"/>
  <c r="K2937" i="72"/>
  <c r="L2937" i="72"/>
  <c r="K2938" i="72"/>
  <c r="L2938" i="72" s="1"/>
  <c r="K2939" i="72"/>
  <c r="L2939" i="72"/>
  <c r="K2940" i="72"/>
  <c r="L2940" i="72" s="1"/>
  <c r="K2941" i="72"/>
  <c r="L2941" i="72"/>
  <c r="K2942" i="72"/>
  <c r="L2942" i="72" s="1"/>
  <c r="K2943" i="72"/>
  <c r="L2943" i="72"/>
  <c r="K2944" i="72"/>
  <c r="L2944" i="72" s="1"/>
  <c r="K2945" i="72"/>
  <c r="L2945" i="72"/>
  <c r="K2946" i="72"/>
  <c r="L2946" i="72" s="1"/>
  <c r="K2947" i="72"/>
  <c r="L2947" i="72"/>
  <c r="K2948" i="72"/>
  <c r="L2948" i="72" s="1"/>
  <c r="K2949" i="72"/>
  <c r="L2949" i="72"/>
  <c r="K2950" i="72"/>
  <c r="L2950" i="72" s="1"/>
  <c r="K2951" i="72"/>
  <c r="L2951" i="72"/>
  <c r="K2952" i="72"/>
  <c r="L2952" i="72" s="1"/>
  <c r="K2953" i="72"/>
  <c r="L2953" i="72"/>
  <c r="K2954" i="72"/>
  <c r="L2954" i="72" s="1"/>
  <c r="K2955" i="72"/>
  <c r="L2955" i="72"/>
  <c r="K2956" i="72"/>
  <c r="L2956" i="72" s="1"/>
  <c r="K2957" i="72"/>
  <c r="L2957" i="72"/>
  <c r="K2958" i="72"/>
  <c r="L2958" i="72" s="1"/>
  <c r="K2959" i="72"/>
  <c r="L2959" i="72" s="1"/>
  <c r="K2960" i="72"/>
  <c r="L2960" i="72" s="1"/>
  <c r="K2961" i="72"/>
  <c r="L2961" i="72"/>
  <c r="K2962" i="72"/>
  <c r="L2962" i="72" s="1"/>
  <c r="K2963" i="72"/>
  <c r="L2963" i="72" s="1"/>
  <c r="K2964" i="72"/>
  <c r="L2964" i="72" s="1"/>
  <c r="K2965" i="72"/>
  <c r="L2965" i="72"/>
  <c r="K2966" i="72"/>
  <c r="L2966" i="72" s="1"/>
  <c r="K2967" i="72"/>
  <c r="L2967" i="72" s="1"/>
  <c r="K2968" i="72"/>
  <c r="L2968" i="72" s="1"/>
  <c r="K2969" i="72"/>
  <c r="L2969" i="72"/>
  <c r="K2970" i="72"/>
  <c r="L2970" i="72" s="1"/>
  <c r="K2971" i="72"/>
  <c r="L2971" i="72" s="1"/>
  <c r="K2972" i="72"/>
  <c r="L2972" i="72" s="1"/>
  <c r="K2973" i="72"/>
  <c r="L2973" i="72"/>
  <c r="K2974" i="72"/>
  <c r="L2974" i="72" s="1"/>
  <c r="K2975" i="72"/>
  <c r="L2975" i="72" s="1"/>
  <c r="K2976" i="72"/>
  <c r="L2976" i="72" s="1"/>
  <c r="K2977" i="72"/>
  <c r="L2977" i="72"/>
  <c r="K2978" i="72"/>
  <c r="L2978" i="72" s="1"/>
  <c r="K2979" i="72"/>
  <c r="L2979" i="72" s="1"/>
  <c r="K2980" i="72"/>
  <c r="L2980" i="72" s="1"/>
  <c r="K2981" i="72"/>
  <c r="L2981" i="72"/>
  <c r="K2982" i="72"/>
  <c r="L2982" i="72" s="1"/>
  <c r="K2983" i="72"/>
  <c r="L2983" i="72" s="1"/>
  <c r="K2984" i="72"/>
  <c r="L2984" i="72" s="1"/>
  <c r="K2985" i="72"/>
  <c r="L2985" i="72"/>
  <c r="K2986" i="72"/>
  <c r="L2986" i="72" s="1"/>
  <c r="K2987" i="72"/>
  <c r="L2987" i="72" s="1"/>
  <c r="K2988" i="72"/>
  <c r="L2988" i="72" s="1"/>
  <c r="K2989" i="72"/>
  <c r="L2989" i="72"/>
  <c r="K2990" i="72"/>
  <c r="L2990" i="72" s="1"/>
  <c r="K2991" i="72"/>
  <c r="L2991" i="72" s="1"/>
  <c r="K2992" i="72"/>
  <c r="L2992" i="72" s="1"/>
  <c r="K2993" i="72"/>
  <c r="L2993" i="72"/>
  <c r="K2994" i="72"/>
  <c r="L2994" i="72" s="1"/>
  <c r="K2995" i="72"/>
  <c r="L2995" i="72" s="1"/>
  <c r="K2996" i="72"/>
  <c r="L2996" i="72" s="1"/>
  <c r="K2997" i="72"/>
  <c r="L2997" i="72"/>
  <c r="K2998" i="72"/>
  <c r="L2998" i="72" s="1"/>
  <c r="K2999" i="72"/>
  <c r="L2999" i="72" s="1"/>
  <c r="K3000" i="72"/>
  <c r="L3000" i="72" s="1"/>
  <c r="K3001" i="72"/>
  <c r="L3001" i="72"/>
  <c r="K3002" i="72"/>
  <c r="L3002" i="72" s="1"/>
  <c r="K3003" i="72"/>
  <c r="L3003" i="72" s="1"/>
  <c r="K3004" i="72"/>
  <c r="L3004" i="72" s="1"/>
  <c r="K3005" i="72"/>
  <c r="L3005" i="72"/>
  <c r="K3006" i="72"/>
  <c r="L3006" i="72" s="1"/>
  <c r="K3007" i="72"/>
  <c r="L3007" i="72" s="1"/>
  <c r="K3008" i="72"/>
  <c r="L3008" i="72" s="1"/>
  <c r="K3009" i="72"/>
  <c r="L3009" i="72"/>
  <c r="K3010" i="72"/>
  <c r="L3010" i="72" s="1"/>
  <c r="K3011" i="72"/>
  <c r="L3011" i="72" s="1"/>
  <c r="K3012" i="72"/>
  <c r="L3012" i="72" s="1"/>
  <c r="K3013" i="72"/>
  <c r="L3013" i="72"/>
  <c r="K3014" i="72"/>
  <c r="L3014" i="72" s="1"/>
  <c r="K3015" i="72"/>
  <c r="L3015" i="72" s="1"/>
  <c r="K3016" i="72"/>
  <c r="L3016" i="72" s="1"/>
  <c r="K3017" i="72"/>
  <c r="L3017" i="72"/>
  <c r="K3018" i="72"/>
  <c r="L3018" i="72" s="1"/>
  <c r="K3019" i="72"/>
  <c r="L3019" i="72" s="1"/>
  <c r="K3020" i="72"/>
  <c r="L3020" i="72" s="1"/>
  <c r="K3021" i="72"/>
  <c r="L3021" i="72"/>
  <c r="K3022" i="72"/>
  <c r="L3022" i="72" s="1"/>
  <c r="K3023" i="72"/>
  <c r="L3023" i="72" s="1"/>
  <c r="K3024" i="72"/>
  <c r="L3024" i="72" s="1"/>
  <c r="K3025" i="72"/>
  <c r="L3025" i="72"/>
  <c r="K3026" i="72"/>
  <c r="L3026" i="72" s="1"/>
  <c r="K3027" i="72"/>
  <c r="L3027" i="72" s="1"/>
  <c r="K3028" i="72"/>
  <c r="L3028" i="72" s="1"/>
  <c r="K3029" i="72"/>
  <c r="L3029" i="72"/>
  <c r="K3030" i="72"/>
  <c r="L3030" i="72" s="1"/>
  <c r="K3031" i="72"/>
  <c r="L3031" i="72" s="1"/>
  <c r="K3032" i="72"/>
  <c r="L3032" i="72" s="1"/>
  <c r="K3033" i="72"/>
  <c r="L3033" i="72"/>
  <c r="K3034" i="72"/>
  <c r="L3034" i="72" s="1"/>
  <c r="K3035" i="72"/>
  <c r="L3035" i="72" s="1"/>
  <c r="K3036" i="72"/>
  <c r="L3036" i="72" s="1"/>
  <c r="K3037" i="72"/>
  <c r="L3037" i="72"/>
  <c r="K3038" i="72"/>
  <c r="L3038" i="72" s="1"/>
  <c r="K3039" i="72"/>
  <c r="L3039" i="72" s="1"/>
  <c r="K3040" i="72"/>
  <c r="L3040" i="72" s="1"/>
  <c r="K3041" i="72"/>
  <c r="L3041" i="72"/>
  <c r="K3042" i="72"/>
  <c r="L3042" i="72" s="1"/>
  <c r="K3043" i="72"/>
  <c r="L3043" i="72" s="1"/>
  <c r="K3044" i="72"/>
  <c r="L3044" i="72" s="1"/>
  <c r="K3045" i="72"/>
  <c r="L3045" i="72"/>
  <c r="K3046" i="72"/>
  <c r="L3046" i="72" s="1"/>
  <c r="K3047" i="72"/>
  <c r="L3047" i="72" s="1"/>
  <c r="K3048" i="72"/>
  <c r="L3048" i="72" s="1"/>
  <c r="K3049" i="72"/>
  <c r="L3049" i="72"/>
  <c r="K3050" i="72"/>
  <c r="L3050" i="72" s="1"/>
  <c r="K3051" i="72"/>
  <c r="L3051" i="72" s="1"/>
  <c r="K3052" i="72"/>
  <c r="L3052" i="72" s="1"/>
  <c r="K3053" i="72"/>
  <c r="L3053" i="72"/>
  <c r="K3054" i="72"/>
  <c r="L3054" i="72" s="1"/>
  <c r="K3055" i="72"/>
  <c r="L3055" i="72" s="1"/>
  <c r="K3056" i="72"/>
  <c r="L3056" i="72" s="1"/>
  <c r="K3057" i="72"/>
  <c r="L3057" i="72"/>
  <c r="K3058" i="72"/>
  <c r="L3058" i="72" s="1"/>
  <c r="K3059" i="72"/>
  <c r="L3059" i="72" s="1"/>
  <c r="K3060" i="72"/>
  <c r="L3060" i="72" s="1"/>
  <c r="K3061" i="72"/>
  <c r="L3061" i="72"/>
  <c r="K3062" i="72"/>
  <c r="L3062" i="72" s="1"/>
  <c r="K3063" i="72"/>
  <c r="L3063" i="72" s="1"/>
  <c r="K3064" i="72"/>
  <c r="L3064" i="72" s="1"/>
  <c r="K3065" i="72"/>
  <c r="L3065" i="72"/>
  <c r="K3066" i="72"/>
  <c r="L3066" i="72" s="1"/>
  <c r="K3067" i="72"/>
  <c r="L3067" i="72" s="1"/>
  <c r="K3068" i="72"/>
  <c r="L3068" i="72" s="1"/>
  <c r="K3069" i="72"/>
  <c r="L3069" i="72"/>
  <c r="K3070" i="72"/>
  <c r="L3070" i="72" s="1"/>
  <c r="K3071" i="72"/>
  <c r="L3071" i="72" s="1"/>
  <c r="K3072" i="72"/>
  <c r="L3072" i="72" s="1"/>
  <c r="K3073" i="72"/>
  <c r="L3073" i="72"/>
  <c r="K3074" i="72"/>
  <c r="L3074" i="72" s="1"/>
  <c r="K3075" i="72"/>
  <c r="L3075" i="72" s="1"/>
  <c r="K3076" i="72"/>
  <c r="L3076" i="72" s="1"/>
  <c r="K3077" i="72"/>
  <c r="L3077" i="72"/>
  <c r="K3078" i="72"/>
  <c r="L3078" i="72" s="1"/>
  <c r="K3079" i="72"/>
  <c r="L3079" i="72" s="1"/>
  <c r="K3080" i="72"/>
  <c r="L3080" i="72" s="1"/>
  <c r="K3081" i="72"/>
  <c r="L3081" i="72"/>
  <c r="K3082" i="72"/>
  <c r="L3082" i="72" s="1"/>
  <c r="K3083" i="72"/>
  <c r="L3083" i="72" s="1"/>
  <c r="K3084" i="72"/>
  <c r="L3084" i="72" s="1"/>
  <c r="K3085" i="72"/>
  <c r="L3085" i="72"/>
  <c r="K3086" i="72"/>
  <c r="L3086" i="72" s="1"/>
  <c r="K3087" i="72"/>
  <c r="L3087" i="72" s="1"/>
  <c r="K3088" i="72"/>
  <c r="L3088" i="72" s="1"/>
  <c r="K3089" i="72"/>
  <c r="L3089" i="72"/>
  <c r="K3090" i="72"/>
  <c r="L3090" i="72" s="1"/>
  <c r="K3091" i="72"/>
  <c r="L3091" i="72" s="1"/>
  <c r="K3092" i="72"/>
  <c r="L3092" i="72" s="1"/>
  <c r="K3093" i="72"/>
  <c r="L3093" i="72"/>
  <c r="K3094" i="72"/>
  <c r="L3094" i="72" s="1"/>
  <c r="K3095" i="72"/>
  <c r="L3095" i="72" s="1"/>
  <c r="K3096" i="72"/>
  <c r="L3096" i="72" s="1"/>
  <c r="K3097" i="72"/>
  <c r="L3097" i="72"/>
  <c r="K3098" i="72"/>
  <c r="L3098" i="72" s="1"/>
  <c r="K3099" i="72"/>
  <c r="L3099" i="72" s="1"/>
  <c r="K3100" i="72"/>
  <c r="L3100" i="72" s="1"/>
  <c r="K3101" i="72"/>
  <c r="L3101" i="72"/>
  <c r="K3102" i="72"/>
  <c r="L3102" i="72" s="1"/>
  <c r="K3103" i="72"/>
  <c r="L3103" i="72" s="1"/>
  <c r="K3104" i="72"/>
  <c r="L3104" i="72" s="1"/>
  <c r="K3105" i="72"/>
  <c r="L3105" i="72"/>
  <c r="K3106" i="72"/>
  <c r="L3106" i="72" s="1"/>
  <c r="K3107" i="72"/>
  <c r="L3107" i="72" s="1"/>
  <c r="K3108" i="72"/>
  <c r="L3108" i="72" s="1"/>
  <c r="K3109" i="72"/>
  <c r="L3109" i="72"/>
  <c r="K3110" i="72"/>
  <c r="L3110" i="72" s="1"/>
  <c r="K3111" i="72"/>
  <c r="L3111" i="72" s="1"/>
  <c r="K3112" i="72"/>
  <c r="L3112" i="72" s="1"/>
  <c r="K3113" i="72"/>
  <c r="L3113" i="72"/>
  <c r="K3114" i="72"/>
  <c r="L3114" i="72" s="1"/>
  <c r="K3115" i="72"/>
  <c r="L3115" i="72" s="1"/>
  <c r="K3116" i="72"/>
  <c r="L3116" i="72" s="1"/>
  <c r="K3117" i="72"/>
  <c r="L3117" i="72"/>
  <c r="K3118" i="72"/>
  <c r="L3118" i="72" s="1"/>
  <c r="K3119" i="72"/>
  <c r="L3119" i="72" s="1"/>
  <c r="K3120" i="72"/>
  <c r="L3120" i="72" s="1"/>
  <c r="K3121" i="72"/>
  <c r="L3121" i="72"/>
  <c r="K3122" i="72"/>
  <c r="L3122" i="72" s="1"/>
  <c r="K3123" i="72"/>
  <c r="L3123" i="72" s="1"/>
  <c r="K3124" i="72"/>
  <c r="L3124" i="72" s="1"/>
  <c r="K3125" i="72"/>
  <c r="L3125" i="72"/>
  <c r="K3126" i="72"/>
  <c r="L3126" i="72" s="1"/>
  <c r="K3127" i="72"/>
  <c r="L3127" i="72" s="1"/>
  <c r="K3128" i="72"/>
  <c r="L3128" i="72" s="1"/>
  <c r="K3129" i="72"/>
  <c r="L3129" i="72"/>
  <c r="K3130" i="72"/>
  <c r="L3130" i="72" s="1"/>
  <c r="K3131" i="72"/>
  <c r="L3131" i="72" s="1"/>
  <c r="K3132" i="72"/>
  <c r="L3132" i="72" s="1"/>
  <c r="K3133" i="72"/>
  <c r="L3133" i="72"/>
  <c r="K3134" i="72"/>
  <c r="L3134" i="72" s="1"/>
  <c r="K3135" i="72"/>
  <c r="L3135" i="72" s="1"/>
  <c r="K3136" i="72"/>
  <c r="L3136" i="72" s="1"/>
  <c r="K3137" i="72"/>
  <c r="L3137" i="72"/>
  <c r="K3138" i="72"/>
  <c r="L3138" i="72" s="1"/>
  <c r="K3139" i="72"/>
  <c r="L3139" i="72" s="1"/>
  <c r="K3140" i="72"/>
  <c r="L3140" i="72" s="1"/>
  <c r="K3141" i="72"/>
  <c r="L3141" i="72"/>
  <c r="K3142" i="72"/>
  <c r="L3142" i="72" s="1"/>
  <c r="K3143" i="72"/>
  <c r="L3143" i="72" s="1"/>
  <c r="K3144" i="72"/>
  <c r="L3144" i="72" s="1"/>
  <c r="K3145" i="72"/>
  <c r="L3145" i="72"/>
  <c r="K3146" i="72"/>
  <c r="L3146" i="72" s="1"/>
  <c r="K3147" i="72"/>
  <c r="L3147" i="72" s="1"/>
  <c r="K3148" i="72"/>
  <c r="L3148" i="72" s="1"/>
  <c r="K3149" i="72"/>
  <c r="L3149" i="72"/>
  <c r="K3150" i="72"/>
  <c r="L3150" i="72" s="1"/>
  <c r="K3151" i="72"/>
  <c r="L3151" i="72" s="1"/>
  <c r="K3152" i="72"/>
  <c r="L3152" i="72" s="1"/>
  <c r="K3153" i="72"/>
  <c r="L3153" i="72"/>
  <c r="K3154" i="72"/>
  <c r="L3154" i="72" s="1"/>
  <c r="K3155" i="72"/>
  <c r="L3155" i="72" s="1"/>
  <c r="K3156" i="72"/>
  <c r="L3156" i="72" s="1"/>
  <c r="K3157" i="72"/>
  <c r="L3157" i="72"/>
  <c r="K3158" i="72"/>
  <c r="L3158" i="72" s="1"/>
  <c r="K3159" i="72"/>
  <c r="L3159" i="72" s="1"/>
  <c r="K3160" i="72"/>
  <c r="L3160" i="72" s="1"/>
  <c r="K3161" i="72"/>
  <c r="L3161" i="72"/>
  <c r="K3162" i="72"/>
  <c r="L3162" i="72" s="1"/>
  <c r="K3163" i="72"/>
  <c r="L3163" i="72" s="1"/>
  <c r="K3164" i="72"/>
  <c r="L3164" i="72" s="1"/>
  <c r="K3165" i="72"/>
  <c r="L3165" i="72"/>
  <c r="K3166" i="72"/>
  <c r="L3166" i="72" s="1"/>
  <c r="K3167" i="72"/>
  <c r="L3167" i="72" s="1"/>
  <c r="K3168" i="72"/>
  <c r="L3168" i="72" s="1"/>
  <c r="K3169" i="72"/>
  <c r="L3169" i="72"/>
  <c r="K3170" i="72"/>
  <c r="L3170" i="72" s="1"/>
  <c r="K3171" i="72"/>
  <c r="L3171" i="72" s="1"/>
  <c r="K3172" i="72"/>
  <c r="L3172" i="72" s="1"/>
  <c r="K3173" i="72"/>
  <c r="L3173" i="72"/>
  <c r="K3174" i="72"/>
  <c r="L3174" i="72" s="1"/>
  <c r="K3175" i="72"/>
  <c r="L3175" i="72" s="1"/>
  <c r="K3176" i="72"/>
  <c r="L3176" i="72" s="1"/>
  <c r="K3177" i="72"/>
  <c r="L3177" i="72"/>
  <c r="K3178" i="72"/>
  <c r="L3178" i="72" s="1"/>
  <c r="K3179" i="72"/>
  <c r="L3179" i="72" s="1"/>
  <c r="K3180" i="72"/>
  <c r="L3180" i="72" s="1"/>
  <c r="K3181" i="72"/>
  <c r="L3181" i="72"/>
  <c r="K3182" i="72"/>
  <c r="L3182" i="72" s="1"/>
  <c r="K3183" i="72"/>
  <c r="L3183" i="72" s="1"/>
  <c r="K3184" i="72"/>
  <c r="L3184" i="72" s="1"/>
  <c r="K3185" i="72"/>
  <c r="L3185" i="72"/>
  <c r="K3186" i="72"/>
  <c r="L3186" i="72" s="1"/>
  <c r="K3187" i="72"/>
  <c r="L3187" i="72" s="1"/>
  <c r="K3188" i="72"/>
  <c r="L3188" i="72" s="1"/>
  <c r="K3189" i="72"/>
  <c r="L3189" i="72"/>
  <c r="K3190" i="72"/>
  <c r="L3190" i="72" s="1"/>
  <c r="K3191" i="72"/>
  <c r="L3191" i="72" s="1"/>
  <c r="K3192" i="72"/>
  <c r="L3192" i="72" s="1"/>
  <c r="K3193" i="72"/>
  <c r="L3193" i="72"/>
  <c r="K3194" i="72"/>
  <c r="L3194" i="72" s="1"/>
  <c r="K3195" i="72"/>
  <c r="L3195" i="72" s="1"/>
  <c r="K3196" i="72"/>
  <c r="L3196" i="72" s="1"/>
  <c r="K3197" i="72"/>
  <c r="L3197" i="72"/>
  <c r="K3198" i="72"/>
  <c r="L3198" i="72" s="1"/>
  <c r="K3199" i="72"/>
  <c r="L3199" i="72" s="1"/>
  <c r="K3200" i="72"/>
  <c r="L3200" i="72" s="1"/>
  <c r="K3201" i="72"/>
  <c r="L3201" i="72" s="1"/>
  <c r="K3202" i="72"/>
  <c r="L3202" i="72" s="1"/>
  <c r="K3203" i="72"/>
  <c r="L3203" i="72" s="1"/>
  <c r="K3204" i="72"/>
  <c r="L3204" i="72" s="1"/>
  <c r="K3205" i="72"/>
  <c r="L3205" i="72" s="1"/>
  <c r="K3206" i="72"/>
  <c r="L3206" i="72" s="1"/>
  <c r="K3207" i="72"/>
  <c r="L3207" i="72" s="1"/>
  <c r="K3208" i="72"/>
  <c r="L3208" i="72" s="1"/>
  <c r="K3209" i="72"/>
  <c r="L3209" i="72" s="1"/>
  <c r="K3210" i="72"/>
  <c r="L3210" i="72" s="1"/>
  <c r="K3211" i="72"/>
  <c r="L3211" i="72" s="1"/>
  <c r="K3212" i="72"/>
  <c r="L3212" i="72" s="1"/>
  <c r="K3213" i="72"/>
  <c r="L3213" i="72" s="1"/>
  <c r="K3214" i="72"/>
  <c r="L3214" i="72" s="1"/>
  <c r="K3215" i="72"/>
  <c r="L3215" i="72" s="1"/>
  <c r="K3216" i="72"/>
  <c r="L3216" i="72" s="1"/>
  <c r="K3217" i="72"/>
  <c r="L3217" i="72" s="1"/>
  <c r="K3218" i="72"/>
  <c r="L3218" i="72" s="1"/>
  <c r="K3219" i="72"/>
  <c r="L3219" i="72" s="1"/>
  <c r="K3220" i="72"/>
  <c r="L3220" i="72" s="1"/>
  <c r="K3221" i="72"/>
  <c r="L3221" i="72" s="1"/>
  <c r="K3222" i="72"/>
  <c r="L3222" i="72" s="1"/>
  <c r="K3223" i="72"/>
  <c r="L3223" i="72" s="1"/>
  <c r="K3224" i="72"/>
  <c r="L3224" i="72" s="1"/>
  <c r="K3225" i="72"/>
  <c r="L3225" i="72" s="1"/>
  <c r="K3226" i="72"/>
  <c r="L3226" i="72" s="1"/>
  <c r="K3227" i="72"/>
  <c r="L3227" i="72" s="1"/>
  <c r="K3228" i="72"/>
  <c r="L3228" i="72" s="1"/>
  <c r="K3229" i="72"/>
  <c r="L3229" i="72" s="1"/>
  <c r="K3230" i="72"/>
  <c r="L3230" i="72" s="1"/>
  <c r="K3231" i="72"/>
  <c r="L3231" i="72" s="1"/>
  <c r="K3232" i="72"/>
  <c r="L3232" i="72" s="1"/>
  <c r="K3233" i="72"/>
  <c r="L3233" i="72" s="1"/>
  <c r="K3234" i="72"/>
  <c r="L3234" i="72" s="1"/>
  <c r="K3235" i="72"/>
  <c r="L3235" i="72" s="1"/>
  <c r="K3236" i="72"/>
  <c r="L3236" i="72" s="1"/>
  <c r="K3237" i="72"/>
  <c r="L3237" i="72" s="1"/>
  <c r="K3238" i="72"/>
  <c r="L3238" i="72" s="1"/>
  <c r="K3239" i="72"/>
  <c r="L3239" i="72" s="1"/>
  <c r="K3240" i="72"/>
  <c r="L3240" i="72" s="1"/>
  <c r="K3241" i="72"/>
  <c r="L3241" i="72" s="1"/>
  <c r="K3242" i="72"/>
  <c r="L3242" i="72" s="1"/>
  <c r="K3243" i="72"/>
  <c r="L3243" i="72" s="1"/>
  <c r="K3244" i="72"/>
  <c r="L3244" i="72" s="1"/>
  <c r="K3245" i="72"/>
  <c r="L3245" i="72" s="1"/>
  <c r="K3246" i="72"/>
  <c r="L3246" i="72" s="1"/>
  <c r="K3247" i="72"/>
  <c r="L3247" i="72" s="1"/>
  <c r="K3248" i="72"/>
  <c r="L3248" i="72" s="1"/>
  <c r="K3249" i="72"/>
  <c r="L3249" i="72" s="1"/>
  <c r="K3250" i="72"/>
  <c r="L3250" i="72" s="1"/>
  <c r="K3251" i="72"/>
  <c r="L3251" i="72" s="1"/>
  <c r="K3252" i="72"/>
  <c r="L3252" i="72" s="1"/>
  <c r="K3253" i="72"/>
  <c r="L3253" i="72" s="1"/>
  <c r="K3254" i="72"/>
  <c r="L3254" i="72" s="1"/>
  <c r="K3255" i="72"/>
  <c r="L3255" i="72" s="1"/>
  <c r="K3256" i="72"/>
  <c r="L3256" i="72" s="1"/>
  <c r="K3257" i="72"/>
  <c r="L3257" i="72" s="1"/>
  <c r="K3258" i="72"/>
  <c r="L3258" i="72" s="1"/>
  <c r="K3259" i="72"/>
  <c r="L3259" i="72" s="1"/>
  <c r="K3260" i="72"/>
  <c r="L3260" i="72" s="1"/>
  <c r="K3261" i="72"/>
  <c r="L3261" i="72" s="1"/>
  <c r="K3262" i="72"/>
  <c r="L3262" i="72" s="1"/>
  <c r="K3263" i="72"/>
  <c r="L3263" i="72" s="1"/>
  <c r="K3264" i="72"/>
  <c r="L3264" i="72" s="1"/>
  <c r="K3265" i="72"/>
  <c r="L3265" i="72" s="1"/>
  <c r="K3266" i="72"/>
  <c r="L3266" i="72" s="1"/>
  <c r="K3267" i="72"/>
  <c r="L3267" i="72" s="1"/>
  <c r="K3268" i="72"/>
  <c r="L3268" i="72" s="1"/>
  <c r="K3269" i="72"/>
  <c r="L3269" i="72" s="1"/>
  <c r="K3270" i="72"/>
  <c r="L3270" i="72" s="1"/>
  <c r="K3271" i="72"/>
  <c r="L3271" i="72" s="1"/>
  <c r="K3272" i="72"/>
  <c r="L3272" i="72" s="1"/>
  <c r="K3273" i="72"/>
  <c r="L3273" i="72" s="1"/>
  <c r="K3274" i="72"/>
  <c r="L3274" i="72" s="1"/>
  <c r="K3275" i="72"/>
  <c r="L3275" i="72" s="1"/>
  <c r="K3276" i="72"/>
  <c r="L3276" i="72" s="1"/>
  <c r="K3277" i="72"/>
  <c r="L3277" i="72" s="1"/>
  <c r="K3278" i="72"/>
  <c r="L3278" i="72" s="1"/>
  <c r="K3279" i="72"/>
  <c r="L3279" i="72" s="1"/>
  <c r="K3280" i="72"/>
  <c r="L3280" i="72" s="1"/>
  <c r="K3281" i="72"/>
  <c r="L3281" i="72" s="1"/>
  <c r="K3282" i="72"/>
  <c r="L3282" i="72" s="1"/>
  <c r="K3283" i="72"/>
  <c r="L3283" i="72" s="1"/>
  <c r="K3284" i="72"/>
  <c r="L3284" i="72" s="1"/>
  <c r="K3285" i="72"/>
  <c r="L3285" i="72" s="1"/>
  <c r="K3286" i="72"/>
  <c r="L3286" i="72" s="1"/>
  <c r="K3287" i="72"/>
  <c r="L3287" i="72" s="1"/>
  <c r="K3288" i="72"/>
  <c r="L3288" i="72" s="1"/>
  <c r="K3289" i="72"/>
  <c r="L3289" i="72" s="1"/>
  <c r="K3290" i="72"/>
  <c r="L3290" i="72" s="1"/>
  <c r="K3291" i="72"/>
  <c r="L3291" i="72" s="1"/>
  <c r="K3292" i="72"/>
  <c r="L3292" i="72" s="1"/>
  <c r="K3293" i="72"/>
  <c r="L3293" i="72" s="1"/>
  <c r="K3294" i="72"/>
  <c r="L3294" i="72" s="1"/>
  <c r="K3295" i="72"/>
  <c r="L3295" i="72" s="1"/>
  <c r="K3296" i="72"/>
  <c r="L3296" i="72" s="1"/>
  <c r="K3297" i="72"/>
  <c r="L3297" i="72" s="1"/>
  <c r="K3298" i="72"/>
  <c r="L3298" i="72" s="1"/>
  <c r="K3299" i="72"/>
  <c r="L3299" i="72" s="1"/>
  <c r="K3300" i="72"/>
  <c r="L3300" i="72" s="1"/>
  <c r="K3301" i="72"/>
  <c r="L3301" i="72" s="1"/>
  <c r="K3302" i="72"/>
  <c r="L3302" i="72" s="1"/>
  <c r="K3303" i="72"/>
  <c r="L3303" i="72" s="1"/>
  <c r="K3304" i="72"/>
  <c r="L3304" i="72" s="1"/>
  <c r="K3305" i="72"/>
  <c r="L3305" i="72" s="1"/>
  <c r="K3306" i="72"/>
  <c r="L3306" i="72" s="1"/>
  <c r="K3307" i="72"/>
  <c r="L3307" i="72" s="1"/>
  <c r="K3308" i="72"/>
  <c r="L3308" i="72" s="1"/>
  <c r="K3309" i="72"/>
  <c r="L3309" i="72" s="1"/>
  <c r="K3310" i="72"/>
  <c r="L3310" i="72" s="1"/>
  <c r="K3311" i="72"/>
  <c r="L3311" i="72" s="1"/>
  <c r="K3312" i="72"/>
  <c r="L3312" i="72" s="1"/>
  <c r="K3313" i="72"/>
  <c r="L3313" i="72" s="1"/>
  <c r="K3314" i="72"/>
  <c r="L3314" i="72" s="1"/>
  <c r="K3315" i="72"/>
  <c r="L3315" i="72" s="1"/>
  <c r="K3316" i="72"/>
  <c r="L3316" i="72" s="1"/>
  <c r="K3317" i="72"/>
  <c r="L3317" i="72" s="1"/>
  <c r="K3318" i="72"/>
  <c r="L3318" i="72" s="1"/>
  <c r="K3319" i="72"/>
  <c r="L3319" i="72" s="1"/>
  <c r="K3320" i="72"/>
  <c r="L3320" i="72" s="1"/>
  <c r="K3321" i="72"/>
  <c r="L3321" i="72" s="1"/>
  <c r="K3322" i="72"/>
  <c r="L3322" i="72" s="1"/>
  <c r="K3323" i="72"/>
  <c r="L3323" i="72" s="1"/>
  <c r="K3324" i="72"/>
  <c r="L3324" i="72" s="1"/>
  <c r="K3325" i="72"/>
  <c r="L3325" i="72" s="1"/>
  <c r="K3326" i="72"/>
  <c r="L3326" i="72" s="1"/>
  <c r="K3327" i="72"/>
  <c r="L3327" i="72" s="1"/>
  <c r="K3328" i="72"/>
  <c r="L3328" i="72" s="1"/>
  <c r="K3329" i="72"/>
  <c r="L3329" i="72" s="1"/>
  <c r="K3330" i="72"/>
  <c r="L3330" i="72" s="1"/>
  <c r="K3331" i="72"/>
  <c r="L3331" i="72" s="1"/>
  <c r="K3332" i="72"/>
  <c r="L3332" i="72" s="1"/>
  <c r="K3333" i="72"/>
  <c r="L3333" i="72" s="1"/>
  <c r="K3334" i="72"/>
  <c r="L3334" i="72" s="1"/>
  <c r="K3335" i="72"/>
  <c r="L3335" i="72" s="1"/>
  <c r="K3336" i="72"/>
  <c r="L3336" i="72" s="1"/>
  <c r="K3337" i="72"/>
  <c r="L3337" i="72" s="1"/>
  <c r="K3338" i="72"/>
  <c r="L3338" i="72" s="1"/>
  <c r="K3339" i="72"/>
  <c r="L3339" i="72" s="1"/>
  <c r="K3340" i="72"/>
  <c r="L3340" i="72" s="1"/>
  <c r="K3341" i="72"/>
  <c r="L3341" i="72" s="1"/>
  <c r="K3342" i="72"/>
  <c r="L3342" i="72" s="1"/>
  <c r="K3343" i="72"/>
  <c r="L3343" i="72" s="1"/>
  <c r="K3344" i="72"/>
  <c r="L3344" i="72" s="1"/>
  <c r="K3345" i="72"/>
  <c r="L3345" i="72" s="1"/>
  <c r="K3346" i="72"/>
  <c r="L3346" i="72" s="1"/>
  <c r="K3347" i="72"/>
  <c r="L3347" i="72" s="1"/>
  <c r="K3348" i="72"/>
  <c r="L3348" i="72" s="1"/>
  <c r="K3349" i="72"/>
  <c r="L3349" i="72" s="1"/>
  <c r="K3350" i="72"/>
  <c r="L3350" i="72" s="1"/>
  <c r="K3351" i="72"/>
  <c r="L3351" i="72" s="1"/>
  <c r="K3352" i="72"/>
  <c r="L3352" i="72" s="1"/>
  <c r="K3353" i="72"/>
  <c r="L3353" i="72" s="1"/>
  <c r="K3354" i="72"/>
  <c r="L3354" i="72" s="1"/>
  <c r="K3355" i="72"/>
  <c r="L3355" i="72" s="1"/>
  <c r="K3356" i="72"/>
  <c r="L3356" i="72" s="1"/>
  <c r="K3357" i="72"/>
  <c r="L3357" i="72" s="1"/>
  <c r="K3358" i="72"/>
  <c r="L3358" i="72" s="1"/>
  <c r="K3359" i="72"/>
  <c r="L3359" i="72" s="1"/>
  <c r="K3360" i="72"/>
  <c r="L3360" i="72" s="1"/>
  <c r="K3361" i="72"/>
  <c r="L3361" i="72" s="1"/>
  <c r="K3362" i="72"/>
  <c r="L3362" i="72" s="1"/>
  <c r="K3363" i="72"/>
  <c r="L3363" i="72" s="1"/>
  <c r="K3364" i="72"/>
  <c r="L3364" i="72" s="1"/>
  <c r="K3365" i="72"/>
  <c r="L3365" i="72" s="1"/>
  <c r="K3366" i="72"/>
  <c r="L3366" i="72" s="1"/>
  <c r="K3367" i="72"/>
  <c r="L3367" i="72" s="1"/>
  <c r="K3368" i="72"/>
  <c r="L3368" i="72" s="1"/>
  <c r="K3369" i="72"/>
  <c r="L3369" i="72" s="1"/>
  <c r="K3370" i="72"/>
  <c r="L3370" i="72" s="1"/>
  <c r="K3371" i="72"/>
  <c r="L3371" i="72" s="1"/>
  <c r="K3372" i="72"/>
  <c r="L3372" i="72" s="1"/>
  <c r="K3373" i="72"/>
  <c r="L3373" i="72" s="1"/>
  <c r="K3374" i="72"/>
  <c r="L3374" i="72" s="1"/>
  <c r="K3375" i="72"/>
  <c r="L3375" i="72" s="1"/>
  <c r="K3376" i="72"/>
  <c r="L3376" i="72" s="1"/>
  <c r="K3377" i="72"/>
  <c r="L3377" i="72" s="1"/>
  <c r="K3378" i="72"/>
  <c r="L3378" i="72" s="1"/>
  <c r="K3379" i="72"/>
  <c r="L3379" i="72" s="1"/>
  <c r="K3380" i="72"/>
  <c r="L3380" i="72" s="1"/>
  <c r="K3381" i="72"/>
  <c r="L3381" i="72" s="1"/>
  <c r="K3382" i="72"/>
  <c r="L3382" i="72" s="1"/>
  <c r="K3383" i="72"/>
  <c r="L3383" i="72" s="1"/>
  <c r="K3384" i="72"/>
  <c r="L3384" i="72" s="1"/>
  <c r="K3385" i="72"/>
  <c r="L3385" i="72" s="1"/>
  <c r="K3386" i="72"/>
  <c r="L3386" i="72" s="1"/>
  <c r="K3387" i="72"/>
  <c r="L3387" i="72" s="1"/>
  <c r="K3388" i="72"/>
  <c r="L3388" i="72" s="1"/>
  <c r="K3389" i="72"/>
  <c r="L3389" i="72" s="1"/>
  <c r="K3390" i="72"/>
  <c r="L3390" i="72" s="1"/>
  <c r="K3391" i="72"/>
  <c r="L3391" i="72" s="1"/>
  <c r="K3392" i="72"/>
  <c r="L3392" i="72" s="1"/>
  <c r="K3393" i="72"/>
  <c r="L3393" i="72" s="1"/>
  <c r="K3394" i="72"/>
  <c r="L3394" i="72" s="1"/>
  <c r="K3395" i="72"/>
  <c r="L3395" i="72" s="1"/>
  <c r="K3396" i="72"/>
  <c r="L3396" i="72" s="1"/>
  <c r="K3397" i="72"/>
  <c r="L3397" i="72" s="1"/>
  <c r="K3398" i="72"/>
  <c r="L3398" i="72" s="1"/>
  <c r="K3399" i="72"/>
  <c r="L3399" i="72" s="1"/>
  <c r="K3400" i="72"/>
  <c r="L3400" i="72" s="1"/>
  <c r="K3401" i="72"/>
  <c r="L3401" i="72" s="1"/>
  <c r="K3402" i="72"/>
  <c r="L3402" i="72" s="1"/>
  <c r="K3403" i="72"/>
  <c r="L3403" i="72" s="1"/>
  <c r="K3404" i="72"/>
  <c r="L3404" i="72" s="1"/>
  <c r="K3405" i="72"/>
  <c r="L3405" i="72" s="1"/>
  <c r="K3406" i="72"/>
  <c r="L3406" i="72" s="1"/>
  <c r="K3407" i="72"/>
  <c r="L3407" i="72" s="1"/>
  <c r="K3408" i="72"/>
  <c r="L3408" i="72" s="1"/>
  <c r="K3409" i="72"/>
  <c r="L3409" i="72" s="1"/>
  <c r="K3410" i="72"/>
  <c r="L3410" i="72" s="1"/>
  <c r="K3411" i="72"/>
  <c r="L3411" i="72" s="1"/>
  <c r="K3412" i="72"/>
  <c r="L3412" i="72" s="1"/>
  <c r="K3413" i="72"/>
  <c r="L3413" i="72" s="1"/>
  <c r="K3414" i="72"/>
  <c r="L3414" i="72" s="1"/>
  <c r="K3415" i="72"/>
  <c r="L3415" i="72" s="1"/>
  <c r="K3416" i="72"/>
  <c r="L3416" i="72" s="1"/>
  <c r="K3417" i="72"/>
  <c r="L3417" i="72" s="1"/>
  <c r="K3418" i="72"/>
  <c r="L3418" i="72" s="1"/>
  <c r="K3419" i="72"/>
  <c r="L3419" i="72" s="1"/>
  <c r="K3420" i="72"/>
  <c r="L3420" i="72" s="1"/>
  <c r="K3421" i="72"/>
  <c r="L3421" i="72" s="1"/>
  <c r="K3422" i="72"/>
  <c r="L3422" i="72" s="1"/>
  <c r="K3423" i="72"/>
  <c r="L3423" i="72" s="1"/>
  <c r="K3424" i="72"/>
  <c r="L3424" i="72" s="1"/>
  <c r="K3425" i="72"/>
  <c r="L3425" i="72" s="1"/>
  <c r="K3426" i="72"/>
  <c r="L3426" i="72" s="1"/>
  <c r="K3427" i="72"/>
  <c r="L3427" i="72" s="1"/>
  <c r="K3428" i="72"/>
  <c r="L3428" i="72" s="1"/>
  <c r="K3429" i="72"/>
  <c r="L3429" i="72" s="1"/>
  <c r="K3430" i="72"/>
  <c r="L3430" i="72" s="1"/>
  <c r="K3431" i="72"/>
  <c r="L3431" i="72" s="1"/>
  <c r="K3432" i="72"/>
  <c r="L3432" i="72" s="1"/>
  <c r="K3433" i="72"/>
  <c r="L3433" i="72" s="1"/>
  <c r="K3434" i="72"/>
  <c r="L3434" i="72" s="1"/>
  <c r="K3435" i="72"/>
  <c r="L3435" i="72" s="1"/>
  <c r="K3436" i="72"/>
  <c r="L3436" i="72" s="1"/>
  <c r="K3437" i="72"/>
  <c r="L3437" i="72" s="1"/>
  <c r="K3438" i="72"/>
  <c r="L3438" i="72" s="1"/>
  <c r="K3439" i="72"/>
  <c r="L3439" i="72" s="1"/>
  <c r="K3440" i="72"/>
  <c r="L3440" i="72" s="1"/>
  <c r="K3441" i="72"/>
  <c r="L3441" i="72" s="1"/>
  <c r="K3442" i="72"/>
  <c r="L3442" i="72" s="1"/>
  <c r="K3443" i="72"/>
  <c r="L3443" i="72"/>
  <c r="K3444" i="72"/>
  <c r="L3444" i="72" s="1"/>
  <c r="K3445" i="72"/>
  <c r="L3445" i="72" s="1"/>
  <c r="K3446" i="72"/>
  <c r="L3446" i="72" s="1"/>
  <c r="K3447" i="72"/>
  <c r="L3447" i="72"/>
  <c r="K3448" i="72"/>
  <c r="L3448" i="72" s="1"/>
  <c r="K3449" i="72"/>
  <c r="L3449" i="72" s="1"/>
  <c r="K3450" i="72"/>
  <c r="L3450" i="72" s="1"/>
  <c r="K3451" i="72"/>
  <c r="L3451" i="72"/>
  <c r="K3452" i="72"/>
  <c r="L3452" i="72" s="1"/>
  <c r="K3453" i="72"/>
  <c r="L3453" i="72" s="1"/>
  <c r="K3454" i="72"/>
  <c r="L3454" i="72" s="1"/>
  <c r="K3455" i="72"/>
  <c r="L3455" i="72"/>
  <c r="K3456" i="72"/>
  <c r="L3456" i="72" s="1"/>
  <c r="K3457" i="72"/>
  <c r="L3457" i="72" s="1"/>
  <c r="K3458" i="72"/>
  <c r="L3458" i="72" s="1"/>
  <c r="K3459" i="72"/>
  <c r="L3459" i="72"/>
  <c r="K3460" i="72"/>
  <c r="L3460" i="72" s="1"/>
  <c r="K3461" i="72"/>
  <c r="L3461" i="72" s="1"/>
  <c r="K3462" i="72"/>
  <c r="L3462" i="72" s="1"/>
  <c r="K3463" i="72"/>
  <c r="L3463" i="72"/>
  <c r="K3464" i="72"/>
  <c r="L3464" i="72" s="1"/>
  <c r="K3465" i="72"/>
  <c r="L3465" i="72" s="1"/>
  <c r="K3466" i="72"/>
  <c r="L3466" i="72" s="1"/>
  <c r="K3467" i="72"/>
  <c r="L3467" i="72"/>
  <c r="K3468" i="72"/>
  <c r="L3468" i="72" s="1"/>
  <c r="K3469" i="72"/>
  <c r="L3469" i="72" s="1"/>
  <c r="K3470" i="72"/>
  <c r="L3470" i="72" s="1"/>
  <c r="K3471" i="72"/>
  <c r="L3471" i="72"/>
  <c r="K3472" i="72"/>
  <c r="L3472" i="72" s="1"/>
  <c r="K3473" i="72"/>
  <c r="L3473" i="72" s="1"/>
  <c r="K3474" i="72"/>
  <c r="L3474" i="72" s="1"/>
  <c r="K3475" i="72"/>
  <c r="L3475" i="72"/>
  <c r="K3476" i="72"/>
  <c r="L3476" i="72" s="1"/>
  <c r="K3477" i="72"/>
  <c r="L3477" i="72" s="1"/>
  <c r="K3478" i="72"/>
  <c r="L3478" i="72" s="1"/>
  <c r="K3479" i="72"/>
  <c r="L3479" i="72"/>
  <c r="K3480" i="72"/>
  <c r="L3480" i="72"/>
  <c r="K3481" i="72"/>
  <c r="L3481" i="72"/>
  <c r="K3482" i="72"/>
  <c r="L3482" i="72"/>
  <c r="K3483" i="72"/>
  <c r="L3483" i="72"/>
  <c r="K3484" i="72"/>
  <c r="L3484" i="72"/>
  <c r="K3485" i="72"/>
  <c r="L3485" i="72"/>
  <c r="K3486" i="72"/>
  <c r="L3486" i="72"/>
  <c r="K3487" i="72"/>
  <c r="L3487" i="72"/>
  <c r="K3488" i="72"/>
  <c r="L3488" i="72"/>
  <c r="K3489" i="72"/>
  <c r="L3489" i="72"/>
  <c r="K3490" i="72"/>
  <c r="L3490" i="72"/>
  <c r="K3491" i="72"/>
  <c r="L3491" i="72"/>
  <c r="K3492" i="72"/>
  <c r="L3492" i="72"/>
  <c r="K3493" i="72"/>
  <c r="L3493" i="72"/>
  <c r="K3494" i="72"/>
  <c r="L3494" i="72"/>
  <c r="K3495" i="72"/>
  <c r="L3495" i="72"/>
  <c r="K3496" i="72"/>
  <c r="L3496" i="72"/>
  <c r="K3497" i="72"/>
  <c r="L3497" i="72"/>
  <c r="K3498" i="72"/>
  <c r="L3498" i="72"/>
  <c r="K3499" i="72"/>
  <c r="L3499" i="72"/>
  <c r="K3500" i="72"/>
  <c r="L3500" i="72"/>
  <c r="K3501" i="72"/>
  <c r="L3501" i="72"/>
  <c r="K3502" i="72"/>
  <c r="L3502" i="72"/>
  <c r="K3503" i="72"/>
  <c r="L3503" i="72"/>
  <c r="K3504" i="72"/>
  <c r="L3504" i="72"/>
  <c r="K3505" i="72"/>
  <c r="L3505" i="72"/>
  <c r="K3506" i="72"/>
  <c r="L3506" i="72"/>
  <c r="K3507" i="72"/>
  <c r="L3507" i="72"/>
  <c r="K3508" i="72"/>
  <c r="L3508" i="72"/>
  <c r="K3509" i="72"/>
  <c r="L3509" i="72"/>
  <c r="K3510" i="72"/>
  <c r="L3510" i="72"/>
  <c r="K3511" i="72"/>
  <c r="L3511" i="72"/>
  <c r="K3512" i="72"/>
  <c r="L3512" i="72"/>
  <c r="K3513" i="72"/>
  <c r="L3513" i="72"/>
  <c r="K3514" i="72"/>
  <c r="L3514" i="72"/>
  <c r="K3515" i="72"/>
  <c r="L3515" i="72"/>
  <c r="K3516" i="72"/>
  <c r="L3516" i="72"/>
  <c r="K3517" i="72"/>
  <c r="L3517" i="72"/>
  <c r="K3518" i="72"/>
  <c r="L3518" i="72"/>
  <c r="K3519" i="72"/>
  <c r="L3519" i="72"/>
  <c r="K3520" i="72"/>
  <c r="L3520" i="72"/>
  <c r="K3521" i="72"/>
  <c r="L3521" i="72"/>
  <c r="K3522" i="72"/>
  <c r="L3522" i="72"/>
  <c r="K3523" i="72"/>
  <c r="L3523" i="72"/>
  <c r="K3524" i="72"/>
  <c r="L3524" i="72"/>
  <c r="K3525" i="72"/>
  <c r="L3525" i="72"/>
  <c r="K3526" i="72"/>
  <c r="L3526" i="72"/>
  <c r="K3527" i="72"/>
  <c r="L3527" i="72"/>
  <c r="K3528" i="72"/>
  <c r="L3528" i="72"/>
  <c r="K3529" i="72"/>
  <c r="L3529" i="72"/>
  <c r="K3530" i="72"/>
  <c r="L3530" i="72"/>
  <c r="K3531" i="72"/>
  <c r="L3531" i="72"/>
  <c r="K3532" i="72"/>
  <c r="L3532" i="72"/>
  <c r="K3533" i="72"/>
  <c r="L3533" i="72"/>
  <c r="K3534" i="72"/>
  <c r="L3534" i="72"/>
  <c r="K3535" i="72"/>
  <c r="L3535" i="72"/>
  <c r="K3536" i="72"/>
  <c r="L3536" i="72"/>
  <c r="K3537" i="72"/>
  <c r="L3537" i="72"/>
  <c r="K3538" i="72"/>
  <c r="L3538" i="72"/>
  <c r="K3539" i="72"/>
  <c r="L3539" i="72"/>
  <c r="K3540" i="72"/>
  <c r="L3540" i="72"/>
  <c r="K3541" i="72"/>
  <c r="L3541" i="72"/>
  <c r="K3542" i="72"/>
  <c r="L3542" i="72"/>
  <c r="K3543" i="72"/>
  <c r="L3543" i="72"/>
  <c r="K3544" i="72"/>
  <c r="L3544" i="72"/>
  <c r="K3545" i="72"/>
  <c r="L3545" i="72"/>
  <c r="K3546" i="72"/>
  <c r="L3546" i="72"/>
  <c r="K3547" i="72"/>
  <c r="L3547" i="72"/>
  <c r="K3548" i="72"/>
  <c r="L3548" i="72"/>
  <c r="K3549" i="72"/>
  <c r="L3549" i="72"/>
  <c r="K3550" i="72"/>
  <c r="L3550" i="72"/>
  <c r="K3551" i="72"/>
  <c r="L3551" i="72"/>
  <c r="K3552" i="72"/>
  <c r="L3552" i="72"/>
  <c r="K3553" i="72"/>
  <c r="L3553" i="72"/>
  <c r="K3554" i="72"/>
  <c r="L3554" i="72"/>
  <c r="K3555" i="72"/>
  <c r="L3555" i="72"/>
  <c r="K3556" i="72"/>
  <c r="L3556" i="72"/>
  <c r="K3557" i="72"/>
  <c r="L3557" i="72"/>
  <c r="K3558" i="72"/>
  <c r="L3558" i="72"/>
  <c r="K3559" i="72"/>
  <c r="L3559" i="72"/>
  <c r="K3560" i="72"/>
  <c r="L3560" i="72"/>
  <c r="K3561" i="72"/>
  <c r="L3561" i="72"/>
  <c r="K3562" i="72"/>
  <c r="L3562" i="72"/>
  <c r="K3563" i="72"/>
  <c r="L3563" i="72"/>
  <c r="K3564" i="72"/>
  <c r="L3564" i="72"/>
  <c r="K3565" i="72"/>
  <c r="L3565" i="72"/>
  <c r="K3566" i="72"/>
  <c r="L3566" i="72"/>
  <c r="K3567" i="72"/>
  <c r="L3567" i="72"/>
  <c r="K3568" i="72"/>
  <c r="L3568" i="72"/>
  <c r="K3569" i="72"/>
  <c r="L3569" i="72"/>
  <c r="K3570" i="72"/>
  <c r="L3570" i="72"/>
  <c r="K3571" i="72"/>
  <c r="L3571" i="72"/>
  <c r="K3572" i="72"/>
  <c r="L3572" i="72"/>
  <c r="K3573" i="72"/>
  <c r="L3573" i="72"/>
  <c r="K3574" i="72"/>
  <c r="L3574" i="72"/>
  <c r="K3575" i="72"/>
  <c r="L3575" i="72"/>
  <c r="K3576" i="72"/>
  <c r="L3576" i="72"/>
  <c r="K3577" i="72"/>
  <c r="L3577" i="72"/>
  <c r="K3578" i="72"/>
  <c r="L3578" i="72"/>
  <c r="K3579" i="72"/>
  <c r="L3579" i="72"/>
  <c r="K3580" i="72"/>
  <c r="L3580" i="72"/>
  <c r="K3581" i="72"/>
  <c r="L3581" i="72"/>
  <c r="K3582" i="72"/>
  <c r="L3582" i="72"/>
  <c r="K3583" i="72"/>
  <c r="L3583" i="72"/>
  <c r="K3584" i="72"/>
  <c r="L3584" i="72"/>
  <c r="K3585" i="72"/>
  <c r="L3585" i="72"/>
  <c r="K3586" i="72"/>
  <c r="L3586" i="72"/>
  <c r="K3587" i="72"/>
  <c r="L3587" i="72"/>
  <c r="K3588" i="72"/>
  <c r="L3588" i="72"/>
  <c r="K3589" i="72"/>
  <c r="L3589" i="72"/>
  <c r="K3590" i="72"/>
  <c r="L3590" i="72"/>
  <c r="K3591" i="72"/>
  <c r="L3591" i="72"/>
  <c r="K3592" i="72"/>
  <c r="L3592" i="72"/>
  <c r="K3593" i="72"/>
  <c r="L3593" i="72"/>
  <c r="K3594" i="72"/>
  <c r="L3594" i="72"/>
  <c r="K3595" i="72"/>
  <c r="L3595" i="72"/>
  <c r="K3596" i="72"/>
  <c r="L3596" i="72"/>
  <c r="K3597" i="72"/>
  <c r="L3597" i="72"/>
  <c r="K3598" i="72"/>
  <c r="L3598" i="72"/>
  <c r="K3599" i="72"/>
  <c r="L3599" i="72"/>
  <c r="K3600" i="72"/>
  <c r="L3600" i="72"/>
  <c r="K3601" i="72"/>
  <c r="L3601" i="72"/>
  <c r="K3602" i="72"/>
  <c r="L3602" i="72"/>
  <c r="K3603" i="72"/>
  <c r="L3603" i="72"/>
  <c r="K3604" i="72"/>
  <c r="L3604" i="72"/>
  <c r="K3605" i="72"/>
  <c r="L3605" i="72"/>
  <c r="K3606" i="72"/>
  <c r="L3606" i="72"/>
  <c r="K3607" i="72"/>
  <c r="L3607" i="72"/>
  <c r="K3608" i="72"/>
  <c r="L3608" i="72"/>
  <c r="K3609" i="72"/>
  <c r="L3609" i="72"/>
  <c r="K3610" i="72"/>
  <c r="L3610" i="72"/>
  <c r="K3611" i="72"/>
  <c r="L3611" i="72"/>
  <c r="K3612" i="72"/>
  <c r="L3612" i="72"/>
  <c r="K3613" i="72"/>
  <c r="L3613" i="72"/>
  <c r="K3614" i="72"/>
  <c r="L3614" i="72"/>
  <c r="K3615" i="72"/>
  <c r="L3615" i="72"/>
  <c r="K3616" i="72"/>
  <c r="L3616" i="72"/>
  <c r="K3617" i="72"/>
  <c r="L3617" i="72"/>
  <c r="K3618" i="72"/>
  <c r="L3618" i="72"/>
  <c r="K3619" i="72"/>
  <c r="L3619" i="72"/>
  <c r="K3620" i="72"/>
  <c r="L3620" i="72"/>
  <c r="K3621" i="72"/>
  <c r="L3621" i="72"/>
  <c r="K3622" i="72"/>
  <c r="L3622" i="72"/>
  <c r="K3623" i="72"/>
  <c r="L3623" i="72"/>
  <c r="K3624" i="72"/>
  <c r="L3624" i="72"/>
  <c r="K3625" i="72"/>
  <c r="L3625" i="72"/>
  <c r="K3626" i="72"/>
  <c r="L3626" i="72"/>
  <c r="K3627" i="72"/>
  <c r="L3627" i="72"/>
  <c r="K3628" i="72"/>
  <c r="L3628" i="72"/>
  <c r="K3629" i="72"/>
  <c r="L3629" i="72"/>
  <c r="K3630" i="72"/>
  <c r="L3630" i="72"/>
  <c r="K3631" i="72"/>
  <c r="L3631" i="72"/>
  <c r="K3632" i="72"/>
  <c r="L3632" i="72"/>
  <c r="K3633" i="72"/>
  <c r="L3633" i="72"/>
  <c r="K3634" i="72"/>
  <c r="L3634" i="72"/>
  <c r="K3635" i="72"/>
  <c r="L3635" i="72"/>
  <c r="K3636" i="72"/>
  <c r="L3636" i="72"/>
  <c r="K3637" i="72"/>
  <c r="L3637" i="72"/>
  <c r="K3638" i="72"/>
  <c r="L3638" i="72" s="1"/>
  <c r="K3639" i="72"/>
  <c r="L3639" i="72"/>
  <c r="K3640" i="72"/>
  <c r="L3640" i="72" s="1"/>
  <c r="K3641" i="72"/>
  <c r="L3641" i="72"/>
  <c r="K3642" i="72"/>
  <c r="L3642" i="72" s="1"/>
  <c r="K3643" i="72"/>
  <c r="L3643" i="72"/>
  <c r="K3644" i="72"/>
  <c r="L3644" i="72" s="1"/>
  <c r="K3645" i="72"/>
  <c r="L3645" i="72"/>
  <c r="K3646" i="72"/>
  <c r="L3646" i="72" s="1"/>
  <c r="K3647" i="72"/>
  <c r="L3647" i="72"/>
  <c r="K3648" i="72"/>
  <c r="L3648" i="72" s="1"/>
  <c r="K3649" i="72"/>
  <c r="L3649" i="72"/>
  <c r="K3650" i="72"/>
  <c r="L3650" i="72" s="1"/>
  <c r="K3651" i="72"/>
  <c r="L3651" i="72"/>
  <c r="K3652" i="72"/>
  <c r="L3652" i="72" s="1"/>
  <c r="K3653" i="72"/>
  <c r="L3653" i="72"/>
  <c r="K3654" i="72"/>
  <c r="L3654" i="72" s="1"/>
  <c r="K3655" i="72"/>
  <c r="L3655" i="72"/>
  <c r="K3656" i="72"/>
  <c r="L3656" i="72" s="1"/>
  <c r="K3657" i="72"/>
  <c r="L3657" i="72"/>
  <c r="K3658" i="72"/>
  <c r="L3658" i="72" s="1"/>
  <c r="K3659" i="72"/>
  <c r="L3659" i="72"/>
  <c r="K3660" i="72"/>
  <c r="L3660" i="72" s="1"/>
  <c r="K3661" i="72"/>
  <c r="L3661" i="72"/>
  <c r="K3662" i="72"/>
  <c r="L3662" i="72" s="1"/>
  <c r="K3663" i="72"/>
  <c r="L3663" i="72"/>
  <c r="K3664" i="72"/>
  <c r="L3664" i="72" s="1"/>
  <c r="K3665" i="72"/>
  <c r="L3665" i="72"/>
  <c r="K3666" i="72"/>
  <c r="L3666" i="72" s="1"/>
  <c r="K3667" i="72"/>
  <c r="L3667" i="72"/>
  <c r="K3668" i="72"/>
  <c r="L3668" i="72" s="1"/>
  <c r="K3669" i="72"/>
  <c r="L3669" i="72"/>
  <c r="K3670" i="72"/>
  <c r="L3670" i="72" s="1"/>
  <c r="K3671" i="72"/>
  <c r="L3671" i="72"/>
  <c r="K3672" i="72"/>
  <c r="L3672" i="72" s="1"/>
  <c r="K3673" i="72"/>
  <c r="L3673" i="72"/>
  <c r="K3674" i="72"/>
  <c r="L3674" i="72" s="1"/>
  <c r="K3675" i="72"/>
  <c r="L3675" i="72"/>
  <c r="K3676" i="72"/>
  <c r="L3676" i="72" s="1"/>
  <c r="K3677" i="72"/>
  <c r="L3677" i="72"/>
  <c r="K3678" i="72"/>
  <c r="L3678" i="72" s="1"/>
  <c r="K3679" i="72"/>
  <c r="L3679" i="72"/>
  <c r="K3680" i="72"/>
  <c r="L3680" i="72" s="1"/>
  <c r="K3681" i="72"/>
  <c r="L3681" i="72"/>
  <c r="K3682" i="72"/>
  <c r="L3682" i="72" s="1"/>
  <c r="K3683" i="72"/>
  <c r="L3683" i="72"/>
  <c r="K3684" i="72"/>
  <c r="L3684" i="72" s="1"/>
  <c r="K3685" i="72"/>
  <c r="L3685" i="72"/>
  <c r="K3686" i="72"/>
  <c r="L3686" i="72" s="1"/>
  <c r="K3687" i="72"/>
  <c r="L3687" i="72"/>
  <c r="K3688" i="72"/>
  <c r="L3688" i="72" s="1"/>
  <c r="K3689" i="72"/>
  <c r="L3689" i="72"/>
  <c r="K3690" i="72"/>
  <c r="L3690" i="72" s="1"/>
  <c r="K3691" i="72"/>
  <c r="L3691" i="72"/>
  <c r="K3692" i="72"/>
  <c r="L3692" i="72" s="1"/>
  <c r="K3693" i="72"/>
  <c r="L3693" i="72"/>
  <c r="K3694" i="72"/>
  <c r="L3694" i="72" s="1"/>
  <c r="K3695" i="72"/>
  <c r="L3695" i="72"/>
  <c r="K3696" i="72"/>
  <c r="L3696" i="72" s="1"/>
  <c r="K3697" i="72"/>
  <c r="L3697" i="72"/>
  <c r="K3698" i="72"/>
  <c r="L3698" i="72" s="1"/>
  <c r="K3699" i="72"/>
  <c r="L3699" i="72"/>
  <c r="K3700" i="72"/>
  <c r="L3700" i="72" s="1"/>
  <c r="K3701" i="72"/>
  <c r="L3701" i="72"/>
  <c r="K3702" i="72"/>
  <c r="L3702" i="72" s="1"/>
  <c r="K3703" i="72"/>
  <c r="L3703" i="72"/>
  <c r="K3704" i="72"/>
  <c r="L3704" i="72" s="1"/>
  <c r="K3705" i="72"/>
  <c r="L3705" i="72"/>
  <c r="K3706" i="72"/>
  <c r="L3706" i="72" s="1"/>
  <c r="K3707" i="72"/>
  <c r="L3707" i="72"/>
  <c r="K3708" i="72"/>
  <c r="L3708" i="72" s="1"/>
  <c r="K3709" i="72"/>
  <c r="L3709" i="72"/>
  <c r="K3710" i="72"/>
  <c r="L3710" i="72" s="1"/>
  <c r="K3711" i="72"/>
  <c r="L3711" i="72"/>
  <c r="K3712" i="72"/>
  <c r="L3712" i="72" s="1"/>
  <c r="K3713" i="72"/>
  <c r="L3713" i="72"/>
  <c r="K3714" i="72"/>
  <c r="L3714" i="72" s="1"/>
  <c r="K3715" i="72"/>
  <c r="L3715" i="72"/>
  <c r="K3716" i="72"/>
  <c r="L3716" i="72" s="1"/>
  <c r="K3717" i="72"/>
  <c r="L3717" i="72"/>
  <c r="K3718" i="72"/>
  <c r="L3718" i="72" s="1"/>
  <c r="K3719" i="72"/>
  <c r="L3719" i="72"/>
  <c r="K3720" i="72"/>
  <c r="L3720" i="72" s="1"/>
  <c r="K3721" i="72"/>
  <c r="L3721" i="72"/>
  <c r="K3722" i="72"/>
  <c r="L3722" i="72" s="1"/>
  <c r="K3723" i="72"/>
  <c r="L3723" i="72"/>
  <c r="K3724" i="72"/>
  <c r="L3724" i="72" s="1"/>
  <c r="K3725" i="72"/>
  <c r="L3725" i="72"/>
  <c r="K3726" i="72"/>
  <c r="L3726" i="72" s="1"/>
  <c r="K3727" i="72"/>
  <c r="L3727" i="72"/>
  <c r="K3728" i="72"/>
  <c r="L3728" i="72" s="1"/>
  <c r="K3729" i="72"/>
  <c r="L3729" i="72"/>
  <c r="K3730" i="72"/>
  <c r="L3730" i="72" s="1"/>
  <c r="K3731" i="72"/>
  <c r="L3731" i="72"/>
  <c r="K3732" i="72"/>
  <c r="L3732" i="72" s="1"/>
  <c r="K3733" i="72"/>
  <c r="L3733" i="72"/>
  <c r="K3734" i="72"/>
  <c r="L3734" i="72" s="1"/>
  <c r="K3735" i="72"/>
  <c r="L3735" i="72"/>
  <c r="K3736" i="72"/>
  <c r="L3736" i="72" s="1"/>
  <c r="K3737" i="72"/>
  <c r="L3737" i="72"/>
  <c r="K3738" i="72"/>
  <c r="L3738" i="72" s="1"/>
  <c r="K3739" i="72"/>
  <c r="L3739" i="72"/>
  <c r="K3740" i="72"/>
  <c r="L3740" i="72" s="1"/>
  <c r="K3741" i="72"/>
  <c r="L3741" i="72"/>
  <c r="K3742" i="72"/>
  <c r="L3742" i="72" s="1"/>
  <c r="K3743" i="72"/>
  <c r="L3743" i="72"/>
  <c r="K3744" i="72"/>
  <c r="L3744" i="72" s="1"/>
  <c r="K3745" i="72"/>
  <c r="L3745" i="72"/>
  <c r="K3746" i="72"/>
  <c r="L3746" i="72" s="1"/>
  <c r="K3747" i="72"/>
  <c r="L3747" i="72"/>
  <c r="K3748" i="72"/>
  <c r="L3748" i="72" s="1"/>
  <c r="K3749" i="72"/>
  <c r="L3749" i="72"/>
  <c r="K3750" i="72"/>
  <c r="L3750" i="72" s="1"/>
  <c r="K3751" i="72"/>
  <c r="L3751" i="72"/>
  <c r="K3752" i="72"/>
  <c r="L3752" i="72" s="1"/>
  <c r="K3753" i="72"/>
  <c r="L3753" i="72"/>
  <c r="K3754" i="72"/>
  <c r="L3754" i="72" s="1"/>
  <c r="K3755" i="72"/>
  <c r="L3755" i="72"/>
  <c r="K3756" i="72"/>
  <c r="L3756" i="72" s="1"/>
  <c r="K3757" i="72"/>
  <c r="L3757" i="72"/>
  <c r="K3758" i="72"/>
  <c r="L3758" i="72" s="1"/>
  <c r="K3759" i="72"/>
  <c r="L3759" i="72"/>
  <c r="K3760" i="72"/>
  <c r="L3760" i="72" s="1"/>
  <c r="K3761" i="72"/>
  <c r="L3761" i="72"/>
  <c r="K3762" i="72"/>
  <c r="L3762" i="72" s="1"/>
  <c r="K3763" i="72"/>
  <c r="L3763" i="72"/>
  <c r="K3764" i="72"/>
  <c r="L3764" i="72" s="1"/>
  <c r="K3765" i="72"/>
  <c r="L3765" i="72"/>
  <c r="K3766" i="72"/>
  <c r="L3766" i="72" s="1"/>
  <c r="K3767" i="72"/>
  <c r="L3767" i="72"/>
  <c r="K3768" i="72"/>
  <c r="L3768" i="72" s="1"/>
  <c r="K3769" i="72"/>
  <c r="L3769" i="72"/>
  <c r="K3770" i="72"/>
  <c r="L3770" i="72" s="1"/>
  <c r="K3771" i="72"/>
  <c r="L3771" i="72"/>
  <c r="K3772" i="72"/>
  <c r="L3772" i="72" s="1"/>
  <c r="K3773" i="72"/>
  <c r="L3773" i="72"/>
  <c r="K3774" i="72"/>
  <c r="L3774" i="72" s="1"/>
  <c r="K3775" i="72"/>
  <c r="L3775" i="72"/>
  <c r="K3776" i="72"/>
  <c r="L3776" i="72" s="1"/>
  <c r="K3777" i="72"/>
  <c r="L3777" i="72"/>
  <c r="K3778" i="72"/>
  <c r="L3778" i="72" s="1"/>
  <c r="K3779" i="72"/>
  <c r="L3779" i="72"/>
  <c r="K3780" i="72"/>
  <c r="L3780" i="72" s="1"/>
  <c r="K3781" i="72"/>
  <c r="L3781" i="72"/>
  <c r="K3782" i="72"/>
  <c r="L3782" i="72" s="1"/>
  <c r="K3783" i="72"/>
  <c r="L3783" i="72"/>
  <c r="K3784" i="72"/>
  <c r="L3784" i="72" s="1"/>
  <c r="K3785" i="72"/>
  <c r="L3785" i="72"/>
  <c r="K3786" i="72"/>
  <c r="L3786" i="72" s="1"/>
  <c r="K3787" i="72"/>
  <c r="L3787" i="72"/>
  <c r="K3788" i="72"/>
  <c r="L3788" i="72" s="1"/>
  <c r="K3789" i="72"/>
  <c r="L3789" i="72"/>
  <c r="K3790" i="72"/>
  <c r="L3790" i="72" s="1"/>
  <c r="K3791" i="72"/>
  <c r="L3791" i="72"/>
  <c r="K3792" i="72"/>
  <c r="L3792" i="72" s="1"/>
  <c r="K3793" i="72"/>
  <c r="L3793" i="72"/>
  <c r="K3794" i="72"/>
  <c r="L3794" i="72" s="1"/>
  <c r="K3795" i="72"/>
  <c r="L3795" i="72"/>
  <c r="K3796" i="72"/>
  <c r="L3796" i="72" s="1"/>
  <c r="K3797" i="72"/>
  <c r="L3797" i="72"/>
  <c r="K3798" i="72"/>
  <c r="L3798" i="72" s="1"/>
  <c r="K3799" i="72"/>
  <c r="L3799" i="72"/>
  <c r="K3800" i="72"/>
  <c r="L3800" i="72" s="1"/>
  <c r="K3801" i="72"/>
  <c r="L3801" i="72"/>
  <c r="K3802" i="72"/>
  <c r="L3802" i="72" s="1"/>
  <c r="K3803" i="72"/>
  <c r="L3803" i="72"/>
  <c r="K3804" i="72"/>
  <c r="L3804" i="72" s="1"/>
  <c r="K3805" i="72"/>
  <c r="L3805" i="72"/>
  <c r="K3806" i="72"/>
  <c r="L3806" i="72" s="1"/>
  <c r="K3807" i="72"/>
  <c r="L3807" i="72"/>
  <c r="K3808" i="72"/>
  <c r="L3808" i="72" s="1"/>
  <c r="K3809" i="72"/>
  <c r="L3809" i="72"/>
  <c r="K3810" i="72"/>
  <c r="L3810" i="72" s="1"/>
  <c r="K3811" i="72"/>
  <c r="L3811" i="72"/>
  <c r="K3812" i="72"/>
  <c r="L3812" i="72" s="1"/>
  <c r="K3813" i="72"/>
  <c r="L3813" i="72"/>
  <c r="K3814" i="72"/>
  <c r="L3814" i="72" s="1"/>
  <c r="K3815" i="72"/>
  <c r="L3815" i="72"/>
  <c r="K3816" i="72"/>
  <c r="L3816" i="72" s="1"/>
  <c r="K3817" i="72"/>
  <c r="L3817" i="72"/>
  <c r="K3818" i="72"/>
  <c r="L3818" i="72" s="1"/>
  <c r="K3819" i="72"/>
  <c r="L3819" i="72"/>
  <c r="K3820" i="72"/>
  <c r="L3820" i="72" s="1"/>
  <c r="K3821" i="72"/>
  <c r="L3821" i="72"/>
  <c r="K3822" i="72"/>
  <c r="L3822" i="72" s="1"/>
  <c r="K3823" i="72"/>
  <c r="L3823" i="72"/>
  <c r="K3824" i="72"/>
  <c r="L3824" i="72" s="1"/>
  <c r="K3825" i="72"/>
  <c r="L3825" i="72"/>
  <c r="K3826" i="72"/>
  <c r="L3826" i="72" s="1"/>
  <c r="K3827" i="72"/>
  <c r="L3827" i="72"/>
  <c r="K3828" i="72"/>
  <c r="L3828" i="72" s="1"/>
  <c r="K3829" i="72"/>
  <c r="L3829" i="72"/>
  <c r="K3830" i="72"/>
  <c r="L3830" i="72" s="1"/>
  <c r="K3831" i="72"/>
  <c r="L3831" i="72"/>
  <c r="K3832" i="72"/>
  <c r="L3832" i="72" s="1"/>
  <c r="K3833" i="72"/>
  <c r="L3833" i="72"/>
  <c r="K3834" i="72"/>
  <c r="L3834" i="72" s="1"/>
  <c r="K3835" i="72"/>
  <c r="L3835" i="72"/>
  <c r="K3836" i="72"/>
  <c r="L3836" i="72" s="1"/>
  <c r="K3837" i="72"/>
  <c r="L3837" i="72"/>
  <c r="K3838" i="72"/>
  <c r="L3838" i="72" s="1"/>
  <c r="K3839" i="72"/>
  <c r="L3839" i="72"/>
  <c r="K3840" i="72"/>
  <c r="L3840" i="72" s="1"/>
  <c r="K3841" i="72"/>
  <c r="L3841" i="72"/>
  <c r="K3842" i="72"/>
  <c r="L3842" i="72" s="1"/>
  <c r="K3843" i="72"/>
  <c r="L3843" i="72"/>
  <c r="K3844" i="72"/>
  <c r="L3844" i="72" s="1"/>
  <c r="K3845" i="72"/>
  <c r="L3845" i="72"/>
  <c r="K3846" i="72"/>
  <c r="L3846" i="72" s="1"/>
  <c r="K3847" i="72"/>
  <c r="L3847" i="72"/>
  <c r="K3848" i="72"/>
  <c r="L3848" i="72" s="1"/>
  <c r="K3849" i="72"/>
  <c r="L3849" i="72"/>
  <c r="K3850" i="72"/>
  <c r="L3850" i="72" s="1"/>
  <c r="K3851" i="72"/>
  <c r="L3851" i="72"/>
  <c r="K3852" i="72"/>
  <c r="L3852" i="72" s="1"/>
  <c r="K3853" i="72"/>
  <c r="L3853" i="72"/>
  <c r="K3854" i="72"/>
  <c r="L3854" i="72" s="1"/>
  <c r="K3855" i="72"/>
  <c r="L3855" i="72"/>
  <c r="K3856" i="72"/>
  <c r="L3856" i="72" s="1"/>
  <c r="K3857" i="72"/>
  <c r="L3857" i="72"/>
  <c r="K3858" i="72"/>
  <c r="L3858" i="72" s="1"/>
  <c r="K3859" i="72"/>
  <c r="L3859" i="72"/>
  <c r="K3860" i="72"/>
  <c r="L3860" i="72" s="1"/>
  <c r="K3861" i="72"/>
  <c r="L3861" i="72"/>
  <c r="K3862" i="72"/>
  <c r="L3862" i="72" s="1"/>
  <c r="K3863" i="72"/>
  <c r="L3863" i="72"/>
  <c r="K3864" i="72"/>
  <c r="L3864" i="72" s="1"/>
  <c r="K3865" i="72"/>
  <c r="L3865" i="72"/>
  <c r="K3866" i="72"/>
  <c r="L3866" i="72" s="1"/>
  <c r="K3867" i="72"/>
  <c r="L3867" i="72"/>
  <c r="K3868" i="72"/>
  <c r="L3868" i="72" s="1"/>
  <c r="K3869" i="72"/>
  <c r="L3869" i="72"/>
  <c r="K3870" i="72"/>
  <c r="L3870" i="72" s="1"/>
  <c r="K3871" i="72"/>
  <c r="L3871" i="72"/>
  <c r="K3872" i="72"/>
  <c r="L3872" i="72" s="1"/>
  <c r="K3873" i="72"/>
  <c r="L3873" i="72"/>
  <c r="K3874" i="72"/>
  <c r="L3874" i="72" s="1"/>
  <c r="K3875" i="72"/>
  <c r="L3875" i="72"/>
  <c r="K3876" i="72"/>
  <c r="L3876" i="72" s="1"/>
  <c r="K3877" i="72"/>
  <c r="L3877" i="72"/>
  <c r="K3878" i="72"/>
  <c r="L3878" i="72" s="1"/>
  <c r="K3879" i="72"/>
  <c r="L3879" i="72"/>
  <c r="K3880" i="72"/>
  <c r="L3880" i="72" s="1"/>
  <c r="K3881" i="72"/>
  <c r="L3881" i="72"/>
  <c r="K3882" i="72"/>
  <c r="L3882" i="72" s="1"/>
  <c r="K3883" i="72"/>
  <c r="L3883" i="72"/>
  <c r="K3884" i="72"/>
  <c r="L3884" i="72" s="1"/>
  <c r="K3885" i="72"/>
  <c r="L3885" i="72"/>
  <c r="K3886" i="72"/>
  <c r="L3886" i="72" s="1"/>
  <c r="K3887" i="72"/>
  <c r="L3887" i="72"/>
  <c r="K3888" i="72"/>
  <c r="L3888" i="72" s="1"/>
  <c r="K3889" i="72"/>
  <c r="L3889" i="72"/>
  <c r="K3890" i="72"/>
  <c r="L3890" i="72" s="1"/>
  <c r="K3891" i="72"/>
  <c r="L3891" i="72"/>
  <c r="K3892" i="72"/>
  <c r="L3892" i="72" s="1"/>
  <c r="K3893" i="72"/>
  <c r="L3893" i="72"/>
  <c r="K3894" i="72"/>
  <c r="L3894" i="72" s="1"/>
  <c r="K3895" i="72"/>
  <c r="L3895" i="72"/>
  <c r="K3896" i="72"/>
  <c r="L3896" i="72" s="1"/>
  <c r="K3897" i="72"/>
  <c r="L3897" i="72"/>
  <c r="K3898" i="72"/>
  <c r="L3898" i="72" s="1"/>
  <c r="K3899" i="72"/>
  <c r="L3899" i="72"/>
  <c r="K3900" i="72"/>
  <c r="L3900" i="72" s="1"/>
  <c r="K3901" i="72"/>
  <c r="L3901" i="72"/>
  <c r="K3902" i="72"/>
  <c r="L3902" i="72" s="1"/>
  <c r="K3903" i="72"/>
  <c r="L3903" i="72"/>
  <c r="K3904" i="72"/>
  <c r="L3904" i="72" s="1"/>
  <c r="K3905" i="72"/>
  <c r="L3905" i="72"/>
  <c r="K3906" i="72"/>
  <c r="L3906" i="72" s="1"/>
  <c r="K3907" i="72"/>
  <c r="L3907" i="72"/>
  <c r="K3908" i="72"/>
  <c r="L3908" i="72" s="1"/>
  <c r="K3909" i="72"/>
  <c r="L3909" i="72"/>
  <c r="K3910" i="72"/>
  <c r="L3910" i="72" s="1"/>
  <c r="K3911" i="72"/>
  <c r="L3911" i="72"/>
  <c r="K3912" i="72"/>
  <c r="L3912" i="72" s="1"/>
  <c r="K3913" i="72"/>
  <c r="L3913" i="72"/>
  <c r="K3914" i="72"/>
  <c r="L3914" i="72" s="1"/>
  <c r="K3915" i="72"/>
  <c r="L3915" i="72"/>
  <c r="K3916" i="72"/>
  <c r="L3916" i="72" s="1"/>
  <c r="K3917" i="72"/>
  <c r="L3917" i="72"/>
  <c r="K3918" i="72"/>
  <c r="L3918" i="72" s="1"/>
  <c r="K3919" i="72"/>
  <c r="L3919" i="72"/>
  <c r="K3920" i="72"/>
  <c r="L3920" i="72" s="1"/>
  <c r="K3921" i="72"/>
  <c r="L3921" i="72"/>
  <c r="K3922" i="72"/>
  <c r="L3922" i="72" s="1"/>
  <c r="K3923" i="72"/>
  <c r="L3923" i="72"/>
  <c r="K3924" i="72"/>
  <c r="L3924" i="72" s="1"/>
  <c r="K3925" i="72"/>
  <c r="L3925" i="72"/>
  <c r="K3926" i="72"/>
  <c r="L3926" i="72" s="1"/>
  <c r="K3927" i="72"/>
  <c r="L3927" i="72"/>
  <c r="K3928" i="72"/>
  <c r="L3928" i="72" s="1"/>
  <c r="K3929" i="72"/>
  <c r="L3929" i="72"/>
  <c r="K3930" i="72"/>
  <c r="L3930" i="72" s="1"/>
  <c r="K3931" i="72"/>
  <c r="L3931" i="72"/>
  <c r="K3932" i="72"/>
  <c r="L3932" i="72" s="1"/>
  <c r="K3933" i="72"/>
  <c r="L3933" i="72"/>
  <c r="K3934" i="72"/>
  <c r="L3934" i="72" s="1"/>
  <c r="K3935" i="72"/>
  <c r="L3935" i="72"/>
  <c r="K3936" i="72"/>
  <c r="L3936" i="72" s="1"/>
  <c r="K3937" i="72"/>
  <c r="L3937" i="72"/>
  <c r="K3938" i="72"/>
  <c r="L3938" i="72" s="1"/>
  <c r="K3939" i="72"/>
  <c r="L3939" i="72"/>
  <c r="K3940" i="72"/>
  <c r="L3940" i="72" s="1"/>
  <c r="K3941" i="72"/>
  <c r="L3941" i="72"/>
  <c r="K3942" i="72"/>
  <c r="L3942" i="72" s="1"/>
  <c r="K3943" i="72"/>
  <c r="L3943" i="72"/>
  <c r="K3944" i="72"/>
  <c r="L3944" i="72" s="1"/>
  <c r="K3945" i="72"/>
  <c r="L3945" i="72"/>
  <c r="K3946" i="72"/>
  <c r="L3946" i="72" s="1"/>
  <c r="K3947" i="72"/>
  <c r="L3947" i="72"/>
  <c r="K3948" i="72"/>
  <c r="L3948" i="72" s="1"/>
  <c r="K3949" i="72"/>
  <c r="L3949" i="72"/>
  <c r="K3950" i="72"/>
  <c r="L3950" i="72" s="1"/>
  <c r="K3951" i="72"/>
  <c r="L3951" i="72"/>
  <c r="K3952" i="72"/>
  <c r="L3952" i="72" s="1"/>
  <c r="K3953" i="72"/>
  <c r="L3953" i="72"/>
  <c r="K3954" i="72"/>
  <c r="L3954" i="72" s="1"/>
  <c r="K3955" i="72"/>
  <c r="L3955" i="72"/>
  <c r="K3956" i="72"/>
  <c r="L3956" i="72" s="1"/>
  <c r="K3957" i="72"/>
  <c r="L3957" i="72"/>
  <c r="K3958" i="72"/>
  <c r="L3958" i="72" s="1"/>
  <c r="K3959" i="72"/>
  <c r="L3959" i="72"/>
  <c r="K3960" i="72"/>
  <c r="L3960" i="72" s="1"/>
  <c r="K3961" i="72"/>
  <c r="L3961" i="72"/>
  <c r="K3962" i="72"/>
  <c r="L3962" i="72" s="1"/>
  <c r="K3963" i="72"/>
  <c r="L3963" i="72" s="1"/>
  <c r="K3964" i="72"/>
  <c r="L3964" i="72" s="1"/>
  <c r="K3965" i="72"/>
  <c r="L3965" i="72"/>
  <c r="K3966" i="72"/>
  <c r="L3966" i="72" s="1"/>
  <c r="K3967" i="72"/>
  <c r="L3967" i="72" s="1"/>
  <c r="K3968" i="72"/>
  <c r="L3968" i="72" s="1"/>
  <c r="K3969" i="72"/>
  <c r="L3969" i="72"/>
  <c r="K3970" i="72"/>
  <c r="L3970" i="72" s="1"/>
  <c r="K3971" i="72"/>
  <c r="L3971" i="72" s="1"/>
  <c r="K3972" i="72"/>
  <c r="L3972" i="72" s="1"/>
  <c r="K3973" i="72"/>
  <c r="L3973" i="72"/>
  <c r="K3974" i="72"/>
  <c r="L3974" i="72" s="1"/>
  <c r="K3975" i="72"/>
  <c r="L3975" i="72" s="1"/>
  <c r="K3976" i="72"/>
  <c r="L3976" i="72" s="1"/>
  <c r="K3977" i="72"/>
  <c r="L3977" i="72"/>
  <c r="K3978" i="72"/>
  <c r="L3978" i="72"/>
  <c r="K3979" i="72"/>
  <c r="L3979" i="72"/>
  <c r="K3980" i="72"/>
  <c r="L3980" i="72"/>
  <c r="K3981" i="72"/>
  <c r="L3981" i="72"/>
  <c r="K3982" i="72"/>
  <c r="L3982" i="72"/>
  <c r="K3983" i="72"/>
  <c r="L3983" i="72"/>
  <c r="K3984" i="72"/>
  <c r="L3984" i="72"/>
  <c r="K3985" i="72"/>
  <c r="L3985" i="72"/>
  <c r="K3986" i="72"/>
  <c r="L3986" i="72"/>
  <c r="K3987" i="72"/>
  <c r="L3987" i="72"/>
  <c r="K3988" i="72"/>
  <c r="L3988" i="72"/>
  <c r="K3989" i="72"/>
  <c r="L3989" i="72"/>
  <c r="K3990" i="72"/>
  <c r="L3990" i="72"/>
  <c r="K3991" i="72"/>
  <c r="L3991" i="72"/>
  <c r="K3992" i="72"/>
  <c r="L3992" i="72"/>
  <c r="K3993" i="72"/>
  <c r="L3993" i="72"/>
  <c r="K3994" i="72"/>
  <c r="L3994" i="72"/>
  <c r="K3995" i="72"/>
  <c r="L3995" i="72"/>
  <c r="K3996" i="72"/>
  <c r="L3996" i="72"/>
  <c r="K3997" i="72"/>
  <c r="L3997" i="72"/>
  <c r="K3998" i="72"/>
  <c r="L3998" i="72"/>
  <c r="K3999" i="72"/>
  <c r="L3999" i="72"/>
  <c r="K4000" i="72"/>
  <c r="L4000" i="72"/>
  <c r="K4001" i="72"/>
  <c r="L4001" i="72"/>
  <c r="K4002" i="72"/>
  <c r="L4002" i="72"/>
  <c r="K4003" i="72"/>
  <c r="L4003" i="72"/>
  <c r="K4004" i="72"/>
  <c r="L4004" i="72"/>
  <c r="K4005" i="72"/>
  <c r="L4005" i="72"/>
  <c r="K4006" i="72"/>
  <c r="L4006" i="72"/>
  <c r="K4007" i="72"/>
  <c r="L4007" i="72"/>
  <c r="K4008" i="72"/>
  <c r="L4008" i="72"/>
  <c r="K4009" i="72"/>
  <c r="L4009" i="72"/>
  <c r="K4010" i="72"/>
  <c r="L4010" i="72"/>
  <c r="K4011" i="72"/>
  <c r="L4011" i="72"/>
  <c r="K4012" i="72"/>
  <c r="L4012" i="72"/>
  <c r="K4013" i="72"/>
  <c r="L4013" i="72"/>
  <c r="K4014" i="72"/>
  <c r="L4014" i="72"/>
  <c r="K4015" i="72"/>
  <c r="L4015" i="72"/>
  <c r="K4016" i="72"/>
  <c r="L4016" i="72"/>
  <c r="K4017" i="72"/>
  <c r="L4017" i="72"/>
  <c r="K4018" i="72"/>
  <c r="L4018" i="72"/>
  <c r="K4019" i="72"/>
  <c r="L4019" i="72"/>
  <c r="K4020" i="72"/>
  <c r="L4020" i="72"/>
  <c r="K4021" i="72"/>
  <c r="L4021" i="72"/>
  <c r="K4022" i="72"/>
  <c r="L4022" i="72"/>
  <c r="K4023" i="72"/>
  <c r="L4023" i="72"/>
  <c r="K4024" i="72"/>
  <c r="L4024" i="72"/>
  <c r="K4025" i="72"/>
  <c r="L4025" i="72"/>
  <c r="K4026" i="72"/>
  <c r="L4026" i="72"/>
  <c r="K4027" i="72"/>
  <c r="L4027" i="72"/>
  <c r="K4028" i="72"/>
  <c r="L4028" i="72"/>
  <c r="K4029" i="72"/>
  <c r="L4029" i="72"/>
  <c r="K4030" i="72"/>
  <c r="L4030" i="72"/>
  <c r="K4031" i="72"/>
  <c r="L4031" i="72"/>
  <c r="K4032" i="72"/>
  <c r="L4032" i="72"/>
  <c r="K4033" i="72"/>
  <c r="L4033" i="72"/>
  <c r="K4034" i="72"/>
  <c r="L4034" i="72"/>
  <c r="K4035" i="72"/>
  <c r="L4035" i="72"/>
  <c r="K4036" i="72"/>
  <c r="L4036" i="72"/>
  <c r="K4037" i="72"/>
  <c r="L4037" i="72"/>
  <c r="K4038" i="72"/>
  <c r="L4038" i="72"/>
  <c r="K4039" i="72"/>
  <c r="L4039" i="72"/>
  <c r="K4040" i="72"/>
  <c r="L4040" i="72"/>
  <c r="K4041" i="72"/>
  <c r="L4041" i="72"/>
  <c r="K4042" i="72"/>
  <c r="L4042" i="72"/>
  <c r="K4043" i="72"/>
  <c r="L4043" i="72"/>
  <c r="K4044" i="72"/>
  <c r="L4044" i="72"/>
  <c r="K4045" i="72"/>
  <c r="L4045" i="72"/>
  <c r="K4046" i="72"/>
  <c r="L4046" i="72"/>
  <c r="K4047" i="72"/>
  <c r="L4047" i="72"/>
  <c r="K4048" i="72"/>
  <c r="L4048" i="72"/>
  <c r="K4049" i="72"/>
  <c r="L4049" i="72"/>
  <c r="K4050" i="72"/>
  <c r="L4050" i="72"/>
  <c r="K4051" i="72"/>
  <c r="L4051" i="72"/>
  <c r="K4052" i="72"/>
  <c r="L4052" i="72"/>
  <c r="K4053" i="72"/>
  <c r="L4053" i="72"/>
  <c r="K4054" i="72"/>
  <c r="L4054" i="72"/>
  <c r="K4055" i="72"/>
  <c r="L4055" i="72"/>
  <c r="K4056" i="72"/>
  <c r="L4056" i="72"/>
  <c r="K4057" i="72"/>
  <c r="L4057" i="72"/>
  <c r="K4058" i="72"/>
  <c r="L4058" i="72"/>
  <c r="K4059" i="72"/>
  <c r="L4059" i="72"/>
  <c r="K4060" i="72"/>
  <c r="L4060" i="72"/>
  <c r="K4061" i="72"/>
  <c r="L4061" i="72"/>
  <c r="K4062" i="72"/>
  <c r="L4062" i="72"/>
  <c r="K4063" i="72"/>
  <c r="L4063" i="72"/>
  <c r="K4064" i="72"/>
  <c r="L4064" i="72"/>
  <c r="K4065" i="72"/>
  <c r="L4065" i="72"/>
  <c r="K4066" i="72"/>
  <c r="L4066" i="72"/>
  <c r="K4067" i="72"/>
  <c r="L4067" i="72"/>
  <c r="K4068" i="72"/>
  <c r="L4068" i="72"/>
  <c r="K4069" i="72"/>
  <c r="L4069" i="72"/>
  <c r="K4070" i="72"/>
  <c r="L4070" i="72"/>
  <c r="K4071" i="72"/>
  <c r="L4071" i="72"/>
  <c r="K4072" i="72"/>
  <c r="L4072" i="72"/>
  <c r="K4073" i="72"/>
  <c r="L4073" i="72"/>
  <c r="K4074" i="72"/>
  <c r="L4074" i="72"/>
  <c r="K4075" i="72"/>
  <c r="L4075" i="72"/>
  <c r="K4076" i="72"/>
  <c r="L4076" i="72"/>
  <c r="K4077" i="72"/>
  <c r="L4077" i="72"/>
  <c r="K4078" i="72"/>
  <c r="L4078" i="72"/>
  <c r="K4079" i="72"/>
  <c r="L4079" i="72"/>
  <c r="K4080" i="72"/>
  <c r="L4080" i="72"/>
  <c r="K4081" i="72"/>
  <c r="L4081" i="72"/>
  <c r="K4082" i="72"/>
  <c r="L4082" i="72"/>
  <c r="K4083" i="72"/>
  <c r="L4083" i="72"/>
  <c r="K4084" i="72"/>
  <c r="L4084" i="72"/>
  <c r="K4085" i="72"/>
  <c r="L4085" i="72"/>
  <c r="K4086" i="72"/>
  <c r="L4086" i="72"/>
  <c r="K4087" i="72"/>
  <c r="L4087" i="72"/>
  <c r="K4088" i="72"/>
  <c r="L4088" i="72"/>
  <c r="K4089" i="72"/>
  <c r="L4089" i="72"/>
  <c r="K4090" i="72"/>
  <c r="L4090" i="72"/>
  <c r="K4091" i="72"/>
  <c r="L4091" i="72"/>
  <c r="K4092" i="72"/>
  <c r="L4092" i="72"/>
  <c r="K4093" i="72"/>
  <c r="L4093" i="72"/>
  <c r="K4094" i="72"/>
  <c r="L4094" i="72"/>
  <c r="K4095" i="72"/>
  <c r="L4095" i="72"/>
  <c r="K4096" i="72"/>
  <c r="L4096" i="72"/>
  <c r="K4097" i="72"/>
  <c r="L4097" i="72"/>
  <c r="K4098" i="72"/>
  <c r="L4098" i="72"/>
  <c r="K4099" i="72"/>
  <c r="L4099" i="72"/>
  <c r="K4100" i="72"/>
  <c r="L4100" i="72"/>
  <c r="K4101" i="72"/>
  <c r="L4101" i="72"/>
  <c r="K4102" i="72"/>
  <c r="L4102" i="72"/>
  <c r="K4103" i="72"/>
  <c r="L4103" i="72"/>
  <c r="K4104" i="72"/>
  <c r="L4104" i="72"/>
  <c r="K4105" i="72"/>
  <c r="L4105" i="72"/>
  <c r="K4106" i="72"/>
  <c r="L4106" i="72"/>
  <c r="K4107" i="72"/>
  <c r="L4107" i="72"/>
  <c r="K4108" i="72"/>
  <c r="L4108" i="72"/>
  <c r="K4109" i="72"/>
  <c r="L4109" i="72"/>
  <c r="K4110" i="72"/>
  <c r="L4110" i="72"/>
  <c r="K4111" i="72"/>
  <c r="L4111" i="72"/>
  <c r="K4112" i="72"/>
  <c r="L4112" i="72"/>
  <c r="K4113" i="72"/>
  <c r="L4113" i="72"/>
  <c r="K4114" i="72"/>
  <c r="L4114" i="72"/>
  <c r="K4115" i="72"/>
  <c r="L4115" i="72"/>
  <c r="K4116" i="72"/>
  <c r="L4116" i="72"/>
  <c r="K4117" i="72"/>
  <c r="L4117" i="72"/>
  <c r="K4118" i="72"/>
  <c r="L4118" i="72"/>
  <c r="K4119" i="72"/>
  <c r="L4119" i="72"/>
  <c r="K4120" i="72"/>
  <c r="L4120" i="72"/>
  <c r="K4121" i="72"/>
  <c r="L4121" i="72"/>
  <c r="K4122" i="72"/>
  <c r="L4122" i="72"/>
  <c r="K4123" i="72"/>
  <c r="L4123" i="72"/>
  <c r="K4124" i="72"/>
  <c r="L4124" i="72"/>
  <c r="K4125" i="72"/>
  <c r="L4125" i="72"/>
  <c r="K4126" i="72"/>
  <c r="L4126" i="72"/>
  <c r="K4127" i="72"/>
  <c r="L4127" i="72"/>
  <c r="K4128" i="72"/>
  <c r="L4128" i="72"/>
  <c r="K4129" i="72"/>
  <c r="L4129" i="72"/>
  <c r="K4130" i="72"/>
  <c r="L4130" i="72"/>
  <c r="K4131" i="72"/>
  <c r="L4131" i="72"/>
  <c r="K4132" i="72"/>
  <c r="L4132" i="72"/>
  <c r="K4133" i="72"/>
  <c r="L4133" i="72"/>
  <c r="K4134" i="72"/>
  <c r="L4134" i="72"/>
  <c r="K4135" i="72"/>
  <c r="L4135" i="72"/>
  <c r="K4136" i="72"/>
  <c r="L4136" i="72"/>
  <c r="K4137" i="72"/>
  <c r="L4137" i="72"/>
  <c r="K4138" i="72"/>
  <c r="L4138" i="72"/>
  <c r="K4139" i="72"/>
  <c r="L4139" i="72"/>
  <c r="K4140" i="72"/>
  <c r="L4140" i="72"/>
  <c r="K4141" i="72"/>
  <c r="L4141" i="72"/>
  <c r="K4142" i="72"/>
  <c r="L4142" i="72"/>
  <c r="K4143" i="72"/>
  <c r="L4143" i="72"/>
  <c r="K4144" i="72"/>
  <c r="L4144" i="72"/>
  <c r="K4145" i="72"/>
  <c r="L4145" i="72"/>
  <c r="K4146" i="72"/>
  <c r="L4146" i="72"/>
  <c r="K4147" i="72"/>
  <c r="L4147" i="72"/>
  <c r="K4148" i="72"/>
  <c r="L4148" i="72"/>
  <c r="K4149" i="72"/>
  <c r="L4149" i="72"/>
  <c r="K4150" i="72"/>
  <c r="L4150" i="72"/>
  <c r="K4151" i="72"/>
  <c r="L4151" i="72"/>
  <c r="K4152" i="72"/>
  <c r="L4152" i="72"/>
  <c r="K4153" i="72"/>
  <c r="L4153" i="72"/>
  <c r="K4154" i="72"/>
  <c r="L4154" i="72"/>
  <c r="K4155" i="72"/>
  <c r="L4155" i="72"/>
  <c r="K4156" i="72"/>
  <c r="L4156" i="72"/>
  <c r="K4157" i="72"/>
  <c r="L4157" i="72"/>
  <c r="K4158" i="72"/>
  <c r="L4158" i="72"/>
  <c r="K4159" i="72"/>
  <c r="L4159" i="72"/>
  <c r="K4160" i="72"/>
  <c r="L4160" i="72"/>
  <c r="K4161" i="72"/>
  <c r="L4161" i="72"/>
  <c r="K4162" i="72"/>
  <c r="L4162" i="72"/>
  <c r="K4163" i="72"/>
  <c r="L4163" i="72"/>
  <c r="K4164" i="72"/>
  <c r="L4164" i="72"/>
  <c r="K4165" i="72"/>
  <c r="L4165" i="72"/>
  <c r="K4166" i="72"/>
  <c r="L4166" i="72"/>
  <c r="K4167" i="72"/>
  <c r="L4167" i="72"/>
  <c r="K4168" i="72"/>
  <c r="L4168" i="72"/>
  <c r="K4169" i="72"/>
  <c r="L4169" i="72"/>
  <c r="K4170" i="72"/>
  <c r="L4170" i="72"/>
  <c r="K4171" i="72"/>
  <c r="L4171" i="72"/>
  <c r="K4172" i="72"/>
  <c r="L4172" i="72"/>
  <c r="K4173" i="72"/>
  <c r="L4173" i="72"/>
  <c r="K4174" i="72"/>
  <c r="L4174" i="72"/>
  <c r="K4175" i="72"/>
  <c r="L4175" i="72"/>
  <c r="K4176" i="72"/>
  <c r="L4176" i="72"/>
  <c r="K4177" i="72"/>
  <c r="L4177" i="72"/>
  <c r="K4178" i="72"/>
  <c r="L4178" i="72"/>
  <c r="K4179" i="72"/>
  <c r="L4179" i="72"/>
  <c r="K4180" i="72"/>
  <c r="L4180" i="72"/>
  <c r="K4181" i="72"/>
  <c r="L4181" i="72"/>
  <c r="K4182" i="72"/>
  <c r="L4182" i="72"/>
  <c r="K4183" i="72"/>
  <c r="L4183" i="72"/>
  <c r="K4184" i="72"/>
  <c r="L4184" i="72"/>
  <c r="K4185" i="72"/>
  <c r="L4185" i="72"/>
  <c r="K4186" i="72"/>
  <c r="L4186" i="72"/>
  <c r="K4187" i="72"/>
  <c r="L4187" i="72"/>
  <c r="K4188" i="72"/>
  <c r="L4188" i="72"/>
  <c r="K4189" i="72"/>
  <c r="L4189" i="72"/>
  <c r="K4190" i="72"/>
  <c r="L4190" i="72"/>
  <c r="K4191" i="72"/>
  <c r="L4191" i="72"/>
  <c r="K4192" i="72"/>
  <c r="L4192" i="72"/>
  <c r="K4193" i="72"/>
  <c r="L4193" i="72"/>
  <c r="K4194" i="72"/>
  <c r="L4194" i="72"/>
  <c r="K4195" i="72"/>
  <c r="L4195" i="72"/>
  <c r="K4196" i="72"/>
  <c r="L4196" i="72"/>
  <c r="K4197" i="72"/>
  <c r="L4197" i="72"/>
  <c r="K4198" i="72"/>
  <c r="L4198" i="72"/>
  <c r="K4199" i="72"/>
  <c r="L4199" i="72"/>
  <c r="K4200" i="72"/>
  <c r="L4200" i="72"/>
  <c r="K4201" i="72"/>
  <c r="L4201" i="72"/>
  <c r="K4202" i="72"/>
  <c r="L4202" i="72"/>
  <c r="K4203" i="72"/>
  <c r="L4203" i="72"/>
  <c r="K4204" i="72"/>
  <c r="L4204" i="72"/>
  <c r="K4205" i="72"/>
  <c r="L4205" i="72"/>
  <c r="K4206" i="72"/>
  <c r="L4206" i="72"/>
  <c r="K4207" i="72"/>
  <c r="L4207" i="72"/>
  <c r="K4208" i="72"/>
  <c r="L4208" i="72"/>
  <c r="K4209" i="72"/>
  <c r="L4209" i="72"/>
  <c r="K4210" i="72"/>
  <c r="L4210" i="72"/>
  <c r="K4211" i="72"/>
  <c r="L4211" i="72"/>
  <c r="K4212" i="72"/>
  <c r="L4212" i="72"/>
  <c r="K4213" i="72"/>
  <c r="L4213" i="72"/>
  <c r="K4214" i="72"/>
  <c r="L4214" i="72"/>
  <c r="K4215" i="72"/>
  <c r="L4215" i="72"/>
  <c r="K4216" i="72"/>
  <c r="L4216" i="72"/>
  <c r="K4217" i="72"/>
  <c r="L4217" i="72"/>
  <c r="K4218" i="72"/>
  <c r="L4218" i="72"/>
  <c r="K4219" i="72"/>
  <c r="L4219" i="72"/>
  <c r="K4220" i="72"/>
  <c r="L4220" i="72"/>
  <c r="K4221" i="72"/>
  <c r="L4221" i="72"/>
  <c r="K4222" i="72"/>
  <c r="L4222" i="72"/>
  <c r="K4223" i="72"/>
  <c r="L4223" i="72"/>
  <c r="K4224" i="72"/>
  <c r="L4224" i="72"/>
  <c r="K4225" i="72"/>
  <c r="L4225" i="72"/>
  <c r="K4226" i="72"/>
  <c r="L4226" i="72"/>
  <c r="K4227" i="72"/>
  <c r="L4227" i="72"/>
  <c r="K4228" i="72"/>
  <c r="L4228" i="72"/>
  <c r="K4229" i="72"/>
  <c r="L4229" i="72"/>
  <c r="K4230" i="72"/>
  <c r="L4230" i="72"/>
  <c r="K4231" i="72"/>
  <c r="L4231" i="72"/>
  <c r="K4232" i="72"/>
  <c r="L4232" i="72"/>
  <c r="K4233" i="72"/>
  <c r="L4233" i="72"/>
  <c r="K4234" i="72"/>
  <c r="L4234" i="72"/>
  <c r="K4235" i="72"/>
  <c r="L4235" i="72"/>
  <c r="K4236" i="72"/>
  <c r="L4236" i="72"/>
  <c r="K4237" i="72"/>
  <c r="L4237" i="72"/>
  <c r="K4238" i="72"/>
  <c r="L4238" i="72"/>
  <c r="K4239" i="72"/>
  <c r="L4239" i="72"/>
  <c r="K4240" i="72"/>
  <c r="L4240" i="72"/>
  <c r="K4241" i="72"/>
  <c r="L4241" i="72"/>
  <c r="K4242" i="72"/>
  <c r="L4242" i="72"/>
  <c r="K4243" i="72"/>
  <c r="L4243" i="72"/>
  <c r="K4244" i="72"/>
  <c r="L4244" i="72"/>
  <c r="K4245" i="72"/>
  <c r="L4245" i="72"/>
  <c r="K4246" i="72"/>
  <c r="L4246" i="72"/>
  <c r="K4247" i="72"/>
  <c r="L4247" i="72"/>
  <c r="K4248" i="72"/>
  <c r="L4248" i="72"/>
  <c r="K4249" i="72"/>
  <c r="L4249" i="72"/>
  <c r="K4250" i="72"/>
  <c r="L4250" i="72"/>
  <c r="K4251" i="72"/>
  <c r="L4251" i="72"/>
  <c r="K4252" i="72"/>
  <c r="L4252" i="72"/>
  <c r="K4253" i="72"/>
  <c r="L4253" i="72"/>
  <c r="K4254" i="72"/>
  <c r="L4254" i="72"/>
  <c r="K4255" i="72"/>
  <c r="L4255" i="72"/>
  <c r="K4256" i="72"/>
  <c r="L4256" i="72"/>
  <c r="K4257" i="72"/>
  <c r="L4257" i="72"/>
  <c r="K4258" i="72"/>
  <c r="L4258" i="72"/>
  <c r="K4259" i="72"/>
  <c r="L4259" i="72"/>
  <c r="K4260" i="72"/>
  <c r="L4260" i="72"/>
  <c r="K4261" i="72"/>
  <c r="L4261" i="72"/>
  <c r="K4262" i="72"/>
  <c r="L4262" i="72"/>
  <c r="K4263" i="72"/>
  <c r="L4263" i="72"/>
  <c r="K4264" i="72"/>
  <c r="L4264" i="72"/>
  <c r="K4265" i="72"/>
  <c r="L4265" i="72"/>
  <c r="K4266" i="72"/>
  <c r="L4266" i="72"/>
  <c r="K4267" i="72"/>
  <c r="L4267" i="72"/>
  <c r="K4268" i="72"/>
  <c r="L4268" i="72"/>
  <c r="K4269" i="72"/>
  <c r="L4269" i="72"/>
  <c r="K4270" i="72"/>
  <c r="L4270" i="72"/>
  <c r="K4271" i="72"/>
  <c r="L4271" i="72"/>
  <c r="K4272" i="72"/>
  <c r="L4272" i="72"/>
  <c r="K4273" i="72"/>
  <c r="L4273" i="72"/>
  <c r="K4274" i="72"/>
  <c r="L4274" i="72"/>
  <c r="K4275" i="72"/>
  <c r="L4275" i="72"/>
  <c r="K4276" i="72"/>
  <c r="L4276" i="72"/>
  <c r="K4277" i="72"/>
  <c r="L4277" i="72"/>
  <c r="K4278" i="72"/>
  <c r="L4278" i="72"/>
  <c r="K4279" i="72"/>
  <c r="L4279" i="72"/>
  <c r="K4280" i="72"/>
  <c r="L4280" i="72"/>
  <c r="K4281" i="72"/>
  <c r="L4281" i="72"/>
  <c r="K4282" i="72"/>
  <c r="L4282" i="72"/>
  <c r="K4283" i="72"/>
  <c r="L4283" i="72"/>
  <c r="K4284" i="72"/>
  <c r="L4284" i="72"/>
  <c r="K4285" i="72"/>
  <c r="L4285" i="72"/>
  <c r="K4286" i="72"/>
  <c r="L4286" i="72"/>
  <c r="K4287" i="72"/>
  <c r="L4287" i="72"/>
  <c r="K4288" i="72"/>
  <c r="L4288" i="72"/>
  <c r="K4289" i="72"/>
  <c r="L4289" i="72"/>
  <c r="K4290" i="72"/>
  <c r="L4290" i="72"/>
  <c r="K4291" i="72"/>
  <c r="L4291" i="72"/>
  <c r="K4292" i="72"/>
  <c r="L4292" i="72"/>
  <c r="K4293" i="72"/>
  <c r="L4293" i="72"/>
  <c r="K4294" i="72"/>
  <c r="L4294" i="72"/>
  <c r="K4295" i="72"/>
  <c r="L4295" i="72"/>
  <c r="K4296" i="72"/>
  <c r="L4296" i="72"/>
  <c r="K4297" i="72"/>
  <c r="L4297" i="72"/>
  <c r="K4298" i="72"/>
  <c r="L4298" i="72"/>
  <c r="K4299" i="72"/>
  <c r="L4299" i="72"/>
  <c r="K4300" i="72"/>
  <c r="L4300" i="72"/>
  <c r="K4301" i="72"/>
  <c r="L4301" i="72"/>
  <c r="K4302" i="72"/>
  <c r="L4302" i="72"/>
  <c r="K4303" i="72"/>
  <c r="L4303" i="72"/>
  <c r="K4304" i="72"/>
  <c r="L4304" i="72"/>
  <c r="K4305" i="72"/>
  <c r="L4305" i="72"/>
  <c r="K4306" i="72"/>
  <c r="L4306" i="72"/>
  <c r="K4307" i="72"/>
  <c r="L4307" i="72"/>
  <c r="K4308" i="72"/>
  <c r="L4308" i="72"/>
  <c r="K4309" i="72"/>
  <c r="L4309" i="72"/>
  <c r="K4310" i="72"/>
  <c r="L4310" i="72"/>
  <c r="K4311" i="72"/>
  <c r="L4311" i="72"/>
  <c r="K4312" i="72"/>
  <c r="L4312" i="72"/>
  <c r="K4313" i="72"/>
  <c r="L4313" i="72"/>
  <c r="K4314" i="72"/>
  <c r="L4314" i="72"/>
  <c r="K4315" i="72"/>
  <c r="L4315" i="72"/>
  <c r="K4316" i="72"/>
  <c r="L4316" i="72"/>
  <c r="K4317" i="72"/>
  <c r="L4317" i="72"/>
  <c r="K4318" i="72"/>
  <c r="L4318" i="72"/>
  <c r="K4319" i="72"/>
  <c r="L4319" i="72"/>
  <c r="K4320" i="72"/>
  <c r="L4320" i="72"/>
  <c r="K4321" i="72"/>
  <c r="L4321" i="72"/>
  <c r="K4322" i="72"/>
  <c r="L4322" i="72"/>
  <c r="K4323" i="72"/>
  <c r="L4323" i="72"/>
  <c r="K4324" i="72"/>
  <c r="L4324" i="72"/>
  <c r="K4325" i="72"/>
  <c r="L4325" i="72"/>
  <c r="K4326" i="72"/>
  <c r="L4326" i="72"/>
  <c r="K4327" i="72"/>
  <c r="L4327" i="72"/>
  <c r="K4328" i="72"/>
  <c r="L4328" i="72"/>
  <c r="K4329" i="72"/>
  <c r="L4329" i="72"/>
  <c r="K4330" i="72"/>
  <c r="L4330" i="72"/>
  <c r="K4331" i="72"/>
  <c r="L4331" i="72"/>
  <c r="K4332" i="72"/>
  <c r="L4332" i="72"/>
  <c r="K4333" i="72"/>
  <c r="L4333" i="72"/>
  <c r="K4334" i="72"/>
  <c r="L4334" i="72"/>
  <c r="K4335" i="72"/>
  <c r="L4335" i="72"/>
  <c r="K4336" i="72"/>
  <c r="L4336" i="72"/>
  <c r="K4337" i="72"/>
  <c r="L4337" i="72"/>
  <c r="K4338" i="72"/>
  <c r="L4338" i="72"/>
  <c r="K4339" i="72"/>
  <c r="L4339" i="72"/>
  <c r="K4340" i="72"/>
  <c r="L4340" i="72"/>
  <c r="K4341" i="72"/>
  <c r="L4341" i="72"/>
  <c r="K4342" i="72"/>
  <c r="L4342" i="72"/>
  <c r="K4343" i="72"/>
  <c r="L4343" i="72"/>
  <c r="K4344" i="72"/>
  <c r="L4344" i="72"/>
  <c r="K4345" i="72"/>
  <c r="L4345" i="72"/>
  <c r="K4346" i="72"/>
  <c r="L4346" i="72"/>
  <c r="K4347" i="72"/>
  <c r="L4347" i="72"/>
  <c r="K4348" i="72"/>
  <c r="L4348" i="72"/>
  <c r="K4349" i="72"/>
  <c r="L4349" i="72"/>
  <c r="K4350" i="72"/>
  <c r="L4350" i="72"/>
  <c r="K4351" i="72"/>
  <c r="L4351" i="72"/>
  <c r="K4352" i="72"/>
  <c r="L4352" i="72"/>
  <c r="K4353" i="72"/>
  <c r="L4353" i="72"/>
  <c r="K4354" i="72"/>
  <c r="L4354" i="72"/>
  <c r="K4355" i="72"/>
  <c r="L4355" i="72"/>
  <c r="K4356" i="72"/>
  <c r="L4356" i="72"/>
  <c r="K4357" i="72"/>
  <c r="L4357" i="72"/>
  <c r="K4358" i="72"/>
  <c r="L4358" i="72"/>
  <c r="K4359" i="72"/>
  <c r="L4359" i="72"/>
  <c r="K4360" i="72"/>
  <c r="L4360" i="72"/>
  <c r="K4361" i="72"/>
  <c r="L4361" i="72"/>
  <c r="K4362" i="72"/>
  <c r="L4362" i="72"/>
  <c r="K4363" i="72"/>
  <c r="L4363" i="72"/>
  <c r="K4364" i="72"/>
  <c r="L4364" i="72"/>
  <c r="K4365" i="72"/>
  <c r="L4365" i="72"/>
  <c r="K4366" i="72"/>
  <c r="L4366" i="72"/>
  <c r="K4367" i="72"/>
  <c r="L4367" i="72"/>
  <c r="K4368" i="72"/>
  <c r="L4368" i="72"/>
  <c r="K4369" i="72"/>
  <c r="L4369" i="72"/>
  <c r="K4370" i="72"/>
  <c r="L4370" i="72"/>
  <c r="K4371" i="72"/>
  <c r="L4371" i="72"/>
  <c r="K4372" i="72"/>
  <c r="L4372" i="72"/>
  <c r="K4373" i="72"/>
  <c r="L4373" i="72"/>
  <c r="K4374" i="72"/>
  <c r="L4374" i="72"/>
  <c r="K4375" i="72"/>
  <c r="L4375" i="72"/>
  <c r="K4376" i="72"/>
  <c r="L4376" i="72"/>
  <c r="K4377" i="72"/>
  <c r="L4377" i="72"/>
  <c r="K4378" i="72"/>
  <c r="L4378" i="72"/>
  <c r="K4379" i="72"/>
  <c r="L4379" i="72"/>
  <c r="K4380" i="72"/>
  <c r="L4380" i="72"/>
  <c r="K4381" i="72"/>
  <c r="L4381" i="72"/>
  <c r="K4382" i="72"/>
  <c r="L4382" i="72"/>
  <c r="K4383" i="72"/>
  <c r="L4383" i="72"/>
  <c r="K4384" i="72"/>
  <c r="L4384" i="72"/>
  <c r="K4385" i="72"/>
  <c r="L4385" i="72"/>
  <c r="K4386" i="72"/>
  <c r="L4386" i="72"/>
  <c r="K4387" i="72"/>
  <c r="L4387" i="72"/>
  <c r="K4388" i="72"/>
  <c r="L4388" i="72"/>
  <c r="K4389" i="72"/>
  <c r="L4389" i="72"/>
  <c r="K4390" i="72"/>
  <c r="L4390" i="72"/>
  <c r="K4391" i="72"/>
  <c r="L4391" i="72"/>
  <c r="K4392" i="72"/>
  <c r="L4392" i="72"/>
  <c r="K4393" i="72"/>
  <c r="L4393" i="72"/>
  <c r="K4394" i="72"/>
  <c r="L4394" i="72"/>
  <c r="K4395" i="72"/>
  <c r="L4395" i="72"/>
  <c r="K4396" i="72"/>
  <c r="L4396" i="72"/>
  <c r="K4397" i="72"/>
  <c r="L4397" i="72"/>
  <c r="K4398" i="72"/>
  <c r="L4398" i="72"/>
  <c r="K4399" i="72"/>
  <c r="L4399" i="72"/>
  <c r="K4400" i="72"/>
  <c r="L4400" i="72"/>
  <c r="K4401" i="72"/>
  <c r="L4401" i="72"/>
  <c r="K4402" i="72"/>
  <c r="L4402" i="72"/>
  <c r="K4403" i="72"/>
  <c r="L4403" i="72"/>
  <c r="K4404" i="72"/>
  <c r="L4404" i="72"/>
  <c r="K4405" i="72"/>
  <c r="L4405" i="72"/>
  <c r="K4406" i="72"/>
  <c r="L4406" i="72"/>
  <c r="K4407" i="72"/>
  <c r="L4407" i="72"/>
  <c r="K4408" i="72"/>
  <c r="L4408" i="72"/>
  <c r="K4409" i="72"/>
  <c r="L4409" i="72"/>
  <c r="K4410" i="72"/>
  <c r="L4410" i="72"/>
  <c r="K4411" i="72"/>
  <c r="L4411" i="72"/>
  <c r="K4412" i="72"/>
  <c r="L4412" i="72"/>
  <c r="K4413" i="72"/>
  <c r="L4413" i="72"/>
  <c r="K4414" i="72"/>
  <c r="L4414" i="72"/>
  <c r="K4415" i="72"/>
  <c r="L4415" i="72"/>
  <c r="K4416" i="72"/>
  <c r="L4416" i="72"/>
  <c r="K4417" i="72"/>
  <c r="L4417" i="72"/>
  <c r="K4418" i="72"/>
  <c r="L4418" i="72"/>
  <c r="K4419" i="72"/>
  <c r="L4419" i="72"/>
  <c r="K4420" i="72"/>
  <c r="L4420" i="72"/>
  <c r="K4421" i="72"/>
  <c r="L4421" i="72"/>
  <c r="K4422" i="72"/>
  <c r="L4422" i="72"/>
  <c r="K4423" i="72"/>
  <c r="L4423" i="72"/>
  <c r="K4424" i="72"/>
  <c r="L4424" i="72"/>
  <c r="K4425" i="72"/>
  <c r="L4425" i="72"/>
  <c r="K4426" i="72"/>
  <c r="L4426" i="72"/>
  <c r="K4427" i="72"/>
  <c r="L4427" i="72"/>
  <c r="K4428" i="72"/>
  <c r="L4428" i="72"/>
  <c r="K4429" i="72"/>
  <c r="L4429" i="72"/>
  <c r="K4430" i="72"/>
  <c r="L4430" i="72"/>
  <c r="K4431" i="72"/>
  <c r="L4431" i="72"/>
  <c r="K4432" i="72"/>
  <c r="L4432" i="72"/>
  <c r="K4433" i="72"/>
  <c r="L4433" i="72"/>
  <c r="K4434" i="72"/>
  <c r="L4434" i="72"/>
  <c r="K4435" i="72"/>
  <c r="L4435" i="72"/>
  <c r="K4436" i="72"/>
  <c r="L4436" i="72"/>
  <c r="K4437" i="72"/>
  <c r="L4437" i="72"/>
  <c r="K4438" i="72"/>
  <c r="L4438" i="72"/>
  <c r="K4439" i="72"/>
  <c r="L4439" i="72"/>
  <c r="K4440" i="72"/>
  <c r="L4440" i="72"/>
  <c r="K4441" i="72"/>
  <c r="L4441" i="72"/>
  <c r="K4442" i="72"/>
  <c r="L4442" i="72"/>
  <c r="K4443" i="72"/>
  <c r="L4443" i="72"/>
  <c r="K4444" i="72"/>
  <c r="L4444" i="72"/>
  <c r="K4445" i="72"/>
  <c r="L4445" i="72"/>
  <c r="K4446" i="72"/>
  <c r="L4446" i="72"/>
  <c r="K4447" i="72"/>
  <c r="L4447" i="72"/>
  <c r="K4448" i="72"/>
  <c r="L4448" i="72"/>
  <c r="K4449" i="72"/>
  <c r="L4449" i="72"/>
  <c r="K4450" i="72"/>
  <c r="L4450" i="72"/>
  <c r="K4451" i="72"/>
  <c r="L4451" i="72"/>
  <c r="K4452" i="72"/>
  <c r="L4452" i="72"/>
  <c r="K4453" i="72"/>
  <c r="L4453" i="72"/>
  <c r="K4454" i="72"/>
  <c r="L4454" i="72"/>
  <c r="K4455" i="72"/>
  <c r="L4455" i="72"/>
  <c r="K4456" i="72"/>
  <c r="L4456" i="72"/>
  <c r="K4457" i="72"/>
  <c r="L4457" i="72"/>
  <c r="K4458" i="72"/>
  <c r="L4458" i="72"/>
  <c r="K4459" i="72"/>
  <c r="L4459" i="72"/>
  <c r="K4460" i="72"/>
  <c r="L4460" i="72"/>
  <c r="K4461" i="72"/>
  <c r="L4461" i="72"/>
  <c r="K4462" i="72"/>
  <c r="L4462" i="72"/>
  <c r="K4463" i="72"/>
  <c r="L4463" i="72"/>
  <c r="K4464" i="72"/>
  <c r="L4464" i="72"/>
  <c r="K4465" i="72"/>
  <c r="L4465" i="72"/>
  <c r="K4466" i="72"/>
  <c r="L4466" i="72"/>
  <c r="K4467" i="72"/>
  <c r="L4467" i="72"/>
  <c r="K4468" i="72"/>
  <c r="L4468" i="72"/>
  <c r="K4469" i="72"/>
  <c r="L4469" i="72"/>
  <c r="K4470" i="72"/>
  <c r="L4470" i="72"/>
  <c r="K4471" i="72"/>
  <c r="L4471" i="72"/>
  <c r="K4472" i="72"/>
  <c r="L4472" i="72"/>
  <c r="K4473" i="72"/>
  <c r="L4473" i="72"/>
  <c r="K4474" i="72"/>
  <c r="L4474" i="72"/>
  <c r="K4475" i="72"/>
  <c r="L4475" i="72"/>
  <c r="K4476" i="72"/>
  <c r="L4476" i="72"/>
  <c r="K4477" i="72"/>
  <c r="L4477" i="72"/>
  <c r="K4478" i="72"/>
  <c r="L4478" i="72"/>
  <c r="K4479" i="72"/>
  <c r="L4479" i="72"/>
  <c r="K4480" i="72"/>
  <c r="L4480" i="72"/>
  <c r="K4481" i="72"/>
  <c r="L4481" i="72"/>
  <c r="K4482" i="72"/>
  <c r="L4482" i="72"/>
  <c r="K4483" i="72"/>
  <c r="L4483" i="72"/>
  <c r="K4484" i="72"/>
  <c r="L4484" i="72"/>
  <c r="K4485" i="72"/>
  <c r="L4485" i="72"/>
  <c r="K4486" i="72"/>
  <c r="L4486" i="72"/>
  <c r="K4487" i="72"/>
  <c r="L4487" i="72"/>
  <c r="K4488" i="72"/>
  <c r="L4488" i="72"/>
  <c r="K4489" i="72"/>
  <c r="L4489" i="72"/>
  <c r="K4490" i="72"/>
  <c r="L4490" i="72"/>
  <c r="K4491" i="72"/>
  <c r="L4491" i="72"/>
  <c r="K4492" i="72"/>
  <c r="L4492" i="72"/>
  <c r="K4493" i="72"/>
  <c r="L4493" i="72"/>
  <c r="K4494" i="72"/>
  <c r="L4494" i="72"/>
  <c r="K4495" i="72"/>
  <c r="L4495" i="72"/>
  <c r="K4496" i="72"/>
  <c r="L4496" i="72"/>
  <c r="K4497" i="72"/>
  <c r="L4497" i="72"/>
  <c r="K4498" i="72"/>
  <c r="L4498" i="72"/>
  <c r="K4499" i="72"/>
  <c r="L4499" i="72"/>
  <c r="K4500" i="72"/>
  <c r="L4500" i="72"/>
  <c r="K4501" i="72"/>
  <c r="L4501" i="72"/>
  <c r="K4502" i="72"/>
  <c r="L4502" i="72"/>
  <c r="K4503" i="72"/>
  <c r="L4503" i="72"/>
  <c r="K4504" i="72"/>
  <c r="L4504" i="72"/>
  <c r="K4505" i="72"/>
  <c r="L4505" i="72"/>
  <c r="K4506" i="72"/>
  <c r="L4506" i="72"/>
  <c r="K4507" i="72"/>
  <c r="L4507" i="72"/>
  <c r="K4508" i="72"/>
  <c r="L4508" i="72"/>
  <c r="K4509" i="72"/>
  <c r="L4509" i="72"/>
  <c r="K4510" i="72"/>
  <c r="L4510" i="72"/>
  <c r="K4511" i="72"/>
  <c r="L4511" i="72"/>
  <c r="K4512" i="72"/>
  <c r="L4512" i="72"/>
  <c r="K4513" i="72"/>
  <c r="L4513" i="72"/>
  <c r="K4514" i="72"/>
  <c r="L4514" i="72"/>
  <c r="K4515" i="72"/>
  <c r="L4515" i="72"/>
  <c r="K4516" i="72"/>
  <c r="L4516" i="72"/>
  <c r="K4517" i="72"/>
  <c r="L4517" i="72"/>
  <c r="K4518" i="72"/>
  <c r="L4518" i="72"/>
  <c r="K4519" i="72"/>
  <c r="L4519" i="72"/>
  <c r="K4520" i="72"/>
  <c r="L4520" i="72"/>
  <c r="K4521" i="72"/>
  <c r="L4521" i="72"/>
  <c r="K4522" i="72"/>
  <c r="L4522" i="72"/>
  <c r="K4523" i="72"/>
  <c r="L4523" i="72"/>
  <c r="K4524" i="72"/>
  <c r="L4524" i="72"/>
  <c r="K4525" i="72"/>
  <c r="L4525" i="72"/>
  <c r="K4526" i="72"/>
  <c r="L4526" i="72"/>
  <c r="K4527" i="72"/>
  <c r="L4527" i="72"/>
  <c r="K4528" i="72"/>
  <c r="L4528" i="72"/>
  <c r="K4529" i="72"/>
  <c r="L4529" i="72"/>
  <c r="K4530" i="72"/>
  <c r="L4530" i="72"/>
  <c r="K4531" i="72"/>
  <c r="L4531" i="72"/>
  <c r="K4532" i="72"/>
  <c r="L4532" i="72"/>
  <c r="K4533" i="72"/>
  <c r="L4533" i="72"/>
  <c r="K4534" i="72"/>
  <c r="L4534" i="72"/>
  <c r="K4535" i="72"/>
  <c r="L4535" i="72"/>
  <c r="K4536" i="72"/>
  <c r="L4536" i="72"/>
  <c r="K4537" i="72"/>
  <c r="L4537" i="72"/>
  <c r="K4538" i="72"/>
  <c r="L4538" i="72"/>
  <c r="K4539" i="72"/>
  <c r="L4539" i="72"/>
  <c r="K4540" i="72"/>
  <c r="L4540" i="72"/>
  <c r="K4541" i="72"/>
  <c r="L4541" i="72"/>
  <c r="K4542" i="72"/>
  <c r="L4542" i="72"/>
  <c r="K4543" i="72"/>
  <c r="L4543" i="72"/>
  <c r="K4544" i="72"/>
  <c r="L4544" i="72"/>
  <c r="K4545" i="72"/>
  <c r="L4545" i="72"/>
  <c r="K4546" i="72"/>
  <c r="L4546" i="72"/>
  <c r="K4547" i="72"/>
  <c r="L4547" i="72"/>
  <c r="K4548" i="72"/>
  <c r="L4548" i="72"/>
  <c r="K4549" i="72"/>
  <c r="L4549" i="72"/>
  <c r="K4550" i="72"/>
  <c r="L4550" i="72"/>
  <c r="K4551" i="72"/>
  <c r="L4551" i="72"/>
  <c r="K4552" i="72"/>
  <c r="L4552" i="72"/>
  <c r="K4553" i="72"/>
  <c r="L4553" i="72"/>
  <c r="K4554" i="72"/>
  <c r="L4554" i="72"/>
  <c r="K4555" i="72"/>
  <c r="L4555" i="72"/>
  <c r="K4556" i="72"/>
  <c r="L4556" i="72"/>
  <c r="K4557" i="72"/>
  <c r="L4557" i="72"/>
  <c r="K4558" i="72"/>
  <c r="L4558" i="72"/>
  <c r="K4559" i="72"/>
  <c r="L4559" i="72"/>
  <c r="K4560" i="72"/>
  <c r="L4560" i="72"/>
  <c r="K4561" i="72"/>
  <c r="L4561" i="72"/>
  <c r="K4562" i="72"/>
  <c r="L4562" i="72"/>
  <c r="K4563" i="72"/>
  <c r="L4563" i="72"/>
  <c r="K4564" i="72"/>
  <c r="L4564" i="72"/>
  <c r="K4565" i="72"/>
  <c r="L4565" i="72"/>
  <c r="K4566" i="72"/>
  <c r="L4566" i="72"/>
  <c r="K4567" i="72"/>
  <c r="L4567" i="72"/>
  <c r="K4568" i="72"/>
  <c r="L4568" i="72"/>
  <c r="K4569" i="72"/>
  <c r="L4569" i="72"/>
  <c r="K4570" i="72"/>
  <c r="L4570" i="72"/>
  <c r="K4571" i="72"/>
  <c r="L4571" i="72"/>
  <c r="K4572" i="72"/>
  <c r="L4572" i="72"/>
  <c r="K4573" i="72"/>
  <c r="L4573" i="72"/>
  <c r="K4574" i="72"/>
  <c r="L4574" i="72"/>
  <c r="K4575" i="72"/>
  <c r="L4575" i="72"/>
  <c r="K4576" i="72"/>
  <c r="L4576" i="72"/>
  <c r="K4577" i="72"/>
  <c r="L4577" i="72"/>
  <c r="K4578" i="72"/>
  <c r="L4578" i="72"/>
  <c r="K4579" i="72"/>
  <c r="L4579" i="72"/>
  <c r="K4580" i="72"/>
  <c r="L4580" i="72"/>
  <c r="K4581" i="72"/>
  <c r="L4581" i="72"/>
  <c r="K4582" i="72"/>
  <c r="L4582" i="72"/>
  <c r="K4583" i="72"/>
  <c r="L4583" i="72"/>
  <c r="K4584" i="72"/>
  <c r="L4584" i="72"/>
  <c r="K4585" i="72"/>
  <c r="L4585" i="72"/>
  <c r="K4586" i="72"/>
  <c r="L4586" i="72"/>
  <c r="K4587" i="72"/>
  <c r="L4587" i="72"/>
  <c r="K4588" i="72"/>
  <c r="L4588" i="72"/>
  <c r="K4589" i="72"/>
  <c r="L4589" i="72"/>
  <c r="K4590" i="72"/>
  <c r="L4590" i="72"/>
  <c r="K4591" i="72"/>
  <c r="L4591" i="72"/>
  <c r="K4592" i="72"/>
  <c r="L4592" i="72"/>
  <c r="K4593" i="72"/>
  <c r="L4593" i="72"/>
  <c r="K4594" i="72"/>
  <c r="L4594" i="72"/>
  <c r="K4595" i="72"/>
  <c r="L4595" i="72"/>
  <c r="K4596" i="72"/>
  <c r="L4596" i="72"/>
  <c r="K4597" i="72"/>
  <c r="L4597" i="72"/>
  <c r="K4598" i="72"/>
  <c r="L4598" i="72"/>
  <c r="K4599" i="72"/>
  <c r="L4599" i="72"/>
  <c r="K4600" i="72"/>
  <c r="L4600" i="72"/>
  <c r="K4601" i="72"/>
  <c r="L4601" i="72"/>
  <c r="K4602" i="72"/>
  <c r="L4602" i="72"/>
  <c r="K4603" i="72"/>
  <c r="L4603" i="72"/>
  <c r="K4604" i="72"/>
  <c r="L4604" i="72"/>
  <c r="K4605" i="72"/>
  <c r="L4605" i="72"/>
  <c r="K4606" i="72"/>
  <c r="L4606" i="72"/>
  <c r="K4607" i="72"/>
  <c r="L4607" i="72"/>
  <c r="K4608" i="72"/>
  <c r="L4608" i="72"/>
  <c r="K4609" i="72"/>
  <c r="L4609" i="72"/>
  <c r="K4610" i="72"/>
  <c r="L4610" i="72"/>
  <c r="K4611" i="72"/>
  <c r="L4611" i="72"/>
  <c r="K4612" i="72"/>
  <c r="L4612" i="72"/>
  <c r="K4613" i="72"/>
  <c r="L4613" i="72"/>
  <c r="K4614" i="72"/>
  <c r="L4614" i="72"/>
  <c r="K4615" i="72"/>
  <c r="L4615" i="72"/>
  <c r="K4616" i="72"/>
  <c r="L4616" i="72"/>
  <c r="K4617" i="72"/>
  <c r="L4617" i="72"/>
  <c r="K4618" i="72"/>
  <c r="L4618" i="72"/>
  <c r="K4619" i="72"/>
  <c r="L4619" i="72"/>
  <c r="K4620" i="72"/>
  <c r="L4620" i="72"/>
  <c r="K4621" i="72"/>
  <c r="L4621" i="72"/>
  <c r="K4622" i="72"/>
  <c r="L4622" i="72"/>
  <c r="K4623" i="72"/>
  <c r="L4623" i="72"/>
  <c r="K4624" i="72"/>
  <c r="L4624" i="72"/>
  <c r="K4625" i="72"/>
  <c r="L4625" i="72"/>
  <c r="K4626" i="72"/>
  <c r="L4626" i="72"/>
  <c r="K4627" i="72"/>
  <c r="L4627" i="72"/>
  <c r="K4628" i="72"/>
  <c r="L4628" i="72"/>
  <c r="K4629" i="72"/>
  <c r="L4629" i="72"/>
  <c r="K4630" i="72"/>
  <c r="L4630" i="72"/>
  <c r="K4631" i="72"/>
  <c r="L4631" i="72"/>
  <c r="K4632" i="72"/>
  <c r="L4632" i="72"/>
  <c r="K4633" i="72"/>
  <c r="L4633" i="72"/>
  <c r="K4634" i="72"/>
  <c r="L4634" i="72"/>
  <c r="K4635" i="72"/>
  <c r="L4635" i="72"/>
  <c r="K4636" i="72"/>
  <c r="L4636" i="72"/>
  <c r="K4637" i="72"/>
  <c r="L4637" i="72"/>
  <c r="K4638" i="72"/>
  <c r="L4638" i="72"/>
  <c r="K4639" i="72"/>
  <c r="L4639" i="72"/>
  <c r="K4640" i="72"/>
  <c r="L4640" i="72"/>
  <c r="K4641" i="72"/>
  <c r="L4641" i="72"/>
  <c r="K4642" i="72"/>
  <c r="L4642" i="72"/>
  <c r="K4643" i="72"/>
  <c r="L4643" i="72"/>
  <c r="K4644" i="72"/>
  <c r="L4644" i="72"/>
  <c r="K4645" i="72"/>
  <c r="L4645" i="72"/>
  <c r="K4646" i="72"/>
  <c r="L4646" i="72"/>
  <c r="K4647" i="72"/>
  <c r="L4647" i="72"/>
  <c r="K4648" i="72"/>
  <c r="L4648" i="72"/>
  <c r="K4649" i="72"/>
  <c r="L4649" i="72"/>
  <c r="K4650" i="72"/>
  <c r="L4650" i="72"/>
  <c r="K4651" i="72"/>
  <c r="L4651" i="72"/>
  <c r="K4652" i="72"/>
  <c r="L4652" i="72"/>
  <c r="K4653" i="72"/>
  <c r="L4653" i="72"/>
  <c r="K4654" i="72"/>
  <c r="L4654" i="72"/>
  <c r="K4655" i="72"/>
  <c r="L4655" i="72"/>
  <c r="K4656" i="72"/>
  <c r="L4656" i="72"/>
  <c r="K4657" i="72"/>
  <c r="L4657" i="72"/>
  <c r="K4658" i="72"/>
  <c r="L4658" i="72"/>
  <c r="K4659" i="72"/>
  <c r="L4659" i="72"/>
  <c r="K4660" i="72"/>
  <c r="L4660" i="72"/>
  <c r="K4661" i="72"/>
  <c r="L4661" i="72"/>
  <c r="K4662" i="72"/>
  <c r="L4662" i="72"/>
  <c r="K4663" i="72"/>
  <c r="L4663" i="72"/>
  <c r="K4664" i="72"/>
  <c r="L4664" i="72"/>
  <c r="K4665" i="72"/>
  <c r="L4665" i="72"/>
  <c r="K4666" i="72"/>
  <c r="L4666" i="72"/>
  <c r="K4667" i="72"/>
  <c r="L4667" i="72"/>
  <c r="K4668" i="72"/>
  <c r="L4668" i="72"/>
  <c r="K4669" i="72"/>
  <c r="L4669" i="72"/>
  <c r="K4670" i="72"/>
  <c r="L4670" i="72"/>
  <c r="K4671" i="72"/>
  <c r="L4671" i="72"/>
  <c r="K4672" i="72"/>
  <c r="L4672" i="72"/>
  <c r="K4673" i="72"/>
  <c r="L4673" i="72"/>
  <c r="K4674" i="72"/>
  <c r="L4674" i="72"/>
  <c r="K4675" i="72"/>
  <c r="L4675" i="72"/>
  <c r="K4676" i="72"/>
  <c r="L4676" i="72"/>
  <c r="K4677" i="72"/>
  <c r="L4677" i="72"/>
  <c r="K4678" i="72"/>
  <c r="L4678" i="72"/>
  <c r="K4679" i="72"/>
  <c r="L4679" i="72"/>
  <c r="K4680" i="72"/>
  <c r="L4680" i="72"/>
  <c r="K4681" i="72"/>
  <c r="L4681" i="72"/>
  <c r="K4682" i="72"/>
  <c r="L4682" i="72"/>
  <c r="K4683" i="72"/>
  <c r="L4683" i="72"/>
  <c r="K4684" i="72"/>
  <c r="L4684" i="72"/>
  <c r="K4685" i="72"/>
  <c r="L4685" i="72"/>
  <c r="K4686" i="72"/>
  <c r="L4686" i="72"/>
  <c r="K4687" i="72"/>
  <c r="L4687" i="72"/>
  <c r="K4688" i="72"/>
  <c r="L4688" i="72"/>
  <c r="K4689" i="72"/>
  <c r="L4689" i="72"/>
  <c r="K4690" i="72"/>
  <c r="L4690" i="72"/>
  <c r="K4691" i="72"/>
  <c r="L4691" i="72"/>
  <c r="K4692" i="72"/>
  <c r="L4692" i="72"/>
  <c r="K4693" i="72"/>
  <c r="L4693" i="72"/>
  <c r="K4694" i="72"/>
  <c r="L4694" i="72"/>
  <c r="K4695" i="72"/>
  <c r="L4695" i="72"/>
  <c r="K4696" i="72"/>
  <c r="L4696" i="72"/>
  <c r="K4697" i="72"/>
  <c r="L4697" i="72"/>
  <c r="K4698" i="72"/>
  <c r="L4698" i="72"/>
  <c r="K4699" i="72"/>
  <c r="L4699" i="72"/>
  <c r="K4700" i="72"/>
  <c r="L4700" i="72"/>
  <c r="K4701" i="72"/>
  <c r="L4701" i="72"/>
  <c r="K4702" i="72"/>
  <c r="L4702" i="72"/>
  <c r="K4703" i="72"/>
  <c r="L4703" i="72"/>
  <c r="K4704" i="72"/>
  <c r="L4704" i="72"/>
  <c r="K4705" i="72"/>
  <c r="L4705" i="72"/>
  <c r="K4706" i="72"/>
  <c r="L4706" i="72"/>
  <c r="K4707" i="72"/>
  <c r="L4707" i="72"/>
  <c r="K4708" i="72"/>
  <c r="L4708" i="72"/>
  <c r="K4709" i="72"/>
  <c r="L4709" i="72"/>
  <c r="K4710" i="72"/>
  <c r="L4710" i="72"/>
  <c r="K4711" i="72"/>
  <c r="L4711" i="72"/>
  <c r="K4712" i="72"/>
  <c r="L4712" i="72"/>
  <c r="K4713" i="72"/>
  <c r="L4713" i="72"/>
  <c r="K4714" i="72"/>
  <c r="L4714" i="72"/>
  <c r="K4715" i="72"/>
  <c r="L4715" i="72"/>
  <c r="K4716" i="72"/>
  <c r="L4716" i="72"/>
  <c r="K4717" i="72"/>
  <c r="L4717" i="72"/>
  <c r="K4718" i="72"/>
  <c r="L4718" i="72"/>
  <c r="K4719" i="72"/>
  <c r="L4719" i="72"/>
  <c r="K4720" i="72"/>
  <c r="L4720" i="72"/>
  <c r="K4721" i="72"/>
  <c r="L4721" i="72"/>
  <c r="K4722" i="72"/>
  <c r="L4722" i="72"/>
  <c r="K4723" i="72"/>
  <c r="L4723" i="72"/>
  <c r="K4724" i="72"/>
  <c r="L4724" i="72"/>
  <c r="K4725" i="72"/>
  <c r="L4725" i="72"/>
  <c r="K4726" i="72"/>
  <c r="L4726" i="72"/>
  <c r="K4727" i="72"/>
  <c r="L4727" i="72"/>
  <c r="K4728" i="72"/>
  <c r="L4728" i="72"/>
  <c r="K4729" i="72"/>
  <c r="L4729" i="72"/>
  <c r="K4730" i="72"/>
  <c r="L4730" i="72"/>
  <c r="K4731" i="72"/>
  <c r="L4731" i="72"/>
  <c r="K4732" i="72"/>
  <c r="L4732" i="72"/>
  <c r="K4733" i="72"/>
  <c r="L4733" i="72"/>
  <c r="K4734" i="72"/>
  <c r="L4734" i="72"/>
  <c r="K4735" i="72"/>
  <c r="L4735" i="72"/>
  <c r="K4736" i="72"/>
  <c r="L4736" i="72"/>
  <c r="K4737" i="72"/>
  <c r="L4737" i="72"/>
  <c r="K4738" i="72"/>
  <c r="L4738" i="72"/>
  <c r="K4739" i="72"/>
  <c r="L4739" i="72"/>
  <c r="K4740" i="72"/>
  <c r="L4740" i="72"/>
  <c r="K4741" i="72"/>
  <c r="L4741" i="72"/>
  <c r="K4742" i="72"/>
  <c r="L4742" i="72"/>
  <c r="K4743" i="72"/>
  <c r="L4743" i="72"/>
  <c r="K4744" i="72"/>
  <c r="L4744" i="72"/>
  <c r="K4745" i="72"/>
  <c r="L4745" i="72"/>
  <c r="K4746" i="72"/>
  <c r="L4746" i="72"/>
  <c r="K4747" i="72"/>
  <c r="L4747" i="72"/>
  <c r="K4748" i="72"/>
  <c r="L4748" i="72"/>
  <c r="K4749" i="72"/>
  <c r="L4749" i="72"/>
  <c r="K4750" i="72"/>
  <c r="L4750" i="72"/>
  <c r="K4751" i="72"/>
  <c r="L4751" i="72"/>
  <c r="K4752" i="72"/>
  <c r="L4752" i="72"/>
  <c r="K4753" i="72"/>
  <c r="L4753" i="72"/>
  <c r="K4754" i="72"/>
  <c r="L4754" i="72"/>
  <c r="K4755" i="72"/>
  <c r="L4755" i="72"/>
  <c r="K4756" i="72"/>
  <c r="L4756" i="72"/>
  <c r="K4757" i="72"/>
  <c r="L4757" i="72"/>
  <c r="K4758" i="72"/>
  <c r="L4758" i="72"/>
  <c r="K4759" i="72"/>
  <c r="L4759" i="72"/>
  <c r="K4760" i="72"/>
  <c r="L4760" i="72"/>
  <c r="K4761" i="72"/>
  <c r="L4761" i="72"/>
  <c r="K4762" i="72"/>
  <c r="L4762" i="72"/>
  <c r="K4763" i="72"/>
  <c r="L4763" i="72"/>
  <c r="K4764" i="72"/>
  <c r="L4764" i="72"/>
  <c r="K4765" i="72"/>
  <c r="L4765" i="72"/>
  <c r="K4766" i="72"/>
  <c r="L4766" i="72"/>
  <c r="K4767" i="72"/>
  <c r="L4767" i="72"/>
  <c r="K4768" i="72"/>
  <c r="L4768" i="72"/>
  <c r="K4769" i="72"/>
  <c r="L4769" i="72"/>
  <c r="K4770" i="72"/>
  <c r="L4770" i="72"/>
  <c r="K4771" i="72"/>
  <c r="L4771" i="72"/>
  <c r="K4772" i="72"/>
  <c r="L4772" i="72"/>
  <c r="K4773" i="72"/>
  <c r="L4773" i="72"/>
  <c r="K4774" i="72"/>
  <c r="L4774" i="72"/>
  <c r="K4775" i="72"/>
  <c r="L4775" i="72"/>
  <c r="K4776" i="72"/>
  <c r="L4776" i="72"/>
  <c r="K4777" i="72"/>
  <c r="L4777" i="72"/>
  <c r="K4778" i="72"/>
  <c r="L4778" i="72"/>
  <c r="K4779" i="72"/>
  <c r="L4779" i="72"/>
  <c r="K4780" i="72"/>
  <c r="L4780" i="72"/>
  <c r="K4781" i="72"/>
  <c r="L4781" i="72"/>
  <c r="K4782" i="72"/>
  <c r="L4782" i="72"/>
  <c r="K4783" i="72"/>
  <c r="L4783" i="72"/>
  <c r="K4784" i="72"/>
  <c r="L4784" i="72"/>
  <c r="K4785" i="72"/>
  <c r="L4785" i="72"/>
  <c r="K4786" i="72"/>
  <c r="L4786" i="72"/>
  <c r="K4787" i="72"/>
  <c r="L4787" i="72"/>
  <c r="K4788" i="72"/>
  <c r="L4788" i="72"/>
  <c r="K4789" i="72"/>
  <c r="L4789" i="72"/>
  <c r="K4790" i="72"/>
  <c r="L4790" i="72"/>
  <c r="K4791" i="72"/>
  <c r="L4791" i="72"/>
  <c r="K4792" i="72"/>
  <c r="L4792" i="72"/>
  <c r="K4793" i="72"/>
  <c r="L4793" i="72"/>
  <c r="K4794" i="72"/>
  <c r="L4794" i="72"/>
  <c r="K4795" i="72"/>
  <c r="L4795" i="72"/>
  <c r="K4796" i="72"/>
  <c r="L4796" i="72"/>
  <c r="K4797" i="72"/>
  <c r="L4797" i="72"/>
  <c r="K4798" i="72"/>
  <c r="L4798" i="72"/>
  <c r="K4799" i="72"/>
  <c r="L4799" i="72"/>
  <c r="K4800" i="72"/>
  <c r="L4800" i="72"/>
  <c r="K4801" i="72"/>
  <c r="L4801" i="72"/>
  <c r="K4802" i="72"/>
  <c r="L4802" i="72"/>
  <c r="K4803" i="72"/>
  <c r="L4803" i="72"/>
  <c r="K4804" i="72"/>
  <c r="L4804" i="72"/>
  <c r="K4805" i="72"/>
  <c r="L4805" i="72"/>
  <c r="K4806" i="72"/>
  <c r="L4806" i="72"/>
  <c r="K4807" i="72"/>
  <c r="L4807" i="72"/>
  <c r="K4808" i="72"/>
  <c r="L4808" i="72"/>
  <c r="K4809" i="72"/>
  <c r="L4809" i="72"/>
  <c r="K4810" i="72"/>
  <c r="L4810" i="72"/>
  <c r="K4811" i="72"/>
  <c r="L4811" i="72"/>
  <c r="K4812" i="72"/>
  <c r="L4812" i="72"/>
  <c r="K4813" i="72"/>
  <c r="L4813" i="72"/>
  <c r="K4814" i="72"/>
  <c r="L4814" i="72"/>
  <c r="K4815" i="72"/>
  <c r="L4815" i="72"/>
  <c r="K4816" i="72"/>
  <c r="L4816" i="72"/>
  <c r="K4817" i="72"/>
  <c r="L4817" i="72"/>
  <c r="K4818" i="72"/>
  <c r="L4818" i="72"/>
  <c r="K4819" i="72"/>
  <c r="L4819" i="72"/>
  <c r="K4820" i="72"/>
  <c r="L4820" i="72"/>
  <c r="K4821" i="72"/>
  <c r="L4821" i="72"/>
  <c r="K4822" i="72"/>
  <c r="L4822" i="72"/>
  <c r="K4823" i="72"/>
  <c r="L4823" i="72"/>
  <c r="K4824" i="72"/>
  <c r="L4824" i="72"/>
  <c r="K4825" i="72"/>
  <c r="L4825" i="72"/>
  <c r="K4826" i="72"/>
  <c r="L4826" i="72"/>
  <c r="K4827" i="72"/>
  <c r="L4827" i="72"/>
  <c r="K4828" i="72"/>
  <c r="L4828" i="72"/>
  <c r="K4829" i="72"/>
  <c r="L4829" i="72"/>
  <c r="K4830" i="72"/>
  <c r="L4830" i="72"/>
  <c r="K4831" i="72"/>
  <c r="L4831" i="72"/>
  <c r="K4832" i="72"/>
  <c r="L4832" i="72"/>
  <c r="K4833" i="72"/>
  <c r="L4833" i="72"/>
  <c r="K4834" i="72"/>
  <c r="L4834" i="72"/>
  <c r="K4835" i="72"/>
  <c r="L4835" i="72"/>
  <c r="K4836" i="72"/>
  <c r="L4836" i="72"/>
  <c r="K4837" i="72"/>
  <c r="L4837" i="72"/>
  <c r="K4838" i="72"/>
  <c r="L4838" i="72"/>
  <c r="K4839" i="72"/>
  <c r="L4839" i="72"/>
  <c r="K4840" i="72"/>
  <c r="L4840" i="72"/>
  <c r="K4841" i="72"/>
  <c r="L4841" i="72"/>
  <c r="K4842" i="72"/>
  <c r="L4842" i="72"/>
  <c r="K4843" i="72"/>
  <c r="L4843" i="72"/>
  <c r="K4844" i="72"/>
  <c r="L4844" i="72"/>
  <c r="K4845" i="72"/>
  <c r="L4845" i="72"/>
  <c r="K4846" i="72"/>
  <c r="L4846" i="72"/>
  <c r="K4847" i="72"/>
  <c r="L4847" i="72"/>
  <c r="K4848" i="72"/>
  <c r="L4848" i="72"/>
  <c r="K4849" i="72"/>
  <c r="L4849" i="72"/>
  <c r="K4850" i="72"/>
  <c r="L4850" i="72"/>
  <c r="K4851" i="72"/>
  <c r="L4851" i="72"/>
  <c r="K4852" i="72"/>
  <c r="L4852" i="72"/>
  <c r="K4853" i="72"/>
  <c r="L4853" i="72"/>
  <c r="K4854" i="72"/>
  <c r="L4854" i="72"/>
  <c r="K4855" i="72"/>
  <c r="L4855" i="72"/>
  <c r="K4856" i="72"/>
  <c r="L4856" i="72"/>
  <c r="K4857" i="72"/>
  <c r="L4857" i="72"/>
  <c r="K4858" i="72"/>
  <c r="L4858" i="72"/>
  <c r="K4859" i="72"/>
  <c r="L4859" i="72"/>
  <c r="K4860" i="72"/>
  <c r="L4860" i="72"/>
  <c r="K4861" i="72"/>
  <c r="L4861" i="72"/>
  <c r="K4862" i="72"/>
  <c r="L4862" i="72"/>
  <c r="K4863" i="72"/>
  <c r="L4863" i="72"/>
  <c r="K4864" i="72"/>
  <c r="L4864" i="72"/>
  <c r="K4865" i="72"/>
  <c r="L4865" i="72"/>
  <c r="K4866" i="72"/>
  <c r="L4866" i="72"/>
  <c r="K4867" i="72"/>
  <c r="L4867" i="72"/>
  <c r="K4868" i="72"/>
  <c r="L4868" i="72"/>
  <c r="K4869" i="72"/>
  <c r="L4869" i="72"/>
  <c r="K4870" i="72"/>
  <c r="L4870" i="72"/>
  <c r="K4871" i="72"/>
  <c r="L4871" i="72"/>
  <c r="K4872" i="72"/>
  <c r="L4872" i="72"/>
  <c r="K4873" i="72"/>
  <c r="L4873" i="72"/>
  <c r="K4874" i="72"/>
  <c r="L4874" i="72"/>
  <c r="K4875" i="72"/>
  <c r="L4875" i="72"/>
  <c r="K4876" i="72"/>
  <c r="L4876" i="72"/>
  <c r="K4877" i="72"/>
  <c r="L4877" i="72"/>
  <c r="K4878" i="72"/>
  <c r="L4878" i="72"/>
  <c r="K4879" i="72"/>
  <c r="L4879" i="72"/>
  <c r="K4880" i="72"/>
  <c r="L4880" i="72"/>
  <c r="K4881" i="72"/>
  <c r="L4881" i="72"/>
  <c r="K4882" i="72"/>
  <c r="L4882" i="72"/>
  <c r="K4883" i="72"/>
  <c r="L4883" i="72"/>
  <c r="K4884" i="72"/>
  <c r="L4884" i="72"/>
  <c r="K4885" i="72"/>
  <c r="L4885" i="72"/>
  <c r="K4886" i="72"/>
  <c r="L4886" i="72"/>
  <c r="K4887" i="72"/>
  <c r="L4887" i="72"/>
  <c r="K4888" i="72"/>
  <c r="L4888" i="72"/>
  <c r="K4889" i="72"/>
  <c r="L4889" i="72"/>
  <c r="K4890" i="72"/>
  <c r="L4890" i="72"/>
  <c r="K4891" i="72"/>
  <c r="L4891" i="72"/>
  <c r="K4892" i="72"/>
  <c r="L4892" i="72"/>
  <c r="K4893" i="72"/>
  <c r="L4893" i="72"/>
  <c r="K4894" i="72"/>
  <c r="L4894" i="72"/>
  <c r="K4895" i="72"/>
  <c r="L4895" i="72"/>
  <c r="K4896" i="72"/>
  <c r="L4896" i="72"/>
  <c r="K4897" i="72"/>
  <c r="L4897" i="72"/>
  <c r="K4898" i="72"/>
  <c r="L4898" i="72"/>
  <c r="K4899" i="72"/>
  <c r="L4899" i="72"/>
  <c r="K4900" i="72"/>
  <c r="L4900" i="72"/>
  <c r="K4901" i="72"/>
  <c r="L4901" i="72"/>
  <c r="K4902" i="72"/>
  <c r="L4902" i="72"/>
  <c r="K4903" i="72"/>
  <c r="L4903" i="72"/>
  <c r="K4904" i="72"/>
  <c r="L4904" i="72"/>
  <c r="K4905" i="72"/>
  <c r="L4905" i="72"/>
  <c r="K4906" i="72"/>
  <c r="L4906" i="72"/>
  <c r="K4907" i="72"/>
  <c r="L4907" i="72"/>
  <c r="K4908" i="72"/>
  <c r="L4908" i="72"/>
  <c r="K4909" i="72"/>
  <c r="L4909" i="72"/>
  <c r="K4910" i="72"/>
  <c r="L4910" i="72"/>
  <c r="K4911" i="72"/>
  <c r="L4911" i="72"/>
  <c r="K4912" i="72"/>
  <c r="L4912" i="72"/>
  <c r="K4913" i="72"/>
  <c r="L4913" i="72"/>
  <c r="K4914" i="72"/>
  <c r="L4914" i="72"/>
  <c r="K4915" i="72"/>
  <c r="L4915" i="72"/>
  <c r="K4916" i="72"/>
  <c r="L4916" i="72"/>
  <c r="K4917" i="72"/>
  <c r="L4917" i="72"/>
  <c r="K4918" i="72"/>
  <c r="L4918" i="72"/>
  <c r="K4919" i="72"/>
  <c r="L4919" i="72"/>
  <c r="K4920" i="72"/>
  <c r="L4920" i="72"/>
  <c r="K4921" i="72"/>
  <c r="L4921" i="72"/>
  <c r="K4922" i="72"/>
  <c r="L4922" i="72"/>
  <c r="K4923" i="72"/>
  <c r="L4923" i="72"/>
  <c r="K4924" i="72"/>
  <c r="L4924" i="72"/>
  <c r="K4925" i="72"/>
  <c r="L4925" i="72"/>
  <c r="K4926" i="72"/>
  <c r="L4926" i="72"/>
  <c r="K4927" i="72"/>
  <c r="L4927" i="72"/>
  <c r="K4928" i="72"/>
  <c r="L4928" i="72"/>
  <c r="K4929" i="72"/>
  <c r="L4929" i="72"/>
  <c r="K4930" i="72"/>
  <c r="L4930" i="72"/>
  <c r="K4931" i="72"/>
  <c r="L4931" i="72"/>
  <c r="K4932" i="72"/>
  <c r="L4932" i="72"/>
  <c r="K4933" i="72"/>
  <c r="L4933" i="72"/>
  <c r="K4934" i="72"/>
  <c r="L4934" i="72"/>
  <c r="K4935" i="72"/>
  <c r="L4935" i="72"/>
  <c r="K4936" i="72"/>
  <c r="L4936" i="72"/>
  <c r="K4937" i="72"/>
  <c r="L4937" i="72"/>
  <c r="K4938" i="72"/>
  <c r="L4938" i="72"/>
  <c r="K4939" i="72"/>
  <c r="L4939" i="72"/>
  <c r="K4940" i="72"/>
  <c r="L4940" i="72"/>
  <c r="K4941" i="72"/>
  <c r="L4941" i="72"/>
  <c r="K4942" i="72"/>
  <c r="L4942" i="72"/>
  <c r="K4943" i="72"/>
  <c r="L4943" i="72"/>
  <c r="K4944" i="72"/>
  <c r="L4944" i="72"/>
  <c r="K4945" i="72"/>
  <c r="L4945" i="72"/>
  <c r="K4946" i="72"/>
  <c r="L4946" i="72"/>
  <c r="K4947" i="72"/>
  <c r="L4947" i="72"/>
  <c r="K4948" i="72"/>
  <c r="L4948" i="72"/>
  <c r="K4949" i="72"/>
  <c r="L4949" i="72"/>
  <c r="K4950" i="72"/>
  <c r="L4950" i="72"/>
  <c r="K4951" i="72"/>
  <c r="L4951" i="72"/>
  <c r="K4952" i="72"/>
  <c r="L4952" i="72"/>
  <c r="K4953" i="72"/>
  <c r="L4953" i="72"/>
  <c r="K4954" i="72"/>
  <c r="L4954" i="72"/>
  <c r="K4955" i="72"/>
  <c r="L4955" i="72"/>
  <c r="K4956" i="72"/>
  <c r="L4956" i="72"/>
  <c r="K4957" i="72"/>
  <c r="L4957" i="72"/>
  <c r="K4958" i="72"/>
  <c r="L4958" i="72"/>
  <c r="K4959" i="72"/>
  <c r="L4959" i="72"/>
  <c r="K4960" i="72"/>
  <c r="L4960" i="72"/>
  <c r="K4961" i="72"/>
  <c r="L4961" i="72"/>
  <c r="K4962" i="72"/>
  <c r="L4962" i="72"/>
  <c r="K4963" i="72"/>
  <c r="L4963" i="72"/>
  <c r="K4964" i="72"/>
  <c r="L4964" i="72"/>
  <c r="K4965" i="72"/>
  <c r="L4965" i="72"/>
  <c r="K4966" i="72"/>
  <c r="L4966" i="72"/>
  <c r="K4967" i="72"/>
  <c r="L4967" i="72"/>
  <c r="K4968" i="72"/>
  <c r="L4968" i="72"/>
  <c r="K4969" i="72"/>
  <c r="L4969" i="72"/>
  <c r="K4970" i="72"/>
  <c r="L4970" i="72"/>
  <c r="K4971" i="72"/>
  <c r="L4971" i="72"/>
  <c r="K4972" i="72"/>
  <c r="L4972" i="72"/>
  <c r="K4973" i="72"/>
  <c r="L4973" i="72"/>
  <c r="K4974" i="72"/>
  <c r="L4974" i="72"/>
  <c r="K4975" i="72"/>
  <c r="L4975" i="72"/>
  <c r="K4976" i="72"/>
  <c r="L4976" i="72"/>
  <c r="K4977" i="72"/>
  <c r="L4977" i="72"/>
  <c r="K4978" i="72"/>
  <c r="L4978" i="72"/>
  <c r="K4979" i="72"/>
  <c r="L4979" i="72"/>
  <c r="K4980" i="72"/>
  <c r="L4980" i="72"/>
  <c r="K4981" i="72"/>
  <c r="L4981" i="72"/>
  <c r="K4982" i="72"/>
  <c r="L4982" i="72"/>
  <c r="K4983" i="72"/>
  <c r="L4983" i="72"/>
  <c r="K4984" i="72"/>
  <c r="L4984" i="72"/>
  <c r="K4985" i="72"/>
  <c r="L4985" i="72"/>
  <c r="K4986" i="72"/>
  <c r="L4986" i="72"/>
  <c r="K4987" i="72"/>
  <c r="L4987" i="72"/>
  <c r="K4988" i="72"/>
  <c r="L4988" i="72"/>
  <c r="K4989" i="72"/>
  <c r="L4989" i="72"/>
  <c r="K4990" i="72"/>
  <c r="L4990" i="72"/>
  <c r="K4991" i="72"/>
  <c r="L4991" i="72"/>
  <c r="K4992" i="72"/>
  <c r="L4992" i="72"/>
  <c r="K4993" i="72"/>
  <c r="L4993" i="72"/>
  <c r="K4994" i="72"/>
  <c r="L4994" i="72"/>
  <c r="K4995" i="72"/>
  <c r="L4995" i="72"/>
  <c r="K4996" i="72"/>
  <c r="L4996" i="72"/>
  <c r="K4997" i="72"/>
  <c r="L4997" i="72"/>
  <c r="K4998" i="72"/>
  <c r="L4998" i="72"/>
  <c r="K4999" i="72"/>
  <c r="L4999" i="72"/>
  <c r="K5000" i="72"/>
  <c r="L5000" i="72"/>
  <c r="K5001" i="72"/>
  <c r="L5001" i="72"/>
  <c r="K5002" i="72"/>
  <c r="L5002" i="72"/>
  <c r="K5003" i="72"/>
  <c r="L5003" i="72"/>
  <c r="K5004" i="72"/>
  <c r="L5004" i="72"/>
  <c r="K5005" i="72"/>
  <c r="L5005" i="72"/>
  <c r="K5006" i="72"/>
  <c r="L5006" i="72"/>
  <c r="K5007" i="72"/>
  <c r="L5007" i="72"/>
  <c r="K5008" i="72"/>
  <c r="L5008" i="72"/>
  <c r="K5009" i="72"/>
  <c r="L5009" i="72"/>
  <c r="K5010" i="72"/>
  <c r="L5010" i="72"/>
  <c r="K5011" i="72"/>
  <c r="L5011" i="72"/>
  <c r="K5012" i="72"/>
  <c r="L5012" i="72"/>
  <c r="K5013" i="72"/>
  <c r="L5013" i="72"/>
  <c r="K5014" i="72"/>
  <c r="L5014" i="72"/>
  <c r="K5015" i="72"/>
  <c r="L5015" i="72"/>
  <c r="K5016" i="72"/>
  <c r="L5016" i="72"/>
  <c r="K5017" i="72"/>
  <c r="L5017" i="72"/>
  <c r="K5018" i="72"/>
  <c r="L5018" i="72"/>
  <c r="K5019" i="72"/>
  <c r="L5019" i="72"/>
  <c r="K5020" i="72"/>
  <c r="L5020" i="72"/>
  <c r="K5021" i="72"/>
  <c r="L5021" i="72"/>
  <c r="K5022" i="72"/>
  <c r="L5022" i="72"/>
  <c r="K5023" i="72"/>
  <c r="L5023" i="72"/>
  <c r="K5024" i="72"/>
  <c r="L5024" i="72"/>
  <c r="K5025" i="72"/>
  <c r="L5025" i="72"/>
  <c r="K5026" i="72"/>
  <c r="L5026" i="72"/>
  <c r="K5027" i="72"/>
  <c r="L5027" i="72"/>
  <c r="K5028" i="72"/>
  <c r="L5028" i="72"/>
  <c r="K5029" i="72"/>
  <c r="L5029" i="72"/>
  <c r="K5030" i="72"/>
  <c r="L5030" i="72"/>
  <c r="K5031" i="72"/>
  <c r="L5031" i="72"/>
  <c r="K5032" i="72"/>
  <c r="L5032" i="72"/>
  <c r="K5033" i="72"/>
  <c r="L5033" i="72"/>
  <c r="K5034" i="72"/>
  <c r="L5034" i="72"/>
  <c r="K5035" i="72"/>
  <c r="L5035" i="72"/>
  <c r="K5036" i="72"/>
  <c r="L5036" i="72"/>
  <c r="H2757" i="9"/>
  <c r="F56" i="8"/>
  <c r="H2332" i="9"/>
  <c r="H2333" i="9"/>
  <c r="F80" i="8"/>
  <c r="F82" i="8"/>
  <c r="F84" i="8"/>
  <c r="M2301" i="9"/>
  <c r="I2301" i="9" s="1"/>
  <c r="I2302" i="9" s="1"/>
  <c r="I2304" i="9" s="1"/>
  <c r="H34" i="44" s="1"/>
  <c r="M2452" i="9"/>
  <c r="I2452" i="9"/>
  <c r="I2453" i="9" s="1"/>
  <c r="J2491" i="9" s="1"/>
  <c r="J2492" i="9" s="1"/>
  <c r="M5038" i="72"/>
  <c r="M5039" i="72" s="1"/>
  <c r="I2491" i="9"/>
  <c r="I2492" i="9" s="1"/>
  <c r="G80" i="8"/>
  <c r="G84" i="8"/>
  <c r="N2301" i="9"/>
  <c r="J2301" i="9" s="1"/>
  <c r="J2302" i="9" s="1"/>
  <c r="J2304" i="9" s="1"/>
  <c r="I34" i="44" s="1"/>
  <c r="H82" i="8"/>
  <c r="H84" i="8"/>
  <c r="B10" i="8"/>
  <c r="B12" i="8"/>
  <c r="B14" i="8"/>
  <c r="B16" i="8"/>
  <c r="B18" i="8"/>
  <c r="B80" i="8"/>
  <c r="B82" i="8"/>
  <c r="B84" i="8"/>
  <c r="H3288" i="9"/>
  <c r="H3296" i="9"/>
  <c r="I3288" i="9"/>
  <c r="I3296" i="9"/>
  <c r="J3288" i="9"/>
  <c r="J3296" i="9"/>
  <c r="H3281" i="9"/>
  <c r="H3282" i="9"/>
  <c r="H3295" i="9"/>
  <c r="I3295" i="9"/>
  <c r="J3295" i="9"/>
  <c r="H3283" i="9"/>
  <c r="H3284" i="9"/>
  <c r="H3285" i="9"/>
  <c r="H3286" i="9"/>
  <c r="H3290" i="9"/>
  <c r="I3290" i="9"/>
  <c r="J3290" i="9"/>
  <c r="H3293" i="9"/>
  <c r="H3289" i="9"/>
  <c r="I3289" i="9"/>
  <c r="J3289" i="9"/>
  <c r="H3291" i="9"/>
  <c r="I3291" i="9"/>
  <c r="J3291" i="9"/>
  <c r="H3292" i="9"/>
  <c r="I3292" i="9"/>
  <c r="J3292" i="9"/>
  <c r="H3287" i="9"/>
  <c r="H3303" i="9"/>
  <c r="H3304" i="9"/>
  <c r="H3305" i="9"/>
  <c r="H3306" i="9"/>
  <c r="H3310" i="9"/>
  <c r="I3303" i="9"/>
  <c r="I3304" i="9"/>
  <c r="I3305" i="9"/>
  <c r="I3306" i="9"/>
  <c r="I3310" i="9"/>
  <c r="J3303" i="9"/>
  <c r="J3304" i="9"/>
  <c r="J3305" i="9"/>
  <c r="J3306" i="9"/>
  <c r="J3310" i="9"/>
  <c r="H3301" i="9"/>
  <c r="I3301" i="9"/>
  <c r="J3301" i="9"/>
  <c r="H3309" i="9"/>
  <c r="I3309" i="9"/>
  <c r="J3309" i="9"/>
  <c r="H3311" i="9"/>
  <c r="I3311" i="9"/>
  <c r="J3311" i="9"/>
  <c r="H3312" i="9"/>
  <c r="I3312" i="9"/>
  <c r="J3312" i="9"/>
  <c r="H3308" i="9"/>
  <c r="I3308" i="9"/>
  <c r="J3308" i="9"/>
  <c r="H3307" i="9"/>
  <c r="I3307" i="9"/>
  <c r="J3307" i="9"/>
  <c r="H3300" i="9"/>
  <c r="H3302" i="9"/>
  <c r="I3300" i="9"/>
  <c r="I3302" i="9"/>
  <c r="J3300" i="9"/>
  <c r="J3302" i="9"/>
  <c r="H3320" i="9"/>
  <c r="H3321" i="9"/>
  <c r="H3322" i="9"/>
  <c r="H3326" i="9"/>
  <c r="I3321" i="9"/>
  <c r="I3322" i="9"/>
  <c r="I3326" i="9"/>
  <c r="J3321" i="9"/>
  <c r="J3322" i="9"/>
  <c r="J3326" i="9"/>
  <c r="H3324" i="9"/>
  <c r="I3324" i="9"/>
  <c r="J3324" i="9"/>
  <c r="H3325" i="9"/>
  <c r="I3325" i="9"/>
  <c r="J3325" i="9"/>
  <c r="H3323" i="9"/>
  <c r="I3323" i="9"/>
  <c r="J3323" i="9"/>
  <c r="D3051" i="9"/>
  <c r="D3053" i="9" s="1"/>
  <c r="D3059" i="9" s="1"/>
  <c r="D39" i="45" s="1"/>
  <c r="C21" i="26" s="1"/>
  <c r="D3047" i="9"/>
  <c r="D3057" i="9"/>
  <c r="E3051" i="9"/>
  <c r="E3047" i="9"/>
  <c r="E3053" i="9" s="1"/>
  <c r="E3059" i="9" s="1"/>
  <c r="E39" i="45" s="1"/>
  <c r="D21" i="26" s="1"/>
  <c r="E3057" i="9"/>
  <c r="G3050" i="9"/>
  <c r="G3051" i="9" s="1"/>
  <c r="G3053" i="9" s="1"/>
  <c r="G3059" i="9" s="1"/>
  <c r="F39" i="45" s="1"/>
  <c r="E21" i="26" s="1"/>
  <c r="G3046" i="9"/>
  <c r="G3047" i="9" s="1"/>
  <c r="G3056" i="9"/>
  <c r="G3057" i="9" s="1"/>
  <c r="H3050" i="9"/>
  <c r="H3051" i="9" s="1"/>
  <c r="H3046" i="9"/>
  <c r="H3047" i="9" s="1"/>
  <c r="H3057" i="9"/>
  <c r="I3056" i="9"/>
  <c r="J3056" i="9" s="1"/>
  <c r="J3057" i="9" s="1"/>
  <c r="I3057" i="9"/>
  <c r="C3043" i="9"/>
  <c r="C3047" i="9"/>
  <c r="C3051" i="9"/>
  <c r="C3053" i="9"/>
  <c r="C3059" i="9" s="1"/>
  <c r="C39" i="45" s="1"/>
  <c r="B21" i="26" s="1"/>
  <c r="C3057" i="9"/>
  <c r="D2938" i="9"/>
  <c r="D2942" i="9"/>
  <c r="D2950" i="9"/>
  <c r="D2963" i="9"/>
  <c r="D2969" i="9" s="1"/>
  <c r="D2984" i="9" s="1"/>
  <c r="D38" i="45" s="1"/>
  <c r="C20" i="26" s="1"/>
  <c r="D2967" i="9"/>
  <c r="D2973" i="9"/>
  <c r="D2981" i="9"/>
  <c r="D2982" i="9" s="1"/>
  <c r="E2937" i="9"/>
  <c r="E2938" i="9"/>
  <c r="E2969" i="9" s="1"/>
  <c r="E2984" i="9" s="1"/>
  <c r="E38" i="45" s="1"/>
  <c r="D20" i="26" s="1"/>
  <c r="E2942" i="9"/>
  <c r="E2950" i="9"/>
  <c r="E2963" i="9"/>
  <c r="E2967" i="9"/>
  <c r="E2973" i="9"/>
  <c r="E2982" i="9"/>
  <c r="G2925" i="9"/>
  <c r="G2938" i="9" s="1"/>
  <c r="G2927" i="9"/>
  <c r="G2930" i="9"/>
  <c r="G2933" i="9"/>
  <c r="G2936" i="9"/>
  <c r="G2937" i="9"/>
  <c r="G2941" i="9"/>
  <c r="G2942" i="9" s="1"/>
  <c r="G2945" i="9"/>
  <c r="G2950" i="9" s="1"/>
  <c r="G2946" i="9"/>
  <c r="G2947" i="9"/>
  <c r="G2948" i="9"/>
  <c r="G2949" i="9"/>
  <c r="G2963" i="9"/>
  <c r="G2966" i="9"/>
  <c r="G2967" i="9"/>
  <c r="G2972" i="9"/>
  <c r="G2973" i="9"/>
  <c r="G2981" i="9"/>
  <c r="G2982" i="9"/>
  <c r="H2942" i="9"/>
  <c r="H2966" i="9"/>
  <c r="H2967" i="9" s="1"/>
  <c r="H2973" i="9"/>
  <c r="H2982" i="9"/>
  <c r="I2942" i="9"/>
  <c r="I2946" i="9"/>
  <c r="I2947" i="9"/>
  <c r="I2960" i="9"/>
  <c r="I2966" i="9"/>
  <c r="I2967" i="9" s="1"/>
  <c r="I2973" i="9"/>
  <c r="I2982" i="9"/>
  <c r="J2942" i="9"/>
  <c r="J2946" i="9"/>
  <c r="J2947" i="9"/>
  <c r="J2960" i="9"/>
  <c r="J2966" i="9"/>
  <c r="J2967" i="9" s="1"/>
  <c r="J2973" i="9"/>
  <c r="J2982" i="9"/>
  <c r="C2938" i="9"/>
  <c r="C2969" i="9" s="1"/>
  <c r="C2984" i="9" s="1"/>
  <c r="C38" i="45" s="1"/>
  <c r="B20" i="26" s="1"/>
  <c r="C2942" i="9"/>
  <c r="C2950" i="9"/>
  <c r="C2963" i="9"/>
  <c r="C2967" i="9"/>
  <c r="C2973" i="9"/>
  <c r="C2982" i="9"/>
  <c r="D2791" i="9"/>
  <c r="D2804" i="9"/>
  <c r="D2839" i="9"/>
  <c r="D2795" i="9"/>
  <c r="D2843" i="9"/>
  <c r="D2845" i="9"/>
  <c r="D2849" i="9"/>
  <c r="D2857" i="9"/>
  <c r="D2860" i="9"/>
  <c r="D2861" i="9" s="1"/>
  <c r="E2775" i="9"/>
  <c r="E2776" i="9"/>
  <c r="E2777" i="9"/>
  <c r="E2779" i="9"/>
  <c r="E2780" i="9"/>
  <c r="E2781" i="9"/>
  <c r="E2782" i="9"/>
  <c r="E2783" i="9"/>
  <c r="E2785" i="9"/>
  <c r="E2786" i="9"/>
  <c r="E2791" i="9"/>
  <c r="E2804" i="9"/>
  <c r="E2839" i="9"/>
  <c r="E2795" i="9"/>
  <c r="E2843" i="9"/>
  <c r="E2849" i="9"/>
  <c r="E2857" i="9"/>
  <c r="E2861" i="9"/>
  <c r="G2774" i="9"/>
  <c r="G2775" i="9"/>
  <c r="G2776" i="9"/>
  <c r="G2777" i="9"/>
  <c r="G2778" i="9"/>
  <c r="G2779" i="9"/>
  <c r="G2780" i="9"/>
  <c r="G2781" i="9"/>
  <c r="G2782" i="9"/>
  <c r="G2784" i="9"/>
  <c r="G2785" i="9"/>
  <c r="G2786" i="9"/>
  <c r="G2790" i="9"/>
  <c r="G2791" i="9" s="1"/>
  <c r="G2798" i="9"/>
  <c r="G2804" i="9" s="1"/>
  <c r="G2799" i="9"/>
  <c r="G2800" i="9"/>
  <c r="G2801" i="9"/>
  <c r="G2802" i="9"/>
  <c r="G2803" i="9"/>
  <c r="G2821" i="9"/>
  <c r="G2822" i="9"/>
  <c r="G2823" i="9"/>
  <c r="G2824" i="9"/>
  <c r="G2825" i="9"/>
  <c r="G2826" i="9"/>
  <c r="G2828" i="9"/>
  <c r="G2829" i="9"/>
  <c r="G2830" i="9"/>
  <c r="G2831" i="9"/>
  <c r="G2832" i="9"/>
  <c r="G2833" i="9"/>
  <c r="G2834" i="9"/>
  <c r="G2835" i="9"/>
  <c r="G2836" i="9"/>
  <c r="G2837" i="9"/>
  <c r="G2838" i="9"/>
  <c r="G2794" i="9"/>
  <c r="G2795" i="9" s="1"/>
  <c r="G2842" i="9"/>
  <c r="G2843" i="9" s="1"/>
  <c r="G3160" i="9" s="1"/>
  <c r="E62" i="8" s="1"/>
  <c r="G2848" i="9"/>
  <c r="G2849" i="9" s="1"/>
  <c r="G2852" i="9"/>
  <c r="G2857" i="9" s="1"/>
  <c r="G2853" i="9"/>
  <c r="G2854" i="9"/>
  <c r="G2855" i="9"/>
  <c r="G2856" i="9"/>
  <c r="G2860" i="9"/>
  <c r="G2861" i="9" s="1"/>
  <c r="H2747" i="9"/>
  <c r="H2748" i="9" s="1"/>
  <c r="H2798" i="9"/>
  <c r="I2798" i="9" s="1"/>
  <c r="I3337" i="9" s="1"/>
  <c r="H2799" i="9"/>
  <c r="H2802" i="9"/>
  <c r="I2802" i="9"/>
  <c r="J2802" i="9" s="1"/>
  <c r="H2803" i="9"/>
  <c r="I2803" i="9" s="1"/>
  <c r="J2803" i="9" s="1"/>
  <c r="H2821" i="9"/>
  <c r="H2822" i="9"/>
  <c r="H2823" i="9"/>
  <c r="H2825" i="9"/>
  <c r="I2825" i="9" s="1"/>
  <c r="J2825" i="9" s="1"/>
  <c r="H2826" i="9"/>
  <c r="H2827" i="9"/>
  <c r="H2829" i="9"/>
  <c r="H2830" i="9"/>
  <c r="I2830" i="9" s="1"/>
  <c r="J2830" i="9" s="1"/>
  <c r="H2831" i="9"/>
  <c r="H2832" i="9"/>
  <c r="I2832" i="9" s="1"/>
  <c r="J2832" i="9" s="1"/>
  <c r="H2833" i="9"/>
  <c r="H2834" i="9"/>
  <c r="I2834" i="9" s="1"/>
  <c r="J2834" i="9" s="1"/>
  <c r="H2835" i="9"/>
  <c r="H2836" i="9"/>
  <c r="I2836" i="9" s="1"/>
  <c r="J2836" i="9" s="1"/>
  <c r="H2837" i="9"/>
  <c r="H2838" i="9"/>
  <c r="I2838" i="9" s="1"/>
  <c r="J2838" i="9" s="1"/>
  <c r="H2795" i="9"/>
  <c r="H2843" i="9"/>
  <c r="H2849" i="9"/>
  <c r="H2852" i="9"/>
  <c r="H2857" i="9" s="1"/>
  <c r="H2853" i="9"/>
  <c r="I2853" i="9" s="1"/>
  <c r="J2853" i="9" s="1"/>
  <c r="H2854" i="9"/>
  <c r="H2855" i="9"/>
  <c r="I2855" i="9" s="1"/>
  <c r="H2856" i="9"/>
  <c r="H2861" i="9"/>
  <c r="M2747" i="9"/>
  <c r="I2747" i="9"/>
  <c r="I2748" i="9" s="1"/>
  <c r="I2799" i="9"/>
  <c r="J2799" i="9" s="1"/>
  <c r="J3373" i="9" s="1"/>
  <c r="I2800" i="9"/>
  <c r="J2800" i="9" s="1"/>
  <c r="I2821" i="9"/>
  <c r="J2821" i="9"/>
  <c r="I2823" i="9"/>
  <c r="J2823" i="9"/>
  <c r="I2826" i="9"/>
  <c r="I2827" i="9"/>
  <c r="J2827" i="9" s="1"/>
  <c r="I2828" i="9"/>
  <c r="J2828" i="9" s="1"/>
  <c r="I2829" i="9"/>
  <c r="J2829" i="9"/>
  <c r="I2831" i="9"/>
  <c r="J2831" i="9"/>
  <c r="I2833" i="9"/>
  <c r="J2833" i="9"/>
  <c r="I2835" i="9"/>
  <c r="J2835" i="9"/>
  <c r="I2837" i="9"/>
  <c r="J2837" i="9"/>
  <c r="I2795" i="9"/>
  <c r="I2842" i="9"/>
  <c r="I2843" i="9" s="1"/>
  <c r="I2849" i="9"/>
  <c r="I2854" i="9"/>
  <c r="J2854" i="9" s="1"/>
  <c r="I2856" i="9"/>
  <c r="J2856" i="9"/>
  <c r="I2860" i="9"/>
  <c r="I2861" i="9"/>
  <c r="J2826" i="9"/>
  <c r="J2795" i="9"/>
  <c r="J2849" i="9"/>
  <c r="J2860" i="9"/>
  <c r="J2861" i="9" s="1"/>
  <c r="C2787" i="9"/>
  <c r="C2845" i="9" s="1"/>
  <c r="C2863" i="9" s="1"/>
  <c r="C37" i="45" s="1"/>
  <c r="B19" i="26" s="1"/>
  <c r="C2791" i="9"/>
  <c r="C2795" i="9"/>
  <c r="C2804" i="9"/>
  <c r="C2839" i="9"/>
  <c r="C2843" i="9"/>
  <c r="C2849" i="9"/>
  <c r="C2857" i="9"/>
  <c r="C2861" i="9"/>
  <c r="D2628" i="9"/>
  <c r="D2639" i="9"/>
  <c r="D2656" i="9" s="1"/>
  <c r="D2679" i="9" s="1"/>
  <c r="D2685" i="9" s="1"/>
  <c r="D36" i="45" s="1"/>
  <c r="C18" i="26" s="1"/>
  <c r="D2654" i="9"/>
  <c r="D2632" i="9"/>
  <c r="D2677" i="9"/>
  <c r="D2671" i="9"/>
  <c r="D2682" i="9"/>
  <c r="D2683" i="9" s="1"/>
  <c r="E2616" i="9"/>
  <c r="E2628" i="9" s="1"/>
  <c r="E2617" i="9"/>
  <c r="E2618" i="9"/>
  <c r="E2619" i="9"/>
  <c r="E2620" i="9"/>
  <c r="E2622" i="9"/>
  <c r="E2623" i="9"/>
  <c r="E2624" i="9"/>
  <c r="E2625" i="9"/>
  <c r="E2626" i="9"/>
  <c r="E2627" i="9"/>
  <c r="E2654" i="9"/>
  <c r="E2632" i="9"/>
  <c r="E2677" i="9"/>
  <c r="E2671" i="9"/>
  <c r="E2683" i="9"/>
  <c r="G2615" i="9"/>
  <c r="G2616" i="9"/>
  <c r="G2628" i="9" s="1"/>
  <c r="G2617" i="9"/>
  <c r="G2618" i="9"/>
  <c r="G2619" i="9"/>
  <c r="G2620" i="9"/>
  <c r="G2621" i="9"/>
  <c r="G2622" i="9"/>
  <c r="G2623" i="9"/>
  <c r="G2625" i="9"/>
  <c r="G2626" i="9"/>
  <c r="G2627" i="9"/>
  <c r="G2635" i="9"/>
  <c r="G2636" i="9"/>
  <c r="G2637" i="9"/>
  <c r="G2642" i="9"/>
  <c r="G2654" i="9" s="1"/>
  <c r="G2643" i="9"/>
  <c r="G2645" i="9"/>
  <c r="G2646" i="9"/>
  <c r="G2647" i="9"/>
  <c r="G2648" i="9"/>
  <c r="G2649" i="9"/>
  <c r="G2650" i="9"/>
  <c r="G2651" i="9"/>
  <c r="G2652" i="9"/>
  <c r="G2653" i="9"/>
  <c r="G2631" i="9"/>
  <c r="G2632" i="9" s="1"/>
  <c r="G2674" i="9"/>
  <c r="G2677" i="9" s="1"/>
  <c r="G2675" i="9"/>
  <c r="G2676" i="9"/>
  <c r="G2670" i="9"/>
  <c r="G2671" i="9" s="1"/>
  <c r="G2682" i="9"/>
  <c r="G2683" i="9" s="1"/>
  <c r="H2635" i="9"/>
  <c r="H2636" i="9"/>
  <c r="H2642" i="9"/>
  <c r="H2643" i="9"/>
  <c r="I2643" i="9"/>
  <c r="H2644" i="9"/>
  <c r="H2645" i="9"/>
  <c r="I2645" i="9" s="1"/>
  <c r="J2645" i="9" s="1"/>
  <c r="H2646" i="9"/>
  <c r="H2648" i="9"/>
  <c r="I2648" i="9" s="1"/>
  <c r="J2648" i="9" s="1"/>
  <c r="H2649" i="9"/>
  <c r="H2650" i="9"/>
  <c r="I2650" i="9" s="1"/>
  <c r="J2650" i="9" s="1"/>
  <c r="H2651" i="9"/>
  <c r="H2652" i="9"/>
  <c r="I2652" i="9" s="1"/>
  <c r="J2652" i="9" s="1"/>
  <c r="H2653" i="9"/>
  <c r="H2654" i="9"/>
  <c r="H2632" i="9"/>
  <c r="H2674" i="9"/>
  <c r="H2677" i="9" s="1"/>
  <c r="H2675" i="9"/>
  <c r="H2676" i="9"/>
  <c r="H2671" i="9"/>
  <c r="H2683" i="9"/>
  <c r="I2635" i="9"/>
  <c r="J2635" i="9" s="1"/>
  <c r="I2636" i="9"/>
  <c r="I2638" i="9"/>
  <c r="J2638" i="9" s="1"/>
  <c r="I2642" i="9"/>
  <c r="J2642" i="9" s="1"/>
  <c r="I2644" i="9"/>
  <c r="J2644" i="9" s="1"/>
  <c r="I2646" i="9"/>
  <c r="J2646" i="9" s="1"/>
  <c r="I2647" i="9"/>
  <c r="I2649" i="9"/>
  <c r="I2651" i="9"/>
  <c r="I2653" i="9"/>
  <c r="I2632" i="9"/>
  <c r="I2675" i="9"/>
  <c r="J2675" i="9" s="1"/>
  <c r="I2676" i="9"/>
  <c r="J2676" i="9" s="1"/>
  <c r="I2671" i="9"/>
  <c r="I2682" i="9"/>
  <c r="I2683" i="9"/>
  <c r="J2647" i="9"/>
  <c r="J2649" i="9"/>
  <c r="J2651" i="9"/>
  <c r="J2653" i="9"/>
  <c r="J2632" i="9"/>
  <c r="J2671" i="9"/>
  <c r="J2682" i="9"/>
  <c r="J2683" i="9"/>
  <c r="C2628" i="9"/>
  <c r="C2639" i="9"/>
  <c r="C2656" i="9" s="1"/>
  <c r="C2679" i="9" s="1"/>
  <c r="C2685" i="9" s="1"/>
  <c r="C36" i="45" s="1"/>
  <c r="B18" i="26" s="1"/>
  <c r="C2654" i="9"/>
  <c r="C2632" i="9"/>
  <c r="C2677" i="9"/>
  <c r="C2671" i="9"/>
  <c r="C2683" i="9"/>
  <c r="D2488" i="9"/>
  <c r="D2504" i="9"/>
  <c r="D2541" i="9"/>
  <c r="D2547" i="9"/>
  <c r="D2554" i="9"/>
  <c r="D2557" i="9"/>
  <c r="D2558" i="9" s="1"/>
  <c r="E2476" i="9"/>
  <c r="E2488" i="9" s="1"/>
  <c r="E2477" i="9"/>
  <c r="E2478" i="9"/>
  <c r="E2479" i="9"/>
  <c r="E2480" i="9"/>
  <c r="E2482" i="9"/>
  <c r="E2483" i="9"/>
  <c r="E2484" i="9"/>
  <c r="E2486" i="9"/>
  <c r="H2486" i="9" s="1"/>
  <c r="E2487" i="9"/>
  <c r="E2492" i="9"/>
  <c r="E2496" i="9"/>
  <c r="E2541" i="9"/>
  <c r="E2547" i="9"/>
  <c r="E2554" i="9"/>
  <c r="E2558" i="9"/>
  <c r="G2475" i="9"/>
  <c r="G2476" i="9"/>
  <c r="G2477" i="9"/>
  <c r="G2478" i="9"/>
  <c r="G2479" i="9"/>
  <c r="G2480" i="9"/>
  <c r="G2481" i="9"/>
  <c r="G2482" i="9"/>
  <c r="G2484" i="9"/>
  <c r="G2485" i="9"/>
  <c r="G2486" i="9"/>
  <c r="G2487" i="9"/>
  <c r="G2491" i="9"/>
  <c r="G2492" i="9" s="1"/>
  <c r="G2495" i="9"/>
  <c r="G2496" i="9" s="1"/>
  <c r="G2499" i="9"/>
  <c r="G2504" i="9" s="1"/>
  <c r="G2500" i="9"/>
  <c r="G2501" i="9"/>
  <c r="G2502" i="9"/>
  <c r="G2503" i="9"/>
  <c r="G2525" i="9"/>
  <c r="G2526" i="9"/>
  <c r="G2527" i="9"/>
  <c r="G2528" i="9"/>
  <c r="G2529" i="9"/>
  <c r="G2530" i="9"/>
  <c r="G2531" i="9"/>
  <c r="G2532" i="9"/>
  <c r="G2533" i="9"/>
  <c r="G2534" i="9"/>
  <c r="G2535" i="9"/>
  <c r="G2536" i="9"/>
  <c r="G2537" i="9"/>
  <c r="G2538" i="9"/>
  <c r="G2539" i="9"/>
  <c r="G2540" i="9"/>
  <c r="G2541" i="9"/>
  <c r="G2546" i="9"/>
  <c r="G2547" i="9"/>
  <c r="G2550" i="9"/>
  <c r="G2551" i="9"/>
  <c r="G2554" i="9" s="1"/>
  <c r="G2552" i="9"/>
  <c r="G2553" i="9"/>
  <c r="G2557" i="9"/>
  <c r="G2558" i="9" s="1"/>
  <c r="G3191" i="9" s="1"/>
  <c r="G2452" i="9"/>
  <c r="G2453" i="9" s="1"/>
  <c r="H2496" i="9"/>
  <c r="H2499" i="9"/>
  <c r="H2504" i="9" s="1"/>
  <c r="H2500" i="9"/>
  <c r="I2500" i="9" s="1"/>
  <c r="J2500" i="9" s="1"/>
  <c r="H2502" i="9"/>
  <c r="I2502" i="9" s="1"/>
  <c r="H2503" i="9"/>
  <c r="I2503" i="9"/>
  <c r="H2525" i="9"/>
  <c r="I2525" i="9"/>
  <c r="H2526" i="9"/>
  <c r="H2527" i="9"/>
  <c r="I2527" i="9" s="1"/>
  <c r="J2527" i="9" s="1"/>
  <c r="H2528" i="9"/>
  <c r="H2529" i="9"/>
  <c r="I2529" i="9" s="1"/>
  <c r="J2529" i="9" s="1"/>
  <c r="H2530" i="9"/>
  <c r="H2532" i="9"/>
  <c r="I2532" i="9" s="1"/>
  <c r="J2532" i="9" s="1"/>
  <c r="H2533" i="9"/>
  <c r="H2534" i="9"/>
  <c r="H2535" i="9"/>
  <c r="H2536" i="9"/>
  <c r="I2536" i="9" s="1"/>
  <c r="J2536" i="9" s="1"/>
  <c r="H2537" i="9"/>
  <c r="H2538" i="9"/>
  <c r="H2540" i="9"/>
  <c r="H2547" i="9"/>
  <c r="H2550" i="9"/>
  <c r="H2551" i="9"/>
  <c r="H2554" i="9" s="1"/>
  <c r="H2552" i="9"/>
  <c r="H2553" i="9"/>
  <c r="I2553" i="9"/>
  <c r="J2553" i="9" s="1"/>
  <c r="H2558" i="9"/>
  <c r="I2496" i="9"/>
  <c r="I2499" i="9"/>
  <c r="I2501" i="9"/>
  <c r="J2501" i="9" s="1"/>
  <c r="I2526" i="9"/>
  <c r="I2528" i="9"/>
  <c r="I2530" i="9"/>
  <c r="J2530" i="9" s="1"/>
  <c r="I2531" i="9"/>
  <c r="I2533" i="9"/>
  <c r="I2534" i="9"/>
  <c r="J2534" i="9" s="1"/>
  <c r="I2535" i="9"/>
  <c r="I2537" i="9"/>
  <c r="I2538" i="9"/>
  <c r="J2538" i="9" s="1"/>
  <c r="I2540" i="9"/>
  <c r="I2547" i="9"/>
  <c r="I2550" i="9"/>
  <c r="I2552" i="9"/>
  <c r="J2552" i="9" s="1"/>
  <c r="I2557" i="9"/>
  <c r="I2558" i="9"/>
  <c r="J2496" i="9"/>
  <c r="J2499" i="9"/>
  <c r="J2526" i="9"/>
  <c r="J2528" i="9"/>
  <c r="J2531" i="9"/>
  <c r="J2533" i="9"/>
  <c r="J2535" i="9"/>
  <c r="J2537" i="9"/>
  <c r="J2540" i="9"/>
  <c r="J2547" i="9"/>
  <c r="J2550" i="9"/>
  <c r="J2557" i="9"/>
  <c r="J2558" i="9"/>
  <c r="C2488" i="9"/>
  <c r="C2492" i="9"/>
  <c r="C2543" i="9" s="1"/>
  <c r="C2560" i="9" s="1"/>
  <c r="C35" i="45" s="1"/>
  <c r="B17" i="26" s="1"/>
  <c r="C2496" i="9"/>
  <c r="C2504" i="9"/>
  <c r="C2541" i="9"/>
  <c r="C2547" i="9"/>
  <c r="C2554" i="9"/>
  <c r="C2558" i="9"/>
  <c r="D2329" i="9"/>
  <c r="D2337" i="9"/>
  <c r="D2345" i="9"/>
  <c r="D2361" i="9"/>
  <c r="D2376" i="9"/>
  <c r="D2382" i="9"/>
  <c r="E2316" i="9"/>
  <c r="E2317" i="9"/>
  <c r="E2329" i="9" s="1"/>
  <c r="E2318" i="9"/>
  <c r="E2319" i="9"/>
  <c r="E2320" i="9"/>
  <c r="E2323" i="9"/>
  <c r="E2324" i="9"/>
  <c r="E2325" i="9"/>
  <c r="E2327" i="9"/>
  <c r="H2327" i="9"/>
  <c r="E2328" i="9"/>
  <c r="E2337" i="9"/>
  <c r="E2345" i="9"/>
  <c r="E2361" i="9"/>
  <c r="E2376" i="9"/>
  <c r="E2382" i="9"/>
  <c r="G2315" i="9"/>
  <c r="G2316" i="9"/>
  <c r="G2317" i="9"/>
  <c r="G2318" i="9"/>
  <c r="G2319" i="9"/>
  <c r="G2320" i="9"/>
  <c r="G2321" i="9"/>
  <c r="G2322" i="9"/>
  <c r="G2323" i="9"/>
  <c r="G2325" i="9"/>
  <c r="G2326" i="9"/>
  <c r="G2327" i="9"/>
  <c r="G2328" i="9"/>
  <c r="G2332" i="9"/>
  <c r="G2333" i="9"/>
  <c r="G2336" i="9"/>
  <c r="G2337" i="9"/>
  <c r="G2340" i="9"/>
  <c r="G2341" i="9"/>
  <c r="G2342" i="9"/>
  <c r="G2343" i="9"/>
  <c r="G2345" i="9" s="1"/>
  <c r="G2344" i="9"/>
  <c r="G2348" i="9"/>
  <c r="G2349" i="9"/>
  <c r="G2350" i="9"/>
  <c r="G2351" i="9"/>
  <c r="G2352" i="9"/>
  <c r="G2353" i="9"/>
  <c r="G2354" i="9"/>
  <c r="G2355" i="9"/>
  <c r="G2356" i="9"/>
  <c r="G2357" i="9"/>
  <c r="G2358" i="9"/>
  <c r="G2359" i="9"/>
  <c r="G2360" i="9"/>
  <c r="G2361" i="9"/>
  <c r="G2375" i="9"/>
  <c r="G2376" i="9"/>
  <c r="G2379" i="9"/>
  <c r="G2382" i="9"/>
  <c r="G2380" i="9"/>
  <c r="G2381" i="9"/>
  <c r="H2337" i="9"/>
  <c r="H2340" i="9"/>
  <c r="H2345" i="9" s="1"/>
  <c r="H2342" i="9"/>
  <c r="H2343" i="9"/>
  <c r="H2344" i="9"/>
  <c r="I2344" i="9" s="1"/>
  <c r="H2348" i="9"/>
  <c r="H2349" i="9"/>
  <c r="I2349" i="9" s="1"/>
  <c r="J2349" i="9" s="1"/>
  <c r="H2350" i="9"/>
  <c r="I2350" i="9"/>
  <c r="J2350" i="9" s="1"/>
  <c r="H2352" i="9"/>
  <c r="I2352" i="9" s="1"/>
  <c r="J2352" i="9" s="1"/>
  <c r="H2353" i="9"/>
  <c r="H2354" i="9"/>
  <c r="H2355" i="9"/>
  <c r="H2356" i="9"/>
  <c r="I2356" i="9" s="1"/>
  <c r="J2356" i="9" s="1"/>
  <c r="H2357" i="9"/>
  <c r="H2358" i="9"/>
  <c r="H2360" i="9"/>
  <c r="I2360" i="9"/>
  <c r="J2360" i="9" s="1"/>
  <c r="H2376" i="9"/>
  <c r="H2379" i="9"/>
  <c r="H2382" i="9"/>
  <c r="H2380" i="9"/>
  <c r="H2381" i="9"/>
  <c r="I2381" i="9" s="1"/>
  <c r="J2381" i="9" s="1"/>
  <c r="I2337" i="9"/>
  <c r="I2341" i="9"/>
  <c r="J2341" i="9"/>
  <c r="I2343" i="9"/>
  <c r="J2343" i="9"/>
  <c r="I2351" i="9"/>
  <c r="J2351" i="9"/>
  <c r="I2353" i="9"/>
  <c r="J2353" i="9" s="1"/>
  <c r="I2354" i="9"/>
  <c r="J2354" i="9" s="1"/>
  <c r="I2355" i="9"/>
  <c r="J2355" i="9"/>
  <c r="I2357" i="9"/>
  <c r="J2357" i="9" s="1"/>
  <c r="I2358" i="9"/>
  <c r="J2358" i="9" s="1"/>
  <c r="I2376" i="9"/>
  <c r="I2380" i="9"/>
  <c r="J2380" i="9" s="1"/>
  <c r="J2337" i="9"/>
  <c r="J2376" i="9"/>
  <c r="C2329" i="9"/>
  <c r="C2333" i="9"/>
  <c r="C2337" i="9"/>
  <c r="C2345" i="9"/>
  <c r="C2361" i="9"/>
  <c r="C2363" i="9" s="1"/>
  <c r="C2384" i="9" s="1"/>
  <c r="C2386" i="9" s="1"/>
  <c r="C34" i="45" s="1"/>
  <c r="B16" i="26" s="1"/>
  <c r="C2376" i="9"/>
  <c r="C2382" i="9"/>
  <c r="D2170" i="9"/>
  <c r="D2185" i="9" s="1"/>
  <c r="D2193" i="9" s="1"/>
  <c r="D32" i="45" s="1"/>
  <c r="D2183" i="9"/>
  <c r="D2191" i="9"/>
  <c r="D2244" i="9"/>
  <c r="D2248" i="9"/>
  <c r="D2250" i="9" s="1"/>
  <c r="D2258" i="9" s="1"/>
  <c r="D2260" i="9" s="1"/>
  <c r="D33" i="45" s="1"/>
  <c r="D2256" i="9"/>
  <c r="E2150" i="9"/>
  <c r="E2151" i="9"/>
  <c r="E2152" i="9"/>
  <c r="E2154" i="9"/>
  <c r="E2155" i="9"/>
  <c r="E2157" i="9"/>
  <c r="E2158" i="9"/>
  <c r="E2159" i="9"/>
  <c r="E2161" i="9"/>
  <c r="H2161" i="9" s="1"/>
  <c r="I2161" i="9" s="1"/>
  <c r="J2161" i="9" s="1"/>
  <c r="E2162" i="9"/>
  <c r="E2183" i="9"/>
  <c r="E2191" i="9"/>
  <c r="E2226" i="9"/>
  <c r="E2227" i="9"/>
  <c r="E2228" i="9"/>
  <c r="E2230" i="9"/>
  <c r="E2236" i="9"/>
  <c r="E2237" i="9"/>
  <c r="E2244" i="9"/>
  <c r="E2248" i="9"/>
  <c r="E2256" i="9"/>
  <c r="G2149" i="9"/>
  <c r="G2150" i="9"/>
  <c r="G2151" i="9"/>
  <c r="G2152" i="9"/>
  <c r="G2153" i="9"/>
  <c r="G2154" i="9"/>
  <c r="G2155" i="9"/>
  <c r="G2156" i="9"/>
  <c r="G2157" i="9"/>
  <c r="G2159" i="9"/>
  <c r="G2160" i="9"/>
  <c r="G2161" i="9"/>
  <c r="G2162" i="9"/>
  <c r="G2166" i="9"/>
  <c r="G2167" i="9"/>
  <c r="G2168" i="9"/>
  <c r="G2169" i="9"/>
  <c r="G2173" i="9"/>
  <c r="G2174" i="9"/>
  <c r="G2175" i="9"/>
  <c r="G2176" i="9"/>
  <c r="G2177" i="9"/>
  <c r="G2178" i="9"/>
  <c r="G2179" i="9"/>
  <c r="G2180" i="9"/>
  <c r="G2182" i="9"/>
  <c r="G2188" i="9"/>
  <c r="G2191" i="9" s="1"/>
  <c r="G2189" i="9"/>
  <c r="G2190" i="9"/>
  <c r="G2225" i="9"/>
  <c r="G2238" i="9" s="1"/>
  <c r="G2250" i="9" s="1"/>
  <c r="G2226" i="9"/>
  <c r="G2227" i="9"/>
  <c r="G2228" i="9"/>
  <c r="G2229" i="9"/>
  <c r="G2230" i="9"/>
  <c r="G2231" i="9"/>
  <c r="G2232" i="9"/>
  <c r="G2233" i="9"/>
  <c r="G2234" i="9"/>
  <c r="G2235" i="9"/>
  <c r="G2236" i="9"/>
  <c r="G2237" i="9"/>
  <c r="G2241" i="9"/>
  <c r="G2244" i="9" s="1"/>
  <c r="G2242" i="9"/>
  <c r="G2243" i="9"/>
  <c r="G2248" i="9"/>
  <c r="G2253" i="9"/>
  <c r="G2256" i="9" s="1"/>
  <c r="G2254" i="9"/>
  <c r="G2255" i="9"/>
  <c r="H2166" i="9"/>
  <c r="H2168" i="9"/>
  <c r="H2173" i="9"/>
  <c r="H2183" i="9" s="1"/>
  <c r="H2175" i="9"/>
  <c r="H2176" i="9"/>
  <c r="H2177" i="9"/>
  <c r="H2178" i="9"/>
  <c r="I2178" i="9" s="1"/>
  <c r="J2178" i="9" s="1"/>
  <c r="H2179" i="9"/>
  <c r="H2180" i="9"/>
  <c r="H2181" i="9"/>
  <c r="H2182" i="9"/>
  <c r="I2182" i="9" s="1"/>
  <c r="J2182" i="9" s="1"/>
  <c r="H2188" i="9"/>
  <c r="H2189" i="9"/>
  <c r="H2190" i="9"/>
  <c r="I2190" i="9" s="1"/>
  <c r="J2190" i="9" s="1"/>
  <c r="H2241" i="9"/>
  <c r="H2242" i="9"/>
  <c r="H2243" i="9"/>
  <c r="H2247" i="9"/>
  <c r="H2248" i="9" s="1"/>
  <c r="H2253" i="9"/>
  <c r="H2256" i="9" s="1"/>
  <c r="H2254" i="9"/>
  <c r="H2255" i="9"/>
  <c r="I2255" i="9" s="1"/>
  <c r="J2255" i="9" s="1"/>
  <c r="I2166" i="9"/>
  <c r="I2168" i="9"/>
  <c r="I2169" i="9"/>
  <c r="J2169" i="9" s="1"/>
  <c r="I2174" i="9"/>
  <c r="I2175" i="9"/>
  <c r="I2176" i="9"/>
  <c r="J2176" i="9" s="1"/>
  <c r="I2177" i="9"/>
  <c r="I2179" i="9"/>
  <c r="I2180" i="9"/>
  <c r="J2180" i="9" s="1"/>
  <c r="I2181" i="9"/>
  <c r="I2188" i="9"/>
  <c r="J2188" i="9" s="1"/>
  <c r="I2189" i="9"/>
  <c r="I2241" i="9"/>
  <c r="I2242" i="9"/>
  <c r="J2242" i="9" s="1"/>
  <c r="I2243" i="9"/>
  <c r="I2253" i="9"/>
  <c r="J2253" i="9" s="1"/>
  <c r="J2256" i="9" s="1"/>
  <c r="I2254" i="9"/>
  <c r="J2166" i="9"/>
  <c r="J2168" i="9"/>
  <c r="J2174" i="9"/>
  <c r="J2175" i="9"/>
  <c r="J2177" i="9"/>
  <c r="J2179" i="9"/>
  <c r="J2181" i="9"/>
  <c r="J2189" i="9"/>
  <c r="J2241" i="9"/>
  <c r="J2243" i="9"/>
  <c r="J2254" i="9"/>
  <c r="C2163" i="9"/>
  <c r="C2185" i="9" s="1"/>
  <c r="C2193" i="9" s="1"/>
  <c r="C32" i="45" s="1"/>
  <c r="C2170" i="9"/>
  <c r="C2183" i="9"/>
  <c r="C2191" i="9"/>
  <c r="C2238" i="9"/>
  <c r="C2244" i="9"/>
  <c r="C2248" i="9"/>
  <c r="C2256" i="9"/>
  <c r="D1936" i="9"/>
  <c r="D1953" i="9"/>
  <c r="D1955" i="9" s="1"/>
  <c r="D1963" i="9" s="1"/>
  <c r="D29" i="45" s="1"/>
  <c r="D1961" i="9"/>
  <c r="D1994" i="9"/>
  <c r="D2002" i="9" s="1"/>
  <c r="D2004" i="9" s="1"/>
  <c r="D30" i="45" s="1"/>
  <c r="D2000" i="9"/>
  <c r="D2085" i="9"/>
  <c r="D2095" i="9" s="1"/>
  <c r="D2103" i="9" s="1"/>
  <c r="D31" i="45" s="1"/>
  <c r="D2093" i="9"/>
  <c r="D2101" i="9"/>
  <c r="E1919" i="9"/>
  <c r="E1920" i="9"/>
  <c r="E1921" i="9"/>
  <c r="E1923" i="9"/>
  <c r="E1926" i="9"/>
  <c r="E1927" i="9"/>
  <c r="E1928" i="9"/>
  <c r="E1929" i="9"/>
  <c r="E1930" i="9"/>
  <c r="E1953" i="9"/>
  <c r="E1961" i="9"/>
  <c r="E2000" i="9"/>
  <c r="E2070" i="9"/>
  <c r="E2071" i="9"/>
  <c r="E2077" i="9"/>
  <c r="E2078" i="9"/>
  <c r="E2079" i="9"/>
  <c r="E2080" i="9"/>
  <c r="E2085" i="9"/>
  <c r="E2093" i="9"/>
  <c r="E2101" i="9"/>
  <c r="G1918" i="9"/>
  <c r="G1919" i="9"/>
  <c r="G1920" i="9"/>
  <c r="G1921" i="9"/>
  <c r="G1922" i="9"/>
  <c r="G1923" i="9"/>
  <c r="G1924" i="9"/>
  <c r="G1925" i="9"/>
  <c r="G1926" i="9"/>
  <c r="G1928" i="9"/>
  <c r="G1929" i="9"/>
  <c r="G1930" i="9"/>
  <c r="G1934" i="9"/>
  <c r="G1936" i="9" s="1"/>
  <c r="G1935" i="9"/>
  <c r="G1939" i="9"/>
  <c r="G1940" i="9"/>
  <c r="G1941" i="9"/>
  <c r="G1942" i="9"/>
  <c r="G1943" i="9"/>
  <c r="G1944" i="9"/>
  <c r="G1945" i="9"/>
  <c r="G1946" i="9"/>
  <c r="G1947" i="9"/>
  <c r="G1948" i="9"/>
  <c r="G1949" i="9"/>
  <c r="G1950" i="9"/>
  <c r="G1951" i="9"/>
  <c r="G1952" i="9"/>
  <c r="G1958" i="9"/>
  <c r="G1961" i="9" s="1"/>
  <c r="G1959" i="9"/>
  <c r="G1960" i="9"/>
  <c r="G1993" i="9"/>
  <c r="G1994" i="9" s="1"/>
  <c r="G1997" i="9"/>
  <c r="G2000" i="9" s="1"/>
  <c r="G1998" i="9"/>
  <c r="G1999" i="9"/>
  <c r="G2068" i="9"/>
  <c r="G2069" i="9"/>
  <c r="G2070" i="9"/>
  <c r="G2071" i="9"/>
  <c r="G2072" i="9"/>
  <c r="G2073" i="9"/>
  <c r="G2074" i="9"/>
  <c r="G2075" i="9"/>
  <c r="G2076" i="9"/>
  <c r="G2077" i="9"/>
  <c r="G2078" i="9"/>
  <c r="G2079" i="9"/>
  <c r="G2080" i="9"/>
  <c r="G2084" i="9"/>
  <c r="G2085" i="9"/>
  <c r="G2088" i="9"/>
  <c r="G2089" i="9"/>
  <c r="G2090" i="9"/>
  <c r="G2091" i="9"/>
  <c r="G2092" i="9"/>
  <c r="G2098" i="9"/>
  <c r="G2101" i="9" s="1"/>
  <c r="G2099" i="9"/>
  <c r="G2100" i="9"/>
  <c r="H1934" i="9"/>
  <c r="I1934" i="9" s="1"/>
  <c r="H1939" i="9"/>
  <c r="I1939" i="9" s="1"/>
  <c r="H1940" i="9"/>
  <c r="I1940" i="9"/>
  <c r="J1940" i="9" s="1"/>
  <c r="H1941" i="9"/>
  <c r="I1941" i="9" s="1"/>
  <c r="J1941" i="9" s="1"/>
  <c r="H1942" i="9"/>
  <c r="I1942" i="9"/>
  <c r="J1942" i="9" s="1"/>
  <c r="H1943" i="9"/>
  <c r="I1943" i="9" s="1"/>
  <c r="J1943" i="9" s="1"/>
  <c r="H1944" i="9"/>
  <c r="I1944" i="9"/>
  <c r="J1944" i="9" s="1"/>
  <c r="H1945" i="9"/>
  <c r="I1945" i="9" s="1"/>
  <c r="J1945" i="9" s="1"/>
  <c r="H1947" i="9"/>
  <c r="H1948" i="9"/>
  <c r="I1948" i="9" s="1"/>
  <c r="J1948" i="9" s="1"/>
  <c r="H1949" i="9"/>
  <c r="H1950" i="9"/>
  <c r="I1950" i="9" s="1"/>
  <c r="J1950" i="9" s="1"/>
  <c r="H1951" i="9"/>
  <c r="H1952" i="9"/>
  <c r="I1952" i="9" s="1"/>
  <c r="J1952" i="9" s="1"/>
  <c r="H1958" i="9"/>
  <c r="H1961" i="9" s="1"/>
  <c r="H1960" i="9"/>
  <c r="H1997" i="9"/>
  <c r="H1998" i="9"/>
  <c r="I1998" i="9" s="1"/>
  <c r="J1998" i="9" s="1"/>
  <c r="H1999" i="9"/>
  <c r="H2000" i="9"/>
  <c r="H2084" i="9"/>
  <c r="H2088" i="9"/>
  <c r="H2089" i="9"/>
  <c r="H2090" i="9"/>
  <c r="I2090" i="9" s="1"/>
  <c r="J2090" i="9" s="1"/>
  <c r="H2091" i="9"/>
  <c r="H2092" i="9"/>
  <c r="I2092" i="9" s="1"/>
  <c r="J2092" i="9" s="1"/>
  <c r="H2098" i="9"/>
  <c r="H2100" i="9"/>
  <c r="H2101" i="9" s="1"/>
  <c r="I1946" i="9"/>
  <c r="J1946" i="9" s="1"/>
  <c r="I1947" i="9"/>
  <c r="J1947" i="9"/>
  <c r="I1949" i="9"/>
  <c r="J1949" i="9" s="1"/>
  <c r="I1951" i="9"/>
  <c r="J1951" i="9"/>
  <c r="I1959" i="9"/>
  <c r="I1960" i="9"/>
  <c r="I1997" i="9"/>
  <c r="I1999" i="9"/>
  <c r="J1999" i="9" s="1"/>
  <c r="I2089" i="9"/>
  <c r="J2089" i="9" s="1"/>
  <c r="I2091" i="9"/>
  <c r="J2091" i="9" s="1"/>
  <c r="I2098" i="9"/>
  <c r="J2098" i="9" s="1"/>
  <c r="I2099" i="9"/>
  <c r="J1959" i="9"/>
  <c r="J1960" i="9"/>
  <c r="J2099" i="9"/>
  <c r="C1931" i="9"/>
  <c r="C1936" i="9"/>
  <c r="C1953" i="9"/>
  <c r="C1955" i="9"/>
  <c r="C1963" i="9" s="1"/>
  <c r="C29" i="45" s="1"/>
  <c r="C1961" i="9"/>
  <c r="C1994" i="9"/>
  <c r="C2002" i="9" s="1"/>
  <c r="C2004" i="9" s="1"/>
  <c r="C30" i="45" s="1"/>
  <c r="C2000" i="9"/>
  <c r="C2081" i="9"/>
  <c r="C2085" i="9"/>
  <c r="C2093" i="9"/>
  <c r="C2095" i="9"/>
  <c r="C2103" i="9" s="1"/>
  <c r="C31" i="45" s="1"/>
  <c r="C2101" i="9"/>
  <c r="D1861" i="9"/>
  <c r="D1874" i="9" s="1"/>
  <c r="D1883" i="9" s="1"/>
  <c r="D28" i="45" s="1"/>
  <c r="C13" i="26" s="1"/>
  <c r="D1872" i="9"/>
  <c r="D1881" i="9"/>
  <c r="E1845" i="9"/>
  <c r="E1846" i="9"/>
  <c r="E1847" i="9"/>
  <c r="E1849" i="9"/>
  <c r="E1854" i="9"/>
  <c r="E1855" i="9"/>
  <c r="E1856" i="9"/>
  <c r="E1861" i="9"/>
  <c r="E1881" i="9"/>
  <c r="G1844" i="9"/>
  <c r="G1845" i="9"/>
  <c r="G1846" i="9"/>
  <c r="G1847" i="9"/>
  <c r="G1848" i="9"/>
  <c r="G1849" i="9"/>
  <c r="G1850" i="9"/>
  <c r="G1851" i="9"/>
  <c r="G1852" i="9"/>
  <c r="G1853" i="9"/>
  <c r="G1854" i="9"/>
  <c r="G1855" i="9"/>
  <c r="G1856" i="9"/>
  <c r="G1860" i="9"/>
  <c r="G1861" i="9" s="1"/>
  <c r="G1864" i="9"/>
  <c r="G1865" i="9"/>
  <c r="G1866" i="9"/>
  <c r="G1867" i="9"/>
  <c r="G1868" i="9"/>
  <c r="G1869" i="9"/>
  <c r="G1870" i="9"/>
  <c r="G1871" i="9"/>
  <c r="G1872" i="9"/>
  <c r="G1878" i="9"/>
  <c r="G1879" i="9"/>
  <c r="G1880" i="9"/>
  <c r="H1860" i="9"/>
  <c r="H1865" i="9"/>
  <c r="H1867" i="9"/>
  <c r="H1869" i="9"/>
  <c r="I1869" i="9"/>
  <c r="J1869" i="9" s="1"/>
  <c r="H1871" i="9"/>
  <c r="H1877" i="9"/>
  <c r="H1878" i="9"/>
  <c r="I1878" i="9" s="1"/>
  <c r="H1879" i="9"/>
  <c r="I1879" i="9" s="1"/>
  <c r="J1879" i="9" s="1"/>
  <c r="H1880" i="9"/>
  <c r="I1880" i="9"/>
  <c r="J1880" i="9" s="1"/>
  <c r="I1865" i="9"/>
  <c r="J1865" i="9" s="1"/>
  <c r="I1867" i="9"/>
  <c r="J1867" i="9" s="1"/>
  <c r="I1868" i="9"/>
  <c r="I1871" i="9"/>
  <c r="J1871" i="9" s="1"/>
  <c r="I1877" i="9"/>
  <c r="J1868" i="9"/>
  <c r="J1877" i="9"/>
  <c r="C1857" i="9"/>
  <c r="C1874" i="9" s="1"/>
  <c r="C1883" i="9" s="1"/>
  <c r="C28" i="45" s="1"/>
  <c r="B13" i="26" s="1"/>
  <c r="C1861" i="9"/>
  <c r="C1872" i="9"/>
  <c r="C1881" i="9"/>
  <c r="D1534" i="9"/>
  <c r="D1545" i="9"/>
  <c r="D1547" i="9"/>
  <c r="D1552" i="9"/>
  <c r="D1626" i="9"/>
  <c r="D1643" i="9" s="1"/>
  <c r="D1651" i="9" s="1"/>
  <c r="D25" i="45" s="1"/>
  <c r="D1630" i="9"/>
  <c r="D1641" i="9"/>
  <c r="D1649" i="9"/>
  <c r="D1695" i="9"/>
  <c r="D1701" i="9"/>
  <c r="D1710" i="9"/>
  <c r="D1718" i="9"/>
  <c r="D1761" i="9"/>
  <c r="D1766" i="9"/>
  <c r="D1770" i="9"/>
  <c r="D1776" i="9"/>
  <c r="E1518" i="9"/>
  <c r="E1519" i="9"/>
  <c r="E1520" i="9"/>
  <c r="E1522" i="9"/>
  <c r="E1528" i="9"/>
  <c r="E1529" i="9"/>
  <c r="E1534" i="9"/>
  <c r="E1545" i="9"/>
  <c r="E1552" i="9"/>
  <c r="E1615" i="9"/>
  <c r="E1616" i="9"/>
  <c r="E1617" i="9"/>
  <c r="E1618" i="9"/>
  <c r="E1619" i="9"/>
  <c r="E1623" i="9"/>
  <c r="E1625" i="9"/>
  <c r="E1630" i="9"/>
  <c r="E1641" i="9"/>
  <c r="E1649" i="9"/>
  <c r="E1684" i="9"/>
  <c r="E1685" i="9"/>
  <c r="E1686" i="9"/>
  <c r="E1687" i="9"/>
  <c r="E1688" i="9"/>
  <c r="E1690" i="9"/>
  <c r="E1693" i="9"/>
  <c r="E1694" i="9"/>
  <c r="E1695" i="9"/>
  <c r="E1701" i="9"/>
  <c r="E1718" i="9"/>
  <c r="E1761" i="9"/>
  <c r="E1770" i="9"/>
  <c r="E1776" i="9"/>
  <c r="G1517" i="9"/>
  <c r="G1518" i="9"/>
  <c r="G1519" i="9"/>
  <c r="G1520" i="9"/>
  <c r="G1521" i="9"/>
  <c r="G1522" i="9"/>
  <c r="G1523" i="9"/>
  <c r="G1524" i="9"/>
  <c r="G1525" i="9"/>
  <c r="G1526" i="9"/>
  <c r="G1527" i="9"/>
  <c r="G1528" i="9"/>
  <c r="G1529" i="9"/>
  <c r="G1533" i="9"/>
  <c r="G1534" i="9"/>
  <c r="G1537" i="9"/>
  <c r="G1538" i="9"/>
  <c r="G1545" i="9" s="1"/>
  <c r="G1539" i="9"/>
  <c r="G1540" i="9"/>
  <c r="G1541" i="9"/>
  <c r="G1542" i="9"/>
  <c r="G1543" i="9"/>
  <c r="G1544" i="9"/>
  <c r="G1550" i="9"/>
  <c r="G1551" i="9"/>
  <c r="G1552" i="9"/>
  <c r="G1614" i="9"/>
  <c r="G1615" i="9"/>
  <c r="G1616" i="9"/>
  <c r="G1617" i="9"/>
  <c r="G1618" i="9"/>
  <c r="G1619" i="9"/>
  <c r="G1620" i="9"/>
  <c r="G1621" i="9"/>
  <c r="G1622" i="9"/>
  <c r="G1623" i="9"/>
  <c r="G1624" i="9"/>
  <c r="G1625" i="9"/>
  <c r="G1629" i="9"/>
  <c r="G1630" i="9"/>
  <c r="G1633" i="9"/>
  <c r="G1634" i="9"/>
  <c r="G1641" i="9" s="1"/>
  <c r="G1635" i="9"/>
  <c r="G1636" i="9"/>
  <c r="G1637" i="9"/>
  <c r="G1638" i="9"/>
  <c r="G1639" i="9"/>
  <c r="G1640" i="9"/>
  <c r="G1646" i="9"/>
  <c r="G1647" i="9"/>
  <c r="G1648" i="9"/>
  <c r="G1683" i="9"/>
  <c r="G1684" i="9"/>
  <c r="G1695" i="9" s="1"/>
  <c r="G1685" i="9"/>
  <c r="G1686" i="9"/>
  <c r="G1687" i="9"/>
  <c r="G1688" i="9"/>
  <c r="G1689" i="9"/>
  <c r="G1690" i="9"/>
  <c r="G1691" i="9"/>
  <c r="G1692" i="9"/>
  <c r="G1693" i="9"/>
  <c r="G1694" i="9"/>
  <c r="G1698" i="9"/>
  <c r="G3362" i="9" s="1"/>
  <c r="G1699" i="9"/>
  <c r="G1700" i="9"/>
  <c r="G1704" i="9"/>
  <c r="G1705" i="9"/>
  <c r="G1706" i="9"/>
  <c r="G1707" i="9"/>
  <c r="G1708" i="9"/>
  <c r="G1709" i="9"/>
  <c r="G1715" i="9"/>
  <c r="G1718" i="9" s="1"/>
  <c r="G1716" i="9"/>
  <c r="G1717" i="9"/>
  <c r="G1759" i="9"/>
  <c r="G1760" i="9"/>
  <c r="G1761" i="9"/>
  <c r="G1764" i="9"/>
  <c r="G1766" i="9" s="1"/>
  <c r="G1765" i="9"/>
  <c r="G1776" i="9"/>
  <c r="H1533" i="9"/>
  <c r="H1534" i="9"/>
  <c r="H1537" i="9"/>
  <c r="H1539" i="9"/>
  <c r="I1539" i="9" s="1"/>
  <c r="H1540" i="9"/>
  <c r="H1542" i="9"/>
  <c r="I1542" i="9" s="1"/>
  <c r="J1542" i="9" s="1"/>
  <c r="H1543" i="9"/>
  <c r="I1543" i="9" s="1"/>
  <c r="J1543" i="9" s="1"/>
  <c r="H1544" i="9"/>
  <c r="I1544" i="9"/>
  <c r="H1550" i="9"/>
  <c r="H1551" i="9"/>
  <c r="H1629" i="9"/>
  <c r="H1633" i="9"/>
  <c r="H1634" i="9"/>
  <c r="H1636" i="9"/>
  <c r="I1636" i="9" s="1"/>
  <c r="J1636" i="9" s="1"/>
  <c r="H1637" i="9"/>
  <c r="H1638" i="9"/>
  <c r="H1639" i="9"/>
  <c r="H1640" i="9"/>
  <c r="I1640" i="9" s="1"/>
  <c r="J1640" i="9" s="1"/>
  <c r="H1646" i="9"/>
  <c r="H1647" i="9"/>
  <c r="H1648" i="9"/>
  <c r="H1698" i="9"/>
  <c r="H1701" i="9" s="1"/>
  <c r="H1699" i="9"/>
  <c r="H1700" i="9"/>
  <c r="H1705" i="9"/>
  <c r="H1706" i="9"/>
  <c r="H1707" i="9"/>
  <c r="I1707" i="9" s="1"/>
  <c r="J1707" i="9" s="1"/>
  <c r="H1708" i="9"/>
  <c r="H1715" i="9"/>
  <c r="I1715" i="9" s="1"/>
  <c r="H1716" i="9"/>
  <c r="H1717" i="9"/>
  <c r="I1717" i="9" s="1"/>
  <c r="J1717" i="9" s="1"/>
  <c r="H1760" i="9"/>
  <c r="H1776" i="9"/>
  <c r="I1533" i="9"/>
  <c r="I1537" i="9"/>
  <c r="J1537" i="9"/>
  <c r="I1538" i="9"/>
  <c r="I1540" i="9"/>
  <c r="J1540" i="9" s="1"/>
  <c r="I1541" i="9"/>
  <c r="J1541" i="9"/>
  <c r="I1550" i="9"/>
  <c r="J1550" i="9" s="1"/>
  <c r="I1634" i="9"/>
  <c r="J1634" i="9" s="1"/>
  <c r="I1635" i="9"/>
  <c r="J1635" i="9" s="1"/>
  <c r="I1637" i="9"/>
  <c r="I1638" i="9"/>
  <c r="J1638" i="9" s="1"/>
  <c r="I1639" i="9"/>
  <c r="J1639" i="9" s="1"/>
  <c r="I1646" i="9"/>
  <c r="I1647" i="9"/>
  <c r="I1648" i="9"/>
  <c r="J1648" i="9"/>
  <c r="I1699" i="9"/>
  <c r="J1699" i="9" s="1"/>
  <c r="I1700" i="9"/>
  <c r="I1705" i="9"/>
  <c r="J1705" i="9" s="1"/>
  <c r="I1706" i="9"/>
  <c r="J1706" i="9" s="1"/>
  <c r="I1708" i="9"/>
  <c r="I1716" i="9"/>
  <c r="J1716" i="9"/>
  <c r="I1759" i="9"/>
  <c r="I1776" i="9"/>
  <c r="J1538" i="9"/>
  <c r="J1544" i="9"/>
  <c r="J1637" i="9"/>
  <c r="J1647" i="9"/>
  <c r="J1700" i="9"/>
  <c r="J1708" i="9"/>
  <c r="J1776" i="9"/>
  <c r="C1530" i="9"/>
  <c r="C1534" i="9"/>
  <c r="C1545" i="9"/>
  <c r="C1552" i="9"/>
  <c r="C1626" i="9"/>
  <c r="C1643" i="9" s="1"/>
  <c r="C1651" i="9" s="1"/>
  <c r="C25" i="45" s="1"/>
  <c r="C1630" i="9"/>
  <c r="C1641" i="9"/>
  <c r="C1649" i="9"/>
  <c r="C1695" i="9"/>
  <c r="C1701" i="9"/>
  <c r="C1710" i="9"/>
  <c r="C1718" i="9"/>
  <c r="C1761" i="9"/>
  <c r="C1766" i="9"/>
  <c r="C1770" i="9"/>
  <c r="C1776" i="9"/>
  <c r="D1457" i="9"/>
  <c r="D1452" i="9"/>
  <c r="D1459" i="9" s="1"/>
  <c r="D1461" i="9" s="1"/>
  <c r="D23" i="45" s="1"/>
  <c r="C11" i="26" s="1"/>
  <c r="E1457" i="9"/>
  <c r="E1441" i="9"/>
  <c r="E1442" i="9"/>
  <c r="E1443" i="9"/>
  <c r="E1444" i="9"/>
  <c r="E1445" i="9"/>
  <c r="E1447" i="9"/>
  <c r="E1448" i="9"/>
  <c r="E1449" i="9"/>
  <c r="E1450" i="9"/>
  <c r="E1451" i="9"/>
  <c r="G1455" i="9"/>
  <c r="H1455" i="9" s="1"/>
  <c r="G1456" i="9"/>
  <c r="G1439" i="9"/>
  <c r="G1452" i="9" s="1"/>
  <c r="G1440" i="9"/>
  <c r="G1441" i="9"/>
  <c r="G1442" i="9"/>
  <c r="G1443" i="9"/>
  <c r="G1444" i="9"/>
  <c r="G1445" i="9"/>
  <c r="G1446" i="9"/>
  <c r="G1447" i="9"/>
  <c r="G1448" i="9"/>
  <c r="G1449" i="9"/>
  <c r="G1450" i="9"/>
  <c r="G1451" i="9"/>
  <c r="C1457" i="9"/>
  <c r="C1452" i="9"/>
  <c r="C1459" i="9"/>
  <c r="C1461" i="9" s="1"/>
  <c r="C23" i="45" s="1"/>
  <c r="B11" i="26" s="1"/>
  <c r="D1381" i="9"/>
  <c r="D1402" i="9" s="1"/>
  <c r="D1409" i="9" s="1"/>
  <c r="D1400" i="9"/>
  <c r="D1407" i="9"/>
  <c r="D1413" i="9"/>
  <c r="E1365" i="9"/>
  <c r="E1366" i="9"/>
  <c r="E1367" i="9"/>
  <c r="E1369" i="9"/>
  <c r="E1370" i="9"/>
  <c r="E1372" i="9"/>
  <c r="E1373" i="9"/>
  <c r="E1374" i="9"/>
  <c r="E1375" i="9"/>
  <c r="E1376" i="9"/>
  <c r="E1381" i="9"/>
  <c r="E1407" i="9"/>
  <c r="E1413" i="9"/>
  <c r="G1364" i="9"/>
  <c r="G1365" i="9"/>
  <c r="G1377" i="9" s="1"/>
  <c r="G1366" i="9"/>
  <c r="G1367" i="9"/>
  <c r="G1368" i="9"/>
  <c r="G1369" i="9"/>
  <c r="G1370" i="9"/>
  <c r="G1371" i="9"/>
  <c r="G1372" i="9"/>
  <c r="G1374" i="9"/>
  <c r="G1375" i="9"/>
  <c r="G1376" i="9"/>
  <c r="G1380" i="9"/>
  <c r="G1381" i="9"/>
  <c r="G1384" i="9"/>
  <c r="G1385" i="9"/>
  <c r="G1386" i="9"/>
  <c r="G1387" i="9"/>
  <c r="G1388" i="9"/>
  <c r="G1389" i="9"/>
  <c r="G1390" i="9"/>
  <c r="G1391" i="9"/>
  <c r="G1392" i="9"/>
  <c r="G1393" i="9"/>
  <c r="G1394" i="9"/>
  <c r="G1395" i="9"/>
  <c r="G1396" i="9"/>
  <c r="G1397" i="9"/>
  <c r="G1398" i="9"/>
  <c r="G1399" i="9"/>
  <c r="G1405" i="9"/>
  <c r="G1407" i="9" s="1"/>
  <c r="G1406" i="9"/>
  <c r="G1412" i="9"/>
  <c r="G1413" i="9" s="1"/>
  <c r="H1380" i="9"/>
  <c r="H1381" i="9" s="1"/>
  <c r="H1385" i="9"/>
  <c r="I1385" i="9" s="1"/>
  <c r="J1385" i="9" s="1"/>
  <c r="H1386" i="9"/>
  <c r="H1387" i="9"/>
  <c r="H1388" i="9"/>
  <c r="H1389" i="9"/>
  <c r="I1389" i="9" s="1"/>
  <c r="J1389" i="9" s="1"/>
  <c r="H1390" i="9"/>
  <c r="H1391" i="9"/>
  <c r="H1392" i="9"/>
  <c r="H1393" i="9"/>
  <c r="I1393" i="9" s="1"/>
  <c r="J1393" i="9" s="1"/>
  <c r="H1394" i="9"/>
  <c r="H1397" i="9"/>
  <c r="I1397" i="9" s="1"/>
  <c r="J1397" i="9" s="1"/>
  <c r="H1398" i="9"/>
  <c r="H1399" i="9"/>
  <c r="I1399" i="9" s="1"/>
  <c r="J1399" i="9" s="1"/>
  <c r="H1405" i="9"/>
  <c r="I1405" i="9"/>
  <c r="H1406" i="9"/>
  <c r="H1407" i="9"/>
  <c r="H1413" i="9"/>
  <c r="I1386" i="9"/>
  <c r="I1387" i="9"/>
  <c r="J1387" i="9" s="1"/>
  <c r="I1388" i="9"/>
  <c r="I1390" i="9"/>
  <c r="I1391" i="9"/>
  <c r="J1391" i="9" s="1"/>
  <c r="I1392" i="9"/>
  <c r="I1394" i="9"/>
  <c r="I1395" i="9"/>
  <c r="J1395" i="9" s="1"/>
  <c r="I1398" i="9"/>
  <c r="J1398" i="9" s="1"/>
  <c r="I1406" i="9"/>
  <c r="J1406" i="9" s="1"/>
  <c r="I1412" i="9"/>
  <c r="I1413" i="9"/>
  <c r="J1386" i="9"/>
  <c r="J1388" i="9"/>
  <c r="J1390" i="9"/>
  <c r="J1392" i="9"/>
  <c r="J1394" i="9"/>
  <c r="J1412" i="9"/>
  <c r="J1413" i="9" s="1"/>
  <c r="C1377" i="9"/>
  <c r="C1402" i="9" s="1"/>
  <c r="C1409" i="9" s="1"/>
  <c r="C1415" i="9" s="1"/>
  <c r="C22" i="45" s="1"/>
  <c r="B10" i="26" s="1"/>
  <c r="C1381" i="9"/>
  <c r="C1400" i="9"/>
  <c r="C1407" i="9"/>
  <c r="C1413" i="9"/>
  <c r="D640" i="9"/>
  <c r="D686" i="9" s="1"/>
  <c r="D644" i="9"/>
  <c r="D684" i="9"/>
  <c r="D692" i="9"/>
  <c r="D694" i="9"/>
  <c r="D695" i="9"/>
  <c r="D697" i="9"/>
  <c r="D758" i="9"/>
  <c r="D771" i="9"/>
  <c r="D773" i="9"/>
  <c r="D780" i="9" s="1"/>
  <c r="D15" i="45" s="1"/>
  <c r="D778" i="9"/>
  <c r="D840" i="9"/>
  <c r="D847" i="9" s="1"/>
  <c r="D853" i="9" s="1"/>
  <c r="D16" i="45" s="1"/>
  <c r="D845" i="9"/>
  <c r="D851" i="9"/>
  <c r="D917" i="9"/>
  <c r="D940" i="9" s="1"/>
  <c r="D953" i="9" s="1"/>
  <c r="D17" i="45" s="1"/>
  <c r="D933" i="9"/>
  <c r="D937" i="9"/>
  <c r="D951" i="9"/>
  <c r="D944" i="9"/>
  <c r="D989" i="9"/>
  <c r="D996" i="9"/>
  <c r="D998" i="9"/>
  <c r="D1000" i="9" s="1"/>
  <c r="D18" i="45" s="1"/>
  <c r="D1143" i="9"/>
  <c r="D1155" i="9"/>
  <c r="D1157" i="9" s="1"/>
  <c r="D1164" i="9" s="1"/>
  <c r="D20" i="45" s="1"/>
  <c r="D1162" i="9"/>
  <c r="D1238" i="9"/>
  <c r="D1257" i="9" s="1"/>
  <c r="D1281" i="9" s="1"/>
  <c r="D21" i="45" s="1"/>
  <c r="D1255" i="9"/>
  <c r="D1279" i="9"/>
  <c r="E622" i="9"/>
  <c r="E623" i="9"/>
  <c r="E624" i="9"/>
  <c r="E626" i="9"/>
  <c r="E630" i="9"/>
  <c r="E631" i="9"/>
  <c r="E632" i="9"/>
  <c r="E634" i="9"/>
  <c r="E640" i="9"/>
  <c r="E644" i="9"/>
  <c r="E20" i="9"/>
  <c r="E692" i="9"/>
  <c r="E694" i="9"/>
  <c r="E697" i="9"/>
  <c r="E698" i="9"/>
  <c r="E743" i="9"/>
  <c r="E744" i="9"/>
  <c r="E746" i="9"/>
  <c r="E751" i="9"/>
  <c r="E753" i="9"/>
  <c r="E758" i="9"/>
  <c r="E771" i="9"/>
  <c r="E778" i="9"/>
  <c r="E840" i="9"/>
  <c r="E851" i="9"/>
  <c r="E900" i="9"/>
  <c r="E901" i="9"/>
  <c r="E902" i="9"/>
  <c r="E904" i="9"/>
  <c r="E907" i="9"/>
  <c r="E908" i="9"/>
  <c r="E909" i="9"/>
  <c r="E910" i="9"/>
  <c r="E911" i="9"/>
  <c r="E917" i="9"/>
  <c r="E937" i="9"/>
  <c r="E951" i="9"/>
  <c r="E944" i="9"/>
  <c r="E989" i="9"/>
  <c r="E998" i="9" s="1"/>
  <c r="E1000" i="9" s="1"/>
  <c r="E18" i="45" s="1"/>
  <c r="E996" i="9"/>
  <c r="E1128" i="9"/>
  <c r="E1129" i="9"/>
  <c r="E1130" i="9"/>
  <c r="E1132" i="9"/>
  <c r="E1136" i="9"/>
  <c r="E1138" i="9"/>
  <c r="E1143" i="9"/>
  <c r="E1162" i="9"/>
  <c r="E1220" i="9"/>
  <c r="E1221" i="9"/>
  <c r="E1222" i="9"/>
  <c r="E1224" i="9"/>
  <c r="E1228" i="9"/>
  <c r="E1229" i="9"/>
  <c r="E1230" i="9"/>
  <c r="E1231" i="9"/>
  <c r="E1232" i="9"/>
  <c r="E1238" i="9"/>
  <c r="E1279" i="9"/>
  <c r="G621" i="9"/>
  <c r="G622" i="9"/>
  <c r="G623" i="9"/>
  <c r="G624" i="9"/>
  <c r="G625" i="9"/>
  <c r="G626" i="9"/>
  <c r="G627" i="9"/>
  <c r="G628" i="9"/>
  <c r="G629" i="9"/>
  <c r="G631" i="9"/>
  <c r="G632" i="9"/>
  <c r="G633" i="9"/>
  <c r="G634" i="9"/>
  <c r="G638" i="9"/>
  <c r="G639" i="9"/>
  <c r="G640" i="9"/>
  <c r="G643" i="9"/>
  <c r="G644" i="9"/>
  <c r="G666" i="9"/>
  <c r="G667" i="9"/>
  <c r="G668" i="9"/>
  <c r="G669" i="9"/>
  <c r="G670" i="9"/>
  <c r="G684" i="9" s="1"/>
  <c r="G671" i="9"/>
  <c r="G672" i="9"/>
  <c r="G673" i="9"/>
  <c r="G674" i="9"/>
  <c r="G675" i="9"/>
  <c r="G676" i="9"/>
  <c r="G677" i="9"/>
  <c r="G678" i="9"/>
  <c r="G679" i="9"/>
  <c r="G680" i="9"/>
  <c r="G681" i="9"/>
  <c r="G682" i="9"/>
  <c r="G692" i="9"/>
  <c r="F2938" i="9"/>
  <c r="F2969" i="9" s="1"/>
  <c r="F2984" i="9" s="1"/>
  <c r="F2942" i="9"/>
  <c r="F2950" i="9"/>
  <c r="F2963" i="9"/>
  <c r="F2967" i="9"/>
  <c r="F2973" i="9"/>
  <c r="F2982" i="9"/>
  <c r="G1205" i="9"/>
  <c r="G694" i="9"/>
  <c r="G2766" i="9"/>
  <c r="G695" i="9"/>
  <c r="F1994" i="9"/>
  <c r="F2002" i="9" s="1"/>
  <c r="F2004" i="9" s="1"/>
  <c r="F1985" i="9" s="1"/>
  <c r="G1985" i="9" s="1"/>
  <c r="G696" i="9" s="1"/>
  <c r="F2000" i="9"/>
  <c r="G1595" i="9"/>
  <c r="G1596" i="9" s="1"/>
  <c r="G1603" i="9" s="1"/>
  <c r="G1599" i="9"/>
  <c r="G1600" i="9"/>
  <c r="G1601" i="9" s="1"/>
  <c r="G698" i="9"/>
  <c r="G2467" i="9"/>
  <c r="G699" i="9"/>
  <c r="G741" i="9"/>
  <c r="G742" i="9"/>
  <c r="G754" i="9" s="1"/>
  <c r="G743" i="9"/>
  <c r="G744" i="9"/>
  <c r="G745" i="9"/>
  <c r="G746" i="9"/>
  <c r="G747" i="9"/>
  <c r="G748" i="9"/>
  <c r="G749" i="9"/>
  <c r="G750" i="9"/>
  <c r="G751" i="9"/>
  <c r="G752" i="9"/>
  <c r="G753" i="9"/>
  <c r="G757" i="9"/>
  <c r="G758" i="9" s="1"/>
  <c r="G761" i="9"/>
  <c r="G762" i="9"/>
  <c r="G763" i="9"/>
  <c r="G764" i="9"/>
  <c r="G765" i="9"/>
  <c r="G766" i="9"/>
  <c r="G767" i="9"/>
  <c r="G768" i="9"/>
  <c r="G769" i="9"/>
  <c r="G770" i="9"/>
  <c r="G771" i="9"/>
  <c r="G776" i="9"/>
  <c r="H776" i="9"/>
  <c r="G777" i="9"/>
  <c r="G778" i="9"/>
  <c r="G839" i="9"/>
  <c r="G840" i="9"/>
  <c r="G847" i="9" s="1"/>
  <c r="G853" i="9" s="1"/>
  <c r="F16" i="45" s="1"/>
  <c r="G844" i="9"/>
  <c r="G845" i="9" s="1"/>
  <c r="G851" i="9"/>
  <c r="G899" i="9"/>
  <c r="G900" i="9"/>
  <c r="G901" i="9"/>
  <c r="G902" i="9"/>
  <c r="G912" i="9" s="1"/>
  <c r="G903" i="9"/>
  <c r="G904" i="9"/>
  <c r="G905" i="9"/>
  <c r="G906" i="9"/>
  <c r="G907" i="9"/>
  <c r="G908" i="9"/>
  <c r="G909" i="9"/>
  <c r="G910" i="9"/>
  <c r="G911" i="9"/>
  <c r="G915" i="9"/>
  <c r="G916" i="9"/>
  <c r="G917" i="9" s="1"/>
  <c r="G920" i="9"/>
  <c r="G921" i="9"/>
  <c r="G922" i="9"/>
  <c r="G923" i="9"/>
  <c r="G924" i="9"/>
  <c r="G926" i="9"/>
  <c r="G927" i="9"/>
  <c r="G928" i="9"/>
  <c r="G930" i="9"/>
  <c r="G931" i="9"/>
  <c r="G932" i="9"/>
  <c r="G937" i="9"/>
  <c r="G949" i="9"/>
  <c r="G950" i="9"/>
  <c r="G951" i="9"/>
  <c r="G943" i="9"/>
  <c r="G944" i="9"/>
  <c r="G992" i="9"/>
  <c r="G996" i="9" s="1"/>
  <c r="G993" i="9"/>
  <c r="G994" i="9"/>
  <c r="G995" i="9"/>
  <c r="G1127" i="9"/>
  <c r="G1139" i="9" s="1"/>
  <c r="G1128" i="9"/>
  <c r="G1129" i="9"/>
  <c r="G1130" i="9"/>
  <c r="G1131" i="9"/>
  <c r="G1132" i="9"/>
  <c r="G1133" i="9"/>
  <c r="G1134" i="9"/>
  <c r="G1135" i="9"/>
  <c r="G1136" i="9"/>
  <c r="G1137" i="9"/>
  <c r="G1138" i="9"/>
  <c r="G1142" i="9"/>
  <c r="G1143" i="9"/>
  <c r="G1146" i="9"/>
  <c r="G1147" i="9"/>
  <c r="G1148" i="9"/>
  <c r="G1149" i="9"/>
  <c r="G1150" i="9"/>
  <c r="G1155" i="9" s="1"/>
  <c r="G1151" i="9"/>
  <c r="G1152" i="9"/>
  <c r="G1153" i="9"/>
  <c r="G1154" i="9"/>
  <c r="G1160" i="9"/>
  <c r="G1161" i="9"/>
  <c r="G1162" i="9" s="1"/>
  <c r="G1219" i="9"/>
  <c r="G1233" i="9" s="1"/>
  <c r="G1220" i="9"/>
  <c r="G1221" i="9"/>
  <c r="G1222" i="9"/>
  <c r="G1223" i="9"/>
  <c r="G1224" i="9"/>
  <c r="G1225" i="9"/>
  <c r="G1226" i="9"/>
  <c r="G1227" i="9"/>
  <c r="G1229" i="9"/>
  <c r="G1230" i="9"/>
  <c r="G1231" i="9"/>
  <c r="G1232" i="9"/>
  <c r="G1236" i="9"/>
  <c r="G1237" i="9"/>
  <c r="G1238" i="9" s="1"/>
  <c r="G1241" i="9"/>
  <c r="G1242" i="9"/>
  <c r="G1243" i="9"/>
  <c r="G1244" i="9"/>
  <c r="G1246" i="9"/>
  <c r="G1247" i="9"/>
  <c r="G1248" i="9"/>
  <c r="G1249" i="9"/>
  <c r="G1251" i="9"/>
  <c r="G1252" i="9"/>
  <c r="G1253" i="9"/>
  <c r="G1254" i="9"/>
  <c r="G1277" i="9"/>
  <c r="G1279" i="9" s="1"/>
  <c r="G1278" i="9"/>
  <c r="H638" i="9"/>
  <c r="H640" i="9" s="1"/>
  <c r="H639" i="9"/>
  <c r="I639" i="9" s="1"/>
  <c r="J639" i="9" s="1"/>
  <c r="H644" i="9"/>
  <c r="H666" i="9"/>
  <c r="H667" i="9"/>
  <c r="I667" i="9" s="1"/>
  <c r="J667" i="9" s="1"/>
  <c r="H668" i="9"/>
  <c r="H669" i="9"/>
  <c r="I669" i="9" s="1"/>
  <c r="J669" i="9" s="1"/>
  <c r="H671" i="9"/>
  <c r="H673" i="9"/>
  <c r="I673" i="9" s="1"/>
  <c r="J673" i="9" s="1"/>
  <c r="H674" i="9"/>
  <c r="H675" i="9"/>
  <c r="I675" i="9" s="1"/>
  <c r="J675" i="9" s="1"/>
  <c r="H676" i="9"/>
  <c r="H677" i="9"/>
  <c r="I677" i="9" s="1"/>
  <c r="J677" i="9" s="1"/>
  <c r="H682" i="9"/>
  <c r="H683" i="9"/>
  <c r="I683" i="9" s="1"/>
  <c r="J683" i="9" s="1"/>
  <c r="H689" i="9"/>
  <c r="H690" i="9"/>
  <c r="H692" i="9"/>
  <c r="H693" i="9"/>
  <c r="H694" i="9"/>
  <c r="H2304" i="9"/>
  <c r="G2456" i="9"/>
  <c r="H2456" i="9"/>
  <c r="G2457" i="9"/>
  <c r="H2457" i="9"/>
  <c r="I2457" i="9" s="1"/>
  <c r="J2457" i="9" s="1"/>
  <c r="H757" i="9"/>
  <c r="H758" i="9"/>
  <c r="H761" i="9"/>
  <c r="H771" i="9" s="1"/>
  <c r="H773" i="9" s="1"/>
  <c r="H763" i="9"/>
  <c r="H764" i="9"/>
  <c r="H765" i="9"/>
  <c r="I765" i="9" s="1"/>
  <c r="J765" i="9" s="1"/>
  <c r="H767" i="9"/>
  <c r="H768" i="9"/>
  <c r="I768" i="9" s="1"/>
  <c r="J768" i="9" s="1"/>
  <c r="H769" i="9"/>
  <c r="H770" i="9"/>
  <c r="I770" i="9" s="1"/>
  <c r="J770" i="9" s="1"/>
  <c r="H777" i="9"/>
  <c r="H851" i="9"/>
  <c r="H915" i="9"/>
  <c r="H917" i="9"/>
  <c r="H920" i="9"/>
  <c r="H923" i="9"/>
  <c r="H924" i="9"/>
  <c r="H925" i="9"/>
  <c r="I925" i="9" s="1"/>
  <c r="J925" i="9" s="1"/>
  <c r="H926" i="9"/>
  <c r="H928" i="9"/>
  <c r="I928" i="9" s="1"/>
  <c r="J928" i="9" s="1"/>
  <c r="H929" i="9"/>
  <c r="H930" i="9"/>
  <c r="I930" i="9" s="1"/>
  <c r="J930" i="9" s="1"/>
  <c r="H931" i="9"/>
  <c r="H932" i="9"/>
  <c r="I932" i="9" s="1"/>
  <c r="J932" i="9" s="1"/>
  <c r="H937" i="9"/>
  <c r="H947" i="9"/>
  <c r="I947" i="9" s="1"/>
  <c r="H948" i="9"/>
  <c r="I948" i="9" s="1"/>
  <c r="J948" i="9" s="1"/>
  <c r="H949" i="9"/>
  <c r="I949" i="9"/>
  <c r="J949" i="9" s="1"/>
  <c r="H950" i="9"/>
  <c r="I950" i="9" s="1"/>
  <c r="J950" i="9" s="1"/>
  <c r="H943" i="9"/>
  <c r="H944" i="9" s="1"/>
  <c r="H3170" i="9" s="1"/>
  <c r="H988" i="9"/>
  <c r="H989" i="9" s="1"/>
  <c r="H998" i="9" s="1"/>
  <c r="H1000" i="9" s="1"/>
  <c r="G18" i="45" s="1"/>
  <c r="H992" i="9"/>
  <c r="H996" i="9" s="1"/>
  <c r="H993" i="9"/>
  <c r="H994" i="9"/>
  <c r="H995" i="9"/>
  <c r="H1142" i="9"/>
  <c r="H1143" i="9" s="1"/>
  <c r="H1147" i="9"/>
  <c r="I1147" i="9" s="1"/>
  <c r="J1147" i="9" s="1"/>
  <c r="H1149" i="9"/>
  <c r="H1151" i="9"/>
  <c r="H1153" i="9"/>
  <c r="H1160" i="9"/>
  <c r="I1160" i="9" s="1"/>
  <c r="H1161" i="9"/>
  <c r="H1162" i="9"/>
  <c r="H1236" i="9"/>
  <c r="H1237" i="9"/>
  <c r="H1238" i="9" s="1"/>
  <c r="H1241" i="9"/>
  <c r="I1241" i="9" s="1"/>
  <c r="J1241" i="9" s="1"/>
  <c r="H1242" i="9"/>
  <c r="H1243" i="9"/>
  <c r="H1249" i="9"/>
  <c r="H1251" i="9"/>
  <c r="I1251" i="9" s="1"/>
  <c r="J1251" i="9" s="1"/>
  <c r="H1253" i="9"/>
  <c r="H1254" i="9"/>
  <c r="I1254" i="9" s="1"/>
  <c r="J1254" i="9" s="1"/>
  <c r="H1275" i="9"/>
  <c r="H1276" i="9"/>
  <c r="I1276" i="9" s="1"/>
  <c r="J1276" i="9" s="1"/>
  <c r="H1277" i="9"/>
  <c r="H1278" i="9"/>
  <c r="I1278" i="9" s="1"/>
  <c r="J1278" i="9" s="1"/>
  <c r="I638" i="9"/>
  <c r="I640" i="9" s="1"/>
  <c r="I643" i="9"/>
  <c r="I644" i="9"/>
  <c r="I665" i="9"/>
  <c r="I666" i="9"/>
  <c r="J666" i="9" s="1"/>
  <c r="I668" i="9"/>
  <c r="J668" i="9" s="1"/>
  <c r="I671" i="9"/>
  <c r="J671" i="9" s="1"/>
  <c r="I674" i="9"/>
  <c r="J674" i="9" s="1"/>
  <c r="I676" i="9"/>
  <c r="J676" i="9" s="1"/>
  <c r="I679" i="9"/>
  <c r="J679" i="9" s="1"/>
  <c r="I682" i="9"/>
  <c r="I689" i="9"/>
  <c r="J689" i="9" s="1"/>
  <c r="I690" i="9"/>
  <c r="I691" i="9"/>
  <c r="J691" i="9" s="1"/>
  <c r="I692" i="9"/>
  <c r="I693" i="9"/>
  <c r="I694" i="9"/>
  <c r="I695" i="9"/>
  <c r="I757" i="9"/>
  <c r="J757" i="9" s="1"/>
  <c r="J758" i="9" s="1"/>
  <c r="I761" i="9"/>
  <c r="J761" i="9" s="1"/>
  <c r="I762" i="9"/>
  <c r="I764" i="9"/>
  <c r="J764" i="9" s="1"/>
  <c r="I766" i="9"/>
  <c r="I767" i="9"/>
  <c r="J767" i="9" s="1"/>
  <c r="I769" i="9"/>
  <c r="J769" i="9" s="1"/>
  <c r="I777" i="9"/>
  <c r="J777" i="9" s="1"/>
  <c r="I851" i="9"/>
  <c r="I915" i="9"/>
  <c r="J915" i="9" s="1"/>
  <c r="J917" i="9" s="1"/>
  <c r="I916" i="9"/>
  <c r="I917" i="9"/>
  <c r="I922" i="9"/>
  <c r="I923" i="9"/>
  <c r="J923" i="9" s="1"/>
  <c r="I924" i="9"/>
  <c r="I926" i="9"/>
  <c r="I927" i="9"/>
  <c r="J927" i="9" s="1"/>
  <c r="I929" i="9"/>
  <c r="J929" i="9" s="1"/>
  <c r="I931" i="9"/>
  <c r="J931" i="9" s="1"/>
  <c r="I937" i="9"/>
  <c r="I944" i="9"/>
  <c r="I988" i="9"/>
  <c r="I989" i="9" s="1"/>
  <c r="I992" i="9"/>
  <c r="I996" i="9" s="1"/>
  <c r="I993" i="9"/>
  <c r="I994" i="9"/>
  <c r="J994" i="9" s="1"/>
  <c r="I995" i="9"/>
  <c r="J995" i="9"/>
  <c r="I1149" i="9"/>
  <c r="J1149" i="9"/>
  <c r="I1150" i="9"/>
  <c r="I1151" i="9"/>
  <c r="J1151" i="9" s="1"/>
  <c r="I1153" i="9"/>
  <c r="J1153" i="9" s="1"/>
  <c r="I1154" i="9"/>
  <c r="J1154" i="9" s="1"/>
  <c r="I1161" i="9"/>
  <c r="I1236" i="9"/>
  <c r="J1236" i="9" s="1"/>
  <c r="I1242" i="9"/>
  <c r="I1243" i="9"/>
  <c r="J1243" i="9" s="1"/>
  <c r="I1245" i="9"/>
  <c r="J1245" i="9" s="1"/>
  <c r="I1249" i="9"/>
  <c r="J1249" i="9" s="1"/>
  <c r="I1250" i="9"/>
  <c r="J1250" i="9" s="1"/>
  <c r="H29" i="41" s="1"/>
  <c r="Q30" i="41" s="1"/>
  <c r="I1253" i="9"/>
  <c r="J1253" i="9"/>
  <c r="I1275" i="9"/>
  <c r="J1275" i="9" s="1"/>
  <c r="I1277" i="9"/>
  <c r="J1277" i="9"/>
  <c r="J643" i="9"/>
  <c r="J644" i="9" s="1"/>
  <c r="J665" i="9"/>
  <c r="J682" i="9"/>
  <c r="J690" i="9"/>
  <c r="J692" i="9"/>
  <c r="J693" i="9"/>
  <c r="J694" i="9"/>
  <c r="J695" i="9"/>
  <c r="J762" i="9"/>
  <c r="J766" i="9"/>
  <c r="J844" i="9"/>
  <c r="J851" i="9"/>
  <c r="J916" i="9"/>
  <c r="J922" i="9"/>
  <c r="J924" i="9"/>
  <c r="J926" i="9"/>
  <c r="J937" i="9"/>
  <c r="J944" i="9"/>
  <c r="J988" i="9"/>
  <c r="J989" i="9" s="1"/>
  <c r="J1150" i="9"/>
  <c r="J1161" i="9"/>
  <c r="J1242" i="9"/>
  <c r="C635" i="9"/>
  <c r="C686" i="9" s="1"/>
  <c r="C640" i="9"/>
  <c r="C644" i="9"/>
  <c r="C684" i="9"/>
  <c r="C692" i="9"/>
  <c r="C693" i="9"/>
  <c r="C694" i="9"/>
  <c r="C695" i="9"/>
  <c r="C696" i="9"/>
  <c r="C697" i="9"/>
  <c r="C698" i="9"/>
  <c r="C699" i="9"/>
  <c r="C754" i="9"/>
  <c r="C773" i="9" s="1"/>
  <c r="C780" i="9" s="1"/>
  <c r="C15" i="45" s="1"/>
  <c r="C758" i="9"/>
  <c r="C771" i="9"/>
  <c r="C778" i="9"/>
  <c r="C840" i="9"/>
  <c r="C847" i="9" s="1"/>
  <c r="C853" i="9" s="1"/>
  <c r="C16" i="45" s="1"/>
  <c r="C845" i="9"/>
  <c r="C851" i="9"/>
  <c r="C912" i="9"/>
  <c r="C917" i="9"/>
  <c r="C937" i="9"/>
  <c r="C951" i="9"/>
  <c r="C944" i="9"/>
  <c r="C989" i="9"/>
  <c r="C996" i="9"/>
  <c r="C998" i="9"/>
  <c r="C1000" i="9" s="1"/>
  <c r="C18" i="45" s="1"/>
  <c r="C1139" i="9"/>
  <c r="C1143" i="9"/>
  <c r="C1155" i="9"/>
  <c r="C1157" i="9" s="1"/>
  <c r="C1164" i="9" s="1"/>
  <c r="C20" i="45" s="1"/>
  <c r="C1162" i="9"/>
  <c r="C1233" i="9"/>
  <c r="C1257" i="9" s="1"/>
  <c r="C1281" i="9" s="1"/>
  <c r="C21" i="45" s="1"/>
  <c r="C1238" i="9"/>
  <c r="C1255" i="9"/>
  <c r="C1279" i="9"/>
  <c r="D57" i="9"/>
  <c r="D97" i="9"/>
  <c r="D216" i="9"/>
  <c r="D218" i="9"/>
  <c r="D226" i="9" s="1"/>
  <c r="D9" i="45" s="1"/>
  <c r="D224" i="9"/>
  <c r="D302" i="9"/>
  <c r="D304" i="9" s="1"/>
  <c r="D10" i="45" s="1"/>
  <c r="D380" i="9"/>
  <c r="D390" i="9" s="1"/>
  <c r="D397" i="9" s="1"/>
  <c r="D11" i="45" s="1"/>
  <c r="D388" i="9"/>
  <c r="D395" i="9"/>
  <c r="D469" i="9"/>
  <c r="D471" i="9"/>
  <c r="D473" i="9" s="1"/>
  <c r="D12" i="45" s="1"/>
  <c r="D555" i="9"/>
  <c r="D557" i="9"/>
  <c r="D559" i="9" s="1"/>
  <c r="D13" i="45" s="1"/>
  <c r="E55" i="9"/>
  <c r="H55" i="9"/>
  <c r="E56" i="9"/>
  <c r="E57" i="9"/>
  <c r="E60" i="9"/>
  <c r="E61" i="9"/>
  <c r="H61" i="9" s="1"/>
  <c r="I61" i="9" s="1"/>
  <c r="E62" i="9"/>
  <c r="E63" i="9"/>
  <c r="H63" i="9" s="1"/>
  <c r="I63" i="9" s="1"/>
  <c r="J63" i="9" s="1"/>
  <c r="E64" i="9"/>
  <c r="H64" i="9" s="1"/>
  <c r="I64" i="9" s="1"/>
  <c r="J64" i="9" s="1"/>
  <c r="E65" i="9"/>
  <c r="H65" i="9"/>
  <c r="I65" i="9" s="1"/>
  <c r="J65" i="9" s="1"/>
  <c r="E66" i="9"/>
  <c r="E67" i="9"/>
  <c r="H67" i="9" s="1"/>
  <c r="I67" i="9" s="1"/>
  <c r="J67" i="9" s="1"/>
  <c r="E68" i="9"/>
  <c r="H68" i="9" s="1"/>
  <c r="I68" i="9" s="1"/>
  <c r="J68" i="9" s="1"/>
  <c r="E69" i="9"/>
  <c r="H69" i="9"/>
  <c r="I69" i="9" s="1"/>
  <c r="J69" i="9" s="1"/>
  <c r="E70" i="9"/>
  <c r="E71" i="9"/>
  <c r="H71" i="9" s="1"/>
  <c r="I71" i="9" s="1"/>
  <c r="J71" i="9" s="1"/>
  <c r="E72" i="9"/>
  <c r="H72" i="9" s="1"/>
  <c r="I72" i="9" s="1"/>
  <c r="J72" i="9" s="1"/>
  <c r="E73" i="9"/>
  <c r="E74" i="9"/>
  <c r="H74" i="9" s="1"/>
  <c r="I74" i="9" s="1"/>
  <c r="J74" i="9" s="1"/>
  <c r="E75" i="9"/>
  <c r="E76" i="9"/>
  <c r="E78" i="9"/>
  <c r="E39" i="9"/>
  <c r="E40" i="9"/>
  <c r="E42" i="9"/>
  <c r="E44" i="9"/>
  <c r="E49" i="9"/>
  <c r="E50" i="9"/>
  <c r="E51" i="9"/>
  <c r="E97" i="9"/>
  <c r="E180" i="9"/>
  <c r="E186" i="9"/>
  <c r="E187" i="9"/>
  <c r="E188" i="9"/>
  <c r="E191" i="9"/>
  <c r="E224" i="9"/>
  <c r="E274" i="9"/>
  <c r="E276" i="9"/>
  <c r="E277" i="9"/>
  <c r="E279" i="9"/>
  <c r="E302" i="9"/>
  <c r="E354" i="9"/>
  <c r="E360" i="9"/>
  <c r="E362" i="9"/>
  <c r="E363" i="9"/>
  <c r="E365" i="9"/>
  <c r="E380" i="9"/>
  <c r="E395" i="9"/>
  <c r="E441" i="9"/>
  <c r="E443" i="9"/>
  <c r="E444" i="9"/>
  <c r="E446" i="9"/>
  <c r="E527" i="9"/>
  <c r="E529" i="9"/>
  <c r="E530" i="9"/>
  <c r="E532" i="9"/>
  <c r="E533" i="9"/>
  <c r="G31" i="9"/>
  <c r="G32" i="9"/>
  <c r="G33" i="9"/>
  <c r="G34" i="9"/>
  <c r="G35" i="9"/>
  <c r="G36" i="9" s="1"/>
  <c r="G55" i="9"/>
  <c r="G56" i="9"/>
  <c r="G57" i="9" s="1"/>
  <c r="G60" i="9"/>
  <c r="G80" i="9" s="1"/>
  <c r="G61" i="9"/>
  <c r="G62" i="9"/>
  <c r="G63" i="9"/>
  <c r="G64" i="9"/>
  <c r="G65" i="9"/>
  <c r="G66" i="9"/>
  <c r="G67" i="9"/>
  <c r="G68" i="9"/>
  <c r="G69" i="9"/>
  <c r="G70" i="9"/>
  <c r="G71" i="9"/>
  <c r="G72" i="9"/>
  <c r="G73" i="9"/>
  <c r="G74" i="9"/>
  <c r="G75" i="9"/>
  <c r="G76" i="9"/>
  <c r="G77" i="9"/>
  <c r="G78" i="9"/>
  <c r="G39" i="9"/>
  <c r="G41" i="9"/>
  <c r="G42" i="9"/>
  <c r="G43" i="9"/>
  <c r="G44" i="9"/>
  <c r="G45" i="9"/>
  <c r="G46" i="9"/>
  <c r="G47" i="9"/>
  <c r="G49" i="9"/>
  <c r="G50" i="9"/>
  <c r="G51" i="9"/>
  <c r="G180" i="9"/>
  <c r="G181" i="9"/>
  <c r="G182" i="9"/>
  <c r="G183" i="9"/>
  <c r="G184" i="9"/>
  <c r="G185" i="9"/>
  <c r="G186" i="9"/>
  <c r="G187" i="9"/>
  <c r="G188" i="9"/>
  <c r="G189" i="9"/>
  <c r="G190" i="9"/>
  <c r="G191" i="9"/>
  <c r="G192" i="9"/>
  <c r="G198" i="9"/>
  <c r="G199" i="9"/>
  <c r="G202" i="9"/>
  <c r="G204" i="9"/>
  <c r="G206" i="9"/>
  <c r="G209" i="9"/>
  <c r="G216" i="9" s="1"/>
  <c r="G210" i="9"/>
  <c r="G211" i="9"/>
  <c r="G212" i="9"/>
  <c r="G213" i="9"/>
  <c r="G214" i="9"/>
  <c r="G215" i="9"/>
  <c r="G223" i="9"/>
  <c r="G224" i="9" s="1"/>
  <c r="G268" i="9"/>
  <c r="G269" i="9"/>
  <c r="G270" i="9"/>
  <c r="G294" i="9" s="1"/>
  <c r="G304" i="9" s="1"/>
  <c r="F10" i="45" s="1"/>
  <c r="G271" i="9"/>
  <c r="G272" i="9"/>
  <c r="G273" i="9"/>
  <c r="G274" i="9"/>
  <c r="G275" i="9"/>
  <c r="G276" i="9"/>
  <c r="G277" i="9"/>
  <c r="G279" i="9"/>
  <c r="G281" i="9"/>
  <c r="G297" i="9"/>
  <c r="G298" i="9"/>
  <c r="G299" i="9"/>
  <c r="G300" i="9"/>
  <c r="G302" i="9" s="1"/>
  <c r="G301" i="9"/>
  <c r="G354" i="9"/>
  <c r="G380" i="9" s="1"/>
  <c r="G355" i="9"/>
  <c r="G356" i="9"/>
  <c r="G357" i="9"/>
  <c r="G358" i="9"/>
  <c r="G359" i="9"/>
  <c r="G360" i="9"/>
  <c r="G361" i="9"/>
  <c r="G362" i="9"/>
  <c r="G363" i="9"/>
  <c r="G364" i="9"/>
  <c r="G365" i="9"/>
  <c r="G366" i="9"/>
  <c r="G367" i="9"/>
  <c r="G368" i="9"/>
  <c r="G369" i="9"/>
  <c r="G370" i="9"/>
  <c r="G371" i="9"/>
  <c r="G372" i="9"/>
  <c r="G373" i="9"/>
  <c r="G374" i="9"/>
  <c r="G375" i="9"/>
  <c r="G376" i="9"/>
  <c r="G377" i="9"/>
  <c r="G378" i="9"/>
  <c r="G379" i="9"/>
  <c r="G383" i="9"/>
  <c r="G384" i="9"/>
  <c r="G385" i="9"/>
  <c r="G388" i="9" s="1"/>
  <c r="G386" i="9"/>
  <c r="G387" i="9"/>
  <c r="G393" i="9"/>
  <c r="G395" i="9" s="1"/>
  <c r="G394" i="9"/>
  <c r="G435" i="9"/>
  <c r="G436" i="9"/>
  <c r="G437" i="9"/>
  <c r="G438" i="9"/>
  <c r="G439" i="9"/>
  <c r="G440" i="9"/>
  <c r="G441" i="9"/>
  <c r="G442" i="9"/>
  <c r="G443" i="9"/>
  <c r="G444" i="9"/>
  <c r="G445" i="9"/>
  <c r="G446" i="9"/>
  <c r="G447" i="9"/>
  <c r="G448" i="9"/>
  <c r="G449" i="9"/>
  <c r="G450" i="9"/>
  <c r="G451" i="9"/>
  <c r="G452" i="9"/>
  <c r="G453" i="9"/>
  <c r="G454" i="9"/>
  <c r="G455" i="9"/>
  <c r="G456" i="9"/>
  <c r="G457" i="9"/>
  <c r="G458" i="9"/>
  <c r="G459" i="9"/>
  <c r="G460" i="9"/>
  <c r="G461" i="9"/>
  <c r="G464" i="9"/>
  <c r="G469" i="9" s="1"/>
  <c r="G465" i="9"/>
  <c r="G466" i="9"/>
  <c r="G467" i="9"/>
  <c r="G468" i="9"/>
  <c r="G521" i="9"/>
  <c r="G522" i="9"/>
  <c r="G523" i="9"/>
  <c r="G524" i="9"/>
  <c r="G525" i="9"/>
  <c r="G526" i="9"/>
  <c r="G527" i="9"/>
  <c r="G528" i="9"/>
  <c r="G529" i="9"/>
  <c r="G530" i="9"/>
  <c r="G531" i="9"/>
  <c r="G532" i="9"/>
  <c r="G533" i="9"/>
  <c r="G534" i="9"/>
  <c r="G535" i="9"/>
  <c r="G536" i="9"/>
  <c r="G537" i="9"/>
  <c r="G538" i="9"/>
  <c r="G539" i="9"/>
  <c r="G540" i="9"/>
  <c r="G541" i="9"/>
  <c r="G542" i="9"/>
  <c r="G543" i="9"/>
  <c r="G544" i="9"/>
  <c r="G545" i="9"/>
  <c r="G546" i="9"/>
  <c r="G547" i="9"/>
  <c r="G550" i="9"/>
  <c r="G555" i="9" s="1"/>
  <c r="G551" i="9"/>
  <c r="G552" i="9"/>
  <c r="G553" i="9"/>
  <c r="G554" i="9"/>
  <c r="H56" i="9"/>
  <c r="I56" i="9" s="1"/>
  <c r="J56" i="9" s="1"/>
  <c r="H60" i="9"/>
  <c r="H62" i="9"/>
  <c r="I62" i="9" s="1"/>
  <c r="J62" i="9" s="1"/>
  <c r="H66" i="9"/>
  <c r="I66" i="9" s="1"/>
  <c r="J66" i="9" s="1"/>
  <c r="H70" i="9"/>
  <c r="I70" i="9" s="1"/>
  <c r="J70" i="9" s="1"/>
  <c r="H75" i="9"/>
  <c r="I75" i="9"/>
  <c r="J75" i="9" s="1"/>
  <c r="H76" i="9"/>
  <c r="H78" i="9"/>
  <c r="H79" i="9"/>
  <c r="I79" i="9" s="1"/>
  <c r="J79" i="9" s="1"/>
  <c r="H94" i="9"/>
  <c r="H97" i="9" s="1"/>
  <c r="H95" i="9"/>
  <c r="H211" i="9"/>
  <c r="I211" i="9" s="1"/>
  <c r="J211" i="9" s="1"/>
  <c r="H212" i="9"/>
  <c r="H213" i="9"/>
  <c r="I213" i="9" s="1"/>
  <c r="J213" i="9" s="1"/>
  <c r="H224" i="9"/>
  <c r="H297" i="9"/>
  <c r="I297" i="9" s="1"/>
  <c r="H299" i="9"/>
  <c r="I299" i="9" s="1"/>
  <c r="J299" i="9" s="1"/>
  <c r="H300" i="9"/>
  <c r="H301" i="9"/>
  <c r="H386" i="9"/>
  <c r="I386" i="9" s="1"/>
  <c r="J386" i="9" s="1"/>
  <c r="H393" i="9"/>
  <c r="H395" i="9" s="1"/>
  <c r="H394" i="9"/>
  <c r="H467" i="9"/>
  <c r="I467" i="9" s="1"/>
  <c r="J467" i="9" s="1"/>
  <c r="I60" i="9"/>
  <c r="J60" i="9"/>
  <c r="I73" i="9"/>
  <c r="I76" i="9"/>
  <c r="J76" i="9" s="1"/>
  <c r="I78" i="9"/>
  <c r="J78" i="9" s="1"/>
  <c r="I94" i="9"/>
  <c r="J94" i="9" s="1"/>
  <c r="J97" i="9" s="1"/>
  <c r="I95" i="9"/>
  <c r="I97" i="9"/>
  <c r="I210" i="9"/>
  <c r="J210" i="9"/>
  <c r="I214" i="9"/>
  <c r="J214" i="9" s="1"/>
  <c r="I223" i="9"/>
  <c r="I224" i="9"/>
  <c r="I298" i="9"/>
  <c r="J298" i="9"/>
  <c r="I300" i="9"/>
  <c r="J300" i="9" s="1"/>
  <c r="I301" i="9"/>
  <c r="J301" i="9" s="1"/>
  <c r="I384" i="9"/>
  <c r="J384" i="9"/>
  <c r="I393" i="9"/>
  <c r="J393" i="9"/>
  <c r="I465" i="9"/>
  <c r="J465" i="9"/>
  <c r="I551" i="9"/>
  <c r="J73" i="9"/>
  <c r="J95" i="9"/>
  <c r="J223" i="9"/>
  <c r="J224" i="9" s="1"/>
  <c r="J551" i="9"/>
  <c r="C36" i="9"/>
  <c r="C82" i="9" s="1"/>
  <c r="C99" i="9" s="1"/>
  <c r="C8" i="45" s="1"/>
  <c r="C57" i="9"/>
  <c r="C80" i="9"/>
  <c r="C52" i="9"/>
  <c r="C97" i="9"/>
  <c r="C206" i="9"/>
  <c r="C218" i="9" s="1"/>
  <c r="C226" i="9" s="1"/>
  <c r="C9" i="45" s="1"/>
  <c r="C216" i="9"/>
  <c r="C224" i="9"/>
  <c r="C294" i="9"/>
  <c r="C302" i="9"/>
  <c r="C304" i="9" s="1"/>
  <c r="C10" i="45" s="1"/>
  <c r="C380" i="9"/>
  <c r="C390" i="9" s="1"/>
  <c r="C397" i="9" s="1"/>
  <c r="C11" i="45" s="1"/>
  <c r="C388" i="9"/>
  <c r="C395" i="9"/>
  <c r="C461" i="9"/>
  <c r="C471" i="9" s="1"/>
  <c r="C473" i="9" s="1"/>
  <c r="C12" i="45" s="1"/>
  <c r="C469" i="9"/>
  <c r="C547" i="9"/>
  <c r="C555" i="9"/>
  <c r="C557" i="9"/>
  <c r="C559" i="9" s="1"/>
  <c r="C13" i="45" s="1"/>
  <c r="C2763" i="9"/>
  <c r="C2464" i="9"/>
  <c r="C3141" i="9" s="1"/>
  <c r="C2608" i="9"/>
  <c r="C2918" i="9"/>
  <c r="C3189" i="9"/>
  <c r="H2904" i="9"/>
  <c r="I2901" i="9"/>
  <c r="I2904" i="9" s="1"/>
  <c r="I2902" i="9"/>
  <c r="J2902" i="9" s="1"/>
  <c r="G2903" i="9"/>
  <c r="G2904" i="9" s="1"/>
  <c r="G2907" i="9"/>
  <c r="H2907" i="9" s="1"/>
  <c r="G2898" i="9"/>
  <c r="D2904" i="9"/>
  <c r="D2908" i="9"/>
  <c r="D2910" i="9" s="1"/>
  <c r="D38" i="44" s="1"/>
  <c r="D2898" i="9"/>
  <c r="E2904" i="9"/>
  <c r="E2898" i="9"/>
  <c r="C2904" i="9"/>
  <c r="C2910" i="9" s="1"/>
  <c r="C38" i="44" s="1"/>
  <c r="C2908" i="9"/>
  <c r="C2898" i="9"/>
  <c r="G2747" i="9"/>
  <c r="G2748" i="9"/>
  <c r="G2751" i="9"/>
  <c r="G2753" i="9" s="1"/>
  <c r="G2752" i="9"/>
  <c r="G2756" i="9"/>
  <c r="G2757" i="9" s="1"/>
  <c r="D2753" i="9"/>
  <c r="D2757" i="9"/>
  <c r="E2753" i="9"/>
  <c r="E2757" i="9"/>
  <c r="C2748" i="9"/>
  <c r="C2759" i="9" s="1"/>
  <c r="C37" i="44" s="1"/>
  <c r="C2753" i="9"/>
  <c r="C2757" i="9"/>
  <c r="G34" i="44"/>
  <c r="G2301" i="9"/>
  <c r="G2302" i="9" s="1"/>
  <c r="G2304" i="9" s="1"/>
  <c r="F34" i="44" s="1"/>
  <c r="E2302" i="9"/>
  <c r="E2304" i="9" s="1"/>
  <c r="E34" i="44" s="1"/>
  <c r="C2302" i="9"/>
  <c r="C2304" i="9"/>
  <c r="C34" i="44" s="1"/>
  <c r="G2458" i="9"/>
  <c r="D2458" i="9"/>
  <c r="E2453" i="9"/>
  <c r="E2460" i="9" s="1"/>
  <c r="E35" i="44" s="1"/>
  <c r="E2458" i="9"/>
  <c r="C2453" i="9"/>
  <c r="B13" i="25" s="1"/>
  <c r="B13" i="30" s="1"/>
  <c r="K24" i="30" s="1"/>
  <c r="C2458" i="9"/>
  <c r="I3204" i="9"/>
  <c r="G82" i="8"/>
  <c r="I1910" i="9"/>
  <c r="J1910" i="9"/>
  <c r="F2907" i="9"/>
  <c r="F2908" i="9"/>
  <c r="F2827" i="9"/>
  <c r="G2827" i="9"/>
  <c r="F2783" i="9"/>
  <c r="G2783" i="9"/>
  <c r="F2638" i="9"/>
  <c r="G2638" i="9"/>
  <c r="F2624" i="9"/>
  <c r="G2624" i="9"/>
  <c r="F2483" i="9"/>
  <c r="G2483" i="9" s="1"/>
  <c r="F2324" i="9"/>
  <c r="G2324" i="9" s="1"/>
  <c r="F2158" i="9"/>
  <c r="G2158" i="9" s="1"/>
  <c r="F1927" i="9"/>
  <c r="G1927" i="9"/>
  <c r="F1769" i="9"/>
  <c r="G1769" i="9"/>
  <c r="F1373" i="9"/>
  <c r="G1373" i="9"/>
  <c r="F988" i="9"/>
  <c r="G988" i="9" s="1"/>
  <c r="F1250" i="9"/>
  <c r="G1250" i="9" s="1"/>
  <c r="F1245" i="9"/>
  <c r="G1245" i="9" s="1"/>
  <c r="F1228" i="9"/>
  <c r="G1228" i="9" s="1"/>
  <c r="F929" i="9"/>
  <c r="G929" i="9"/>
  <c r="F925" i="9"/>
  <c r="G925" i="9"/>
  <c r="F831" i="9"/>
  <c r="F821" i="9"/>
  <c r="G821" i="9" s="1"/>
  <c r="E3" i="70" s="1"/>
  <c r="E5" i="70" s="1"/>
  <c r="E9" i="70" s="1"/>
  <c r="E13" i="70" s="1"/>
  <c r="E3" i="69" s="1"/>
  <c r="E5" i="69" s="1"/>
  <c r="E9" i="69" s="1"/>
  <c r="E11" i="69" s="1"/>
  <c r="E15" i="69" s="1"/>
  <c r="G822" i="9"/>
  <c r="N12" i="68"/>
  <c r="P12" i="68"/>
  <c r="Q12" i="68" s="1"/>
  <c r="R12" i="68" s="1"/>
  <c r="H822" i="9" s="1"/>
  <c r="I822" i="9" s="1"/>
  <c r="J822" i="9" s="1"/>
  <c r="F630" i="9"/>
  <c r="G630" i="9" s="1"/>
  <c r="G635" i="9" s="1"/>
  <c r="G686" i="9" s="1"/>
  <c r="F40" i="9"/>
  <c r="G40" i="9" s="1"/>
  <c r="G52" i="9" s="1"/>
  <c r="F48" i="9"/>
  <c r="G48" i="9"/>
  <c r="H2766" i="9"/>
  <c r="H695" i="9"/>
  <c r="H1596" i="9"/>
  <c r="H1599" i="9"/>
  <c r="H1600" i="9"/>
  <c r="I1600" i="9"/>
  <c r="J1600" i="9" s="1"/>
  <c r="I1595" i="9"/>
  <c r="I1596" i="9" s="1"/>
  <c r="J1595" i="9"/>
  <c r="J1596" i="9" s="1"/>
  <c r="J1356" i="9"/>
  <c r="H3043" i="9"/>
  <c r="D3043" i="9"/>
  <c r="E3043" i="9"/>
  <c r="I3035" i="9"/>
  <c r="I3281" i="9"/>
  <c r="I3036" i="9"/>
  <c r="I3287" i="9"/>
  <c r="I3037" i="9"/>
  <c r="I3283" i="9"/>
  <c r="I3038" i="9"/>
  <c r="I3285" i="9"/>
  <c r="I3039" i="9"/>
  <c r="I3282" i="9"/>
  <c r="I3040" i="9"/>
  <c r="I3293" i="9"/>
  <c r="I3041" i="9"/>
  <c r="I3284" i="9"/>
  <c r="I3042" i="9"/>
  <c r="J3042" i="9"/>
  <c r="J3035" i="9"/>
  <c r="J3281" i="9"/>
  <c r="J3037" i="9"/>
  <c r="J3039" i="9"/>
  <c r="J3282" i="9"/>
  <c r="J3041" i="9"/>
  <c r="J3284" i="9"/>
  <c r="D3335" i="9"/>
  <c r="D3336" i="9"/>
  <c r="D3354" i="9" s="1"/>
  <c r="D3337" i="9"/>
  <c r="D3338" i="9"/>
  <c r="D3339" i="9"/>
  <c r="D3343" i="9"/>
  <c r="D3361" i="9"/>
  <c r="D3362" i="9"/>
  <c r="D3363" i="9"/>
  <c r="D3376" i="9" s="1"/>
  <c r="D3364" i="9"/>
  <c r="D3365" i="9"/>
  <c r="D3366" i="9"/>
  <c r="D3367" i="9"/>
  <c r="D3368" i="9"/>
  <c r="D3369" i="9"/>
  <c r="D3370" i="9"/>
  <c r="D3371" i="9"/>
  <c r="D3372" i="9"/>
  <c r="D3373" i="9"/>
  <c r="D3374" i="9"/>
  <c r="D3375" i="9"/>
  <c r="D3359" i="9"/>
  <c r="E3337" i="9"/>
  <c r="E3338" i="9"/>
  <c r="E3339" i="9"/>
  <c r="E3343" i="9"/>
  <c r="E3361" i="9"/>
  <c r="E3362" i="9"/>
  <c r="E3366" i="9"/>
  <c r="E3367" i="9"/>
  <c r="E3368" i="9"/>
  <c r="E3369" i="9"/>
  <c r="E3370" i="9"/>
  <c r="E3372" i="9"/>
  <c r="E3373" i="9"/>
  <c r="E3374" i="9"/>
  <c r="E3375" i="9"/>
  <c r="E3359" i="9"/>
  <c r="F3338" i="9"/>
  <c r="F3339" i="9"/>
  <c r="F3343" i="9"/>
  <c r="F3361" i="9"/>
  <c r="F3362" i="9"/>
  <c r="F3363" i="9"/>
  <c r="F3364" i="9"/>
  <c r="F3365" i="9"/>
  <c r="F3366" i="9"/>
  <c r="F3367" i="9"/>
  <c r="F3368" i="9"/>
  <c r="F3369" i="9"/>
  <c r="F3370" i="9"/>
  <c r="F3371" i="9"/>
  <c r="F3373" i="9"/>
  <c r="F3374" i="9"/>
  <c r="F3375" i="9"/>
  <c r="F3359" i="9"/>
  <c r="G3339" i="9"/>
  <c r="G3343" i="9"/>
  <c r="G3361" i="9"/>
  <c r="G3363" i="9"/>
  <c r="G3364" i="9"/>
  <c r="G3365" i="9"/>
  <c r="G3366" i="9"/>
  <c r="G3367" i="9"/>
  <c r="G3368" i="9"/>
  <c r="G3369" i="9"/>
  <c r="G3370" i="9"/>
  <c r="G3371" i="9"/>
  <c r="G3373" i="9"/>
  <c r="G3374" i="9"/>
  <c r="G3375" i="9"/>
  <c r="G3359" i="9"/>
  <c r="H3335" i="9"/>
  <c r="H3337" i="9"/>
  <c r="H3343" i="9"/>
  <c r="H3361" i="9"/>
  <c r="H3362" i="9"/>
  <c r="H3366" i="9"/>
  <c r="H3367" i="9"/>
  <c r="H3368" i="9"/>
  <c r="H3369" i="9"/>
  <c r="H3370" i="9"/>
  <c r="H3373" i="9"/>
  <c r="H3359" i="9"/>
  <c r="I3373" i="9"/>
  <c r="I3359" i="9"/>
  <c r="J3359" i="9"/>
  <c r="C3335" i="9"/>
  <c r="C3336" i="9"/>
  <c r="C3337" i="9"/>
  <c r="C3338" i="9"/>
  <c r="C3339" i="9"/>
  <c r="C3343" i="9"/>
  <c r="C3354" i="9"/>
  <c r="C3358" i="9"/>
  <c r="C3361" i="9"/>
  <c r="C3376" i="9" s="1"/>
  <c r="C3362" i="9"/>
  <c r="C3363" i="9"/>
  <c r="C3364" i="9"/>
  <c r="C3365" i="9"/>
  <c r="C3366" i="9"/>
  <c r="C3367" i="9"/>
  <c r="C3368" i="9"/>
  <c r="C3369" i="9"/>
  <c r="C3370" i="9"/>
  <c r="C3371" i="9"/>
  <c r="C3372" i="9"/>
  <c r="C3373" i="9"/>
  <c r="C3374" i="9"/>
  <c r="C3375" i="9"/>
  <c r="C3359" i="9"/>
  <c r="I595" i="9"/>
  <c r="J595" i="9"/>
  <c r="I593" i="9"/>
  <c r="J593" i="9" s="1"/>
  <c r="J596" i="9" s="1"/>
  <c r="J3123" i="9" s="1"/>
  <c r="H24" i="8" s="1"/>
  <c r="H2801" i="9"/>
  <c r="H3372" i="9" s="1"/>
  <c r="J3202" i="9"/>
  <c r="H80" i="8" s="1"/>
  <c r="G5057" i="72"/>
  <c r="G5037" i="72"/>
  <c r="P356" i="72"/>
  <c r="K155" i="72"/>
  <c r="F9" i="27"/>
  <c r="D3164" i="9"/>
  <c r="C66" i="8"/>
  <c r="E3164" i="9"/>
  <c r="D66" i="8" s="1"/>
  <c r="F937" i="9"/>
  <c r="F3164" i="9"/>
  <c r="G3164" i="9"/>
  <c r="E66" i="8" s="1"/>
  <c r="C3164" i="9"/>
  <c r="B66" i="8"/>
  <c r="F2639" i="9"/>
  <c r="F2632" i="9"/>
  <c r="F2677" i="9"/>
  <c r="F2671" i="9"/>
  <c r="F3047" i="9"/>
  <c r="F2504" i="9"/>
  <c r="F2345" i="9"/>
  <c r="F2244" i="9"/>
  <c r="F2085" i="9"/>
  <c r="F1936" i="9"/>
  <c r="F1861" i="9"/>
  <c r="F1766" i="9"/>
  <c r="F1701" i="9"/>
  <c r="F1630" i="9"/>
  <c r="F1534" i="9"/>
  <c r="F1381" i="9"/>
  <c r="F1238" i="9"/>
  <c r="F1143" i="9"/>
  <c r="F989" i="9"/>
  <c r="F917" i="9"/>
  <c r="F758" i="9"/>
  <c r="F640" i="9"/>
  <c r="F57" i="9"/>
  <c r="C3156" i="9"/>
  <c r="B58" i="8" s="1"/>
  <c r="F15" i="63"/>
  <c r="F14" i="63"/>
  <c r="F10" i="63"/>
  <c r="B15" i="28"/>
  <c r="F15" i="28"/>
  <c r="C15" i="28"/>
  <c r="D15" i="28"/>
  <c r="C690" i="9"/>
  <c r="C700" i="9" s="1"/>
  <c r="C3154" i="9"/>
  <c r="B56" i="8"/>
  <c r="C929" i="9"/>
  <c r="C933" i="9" s="1"/>
  <c r="C940" i="9" s="1"/>
  <c r="C953" i="9" s="1"/>
  <c r="C17" i="45" s="1"/>
  <c r="C596" i="9"/>
  <c r="C3123" i="9" s="1"/>
  <c r="B24" i="8" s="1"/>
  <c r="C824" i="9"/>
  <c r="C3115" i="9" s="1"/>
  <c r="B9" i="25" s="1"/>
  <c r="B9" i="30" s="1"/>
  <c r="C828" i="9"/>
  <c r="C3117" i="9" s="1"/>
  <c r="B10" i="25" s="1"/>
  <c r="B10" i="30" s="1"/>
  <c r="B14" i="25"/>
  <c r="B14" i="30" s="1"/>
  <c r="K23" i="30" s="1"/>
  <c r="C981" i="9"/>
  <c r="C1055" i="9"/>
  <c r="C1676" i="9"/>
  <c r="C1678" i="9" s="1"/>
  <c r="C26" i="44" s="1"/>
  <c r="C2218" i="9"/>
  <c r="C2598" i="9"/>
  <c r="C1832" i="9"/>
  <c r="C600" i="9"/>
  <c r="C3125" i="9" s="1"/>
  <c r="B26" i="8" s="1"/>
  <c r="C1596" i="9"/>
  <c r="C1911" i="9"/>
  <c r="C1913" i="9" s="1"/>
  <c r="C29" i="44" s="1"/>
  <c r="C3129" i="9"/>
  <c r="B30" i="8" s="1"/>
  <c r="C1432" i="9"/>
  <c r="C3131" i="9"/>
  <c r="B32" i="8" s="1"/>
  <c r="C614" i="9"/>
  <c r="C1601" i="9"/>
  <c r="C1752" i="9"/>
  <c r="C1754" i="9" s="1"/>
  <c r="C27" i="44" s="1"/>
  <c r="C1837" i="9"/>
  <c r="C2602" i="9"/>
  <c r="C1212" i="9"/>
  <c r="C2061" i="9"/>
  <c r="C2063" i="9" s="1"/>
  <c r="C31" i="44" s="1"/>
  <c r="C3028" i="9"/>
  <c r="C2142" i="9"/>
  <c r="C2144" i="9" s="1"/>
  <c r="C32" i="44" s="1"/>
  <c r="C3135" i="9"/>
  <c r="B36" i="8" s="1"/>
  <c r="C3145" i="9"/>
  <c r="D1837" i="9"/>
  <c r="E1837" i="9"/>
  <c r="F1837" i="9"/>
  <c r="G1835" i="9"/>
  <c r="G1836" i="9"/>
  <c r="H1835" i="9"/>
  <c r="I1835" i="9" s="1"/>
  <c r="H1836" i="9"/>
  <c r="I1836" i="9"/>
  <c r="J1836" i="9" s="1"/>
  <c r="E1935" i="9"/>
  <c r="H1935" i="9"/>
  <c r="H1936" i="9"/>
  <c r="F12" i="41"/>
  <c r="N41" i="65" s="1"/>
  <c r="H41" i="65" s="1"/>
  <c r="E1704" i="9"/>
  <c r="H1704" i="9"/>
  <c r="E1709" i="9"/>
  <c r="H1709" i="9" s="1"/>
  <c r="I1709" i="9" s="1"/>
  <c r="J1709" i="9" s="1"/>
  <c r="H2824" i="9"/>
  <c r="I2824" i="9" s="1"/>
  <c r="J2824" i="9" s="1"/>
  <c r="E383" i="9"/>
  <c r="E385" i="9"/>
  <c r="H385" i="9" s="1"/>
  <c r="I385" i="9" s="1"/>
  <c r="J385" i="9" s="1"/>
  <c r="E387" i="9"/>
  <c r="H387" i="9" s="1"/>
  <c r="I387" i="9" s="1"/>
  <c r="J387" i="9" s="1"/>
  <c r="E1864" i="9"/>
  <c r="H1864" i="9" s="1"/>
  <c r="E1866" i="9"/>
  <c r="H1866" i="9"/>
  <c r="I1866" i="9" s="1"/>
  <c r="J1866" i="9" s="1"/>
  <c r="E1870" i="9"/>
  <c r="H1870" i="9"/>
  <c r="I1870" i="9" s="1"/>
  <c r="J1870" i="9" s="1"/>
  <c r="E550" i="9"/>
  <c r="H550" i="9"/>
  <c r="E552" i="9"/>
  <c r="H552" i="9" s="1"/>
  <c r="I552" i="9" s="1"/>
  <c r="J552" i="9" s="1"/>
  <c r="E553" i="9"/>
  <c r="H553" i="9" s="1"/>
  <c r="I553" i="9" s="1"/>
  <c r="J553" i="9" s="1"/>
  <c r="E554" i="9"/>
  <c r="H554" i="9" s="1"/>
  <c r="I554" i="9" s="1"/>
  <c r="J554" i="9" s="1"/>
  <c r="E464" i="9"/>
  <c r="E466" i="9"/>
  <c r="H466" i="9"/>
  <c r="I466" i="9"/>
  <c r="J466" i="9" s="1"/>
  <c r="E468" i="9"/>
  <c r="H468" i="9"/>
  <c r="I468" i="9"/>
  <c r="J468" i="9" s="1"/>
  <c r="E2167" i="9"/>
  <c r="E1244" i="9"/>
  <c r="E1255" i="9"/>
  <c r="E1246" i="9"/>
  <c r="H1246" i="9" s="1"/>
  <c r="I1246" i="9" s="1"/>
  <c r="J1246" i="9" s="1"/>
  <c r="E1247" i="9"/>
  <c r="H1247" i="9" s="1"/>
  <c r="I1247" i="9" s="1"/>
  <c r="J1247" i="9" s="1"/>
  <c r="H25" i="41" s="1"/>
  <c r="Q22" i="41" s="1"/>
  <c r="E1248" i="9"/>
  <c r="H1248" i="9" s="1"/>
  <c r="I1248" i="9" s="1"/>
  <c r="J1248" i="9" s="1"/>
  <c r="E1252" i="9"/>
  <c r="H1252" i="9" s="1"/>
  <c r="I1252" i="9" s="1"/>
  <c r="J1252" i="9" s="1"/>
  <c r="E209" i="9"/>
  <c r="H209" i="9" s="1"/>
  <c r="E215" i="9"/>
  <c r="H215" i="9"/>
  <c r="I215" i="9" s="1"/>
  <c r="J215" i="9" s="1"/>
  <c r="E921" i="9"/>
  <c r="E933" i="9"/>
  <c r="E1396" i="9"/>
  <c r="E1400" i="9" s="1"/>
  <c r="E2637" i="9"/>
  <c r="E1146" i="9"/>
  <c r="E1148" i="9"/>
  <c r="H1148" i="9" s="1"/>
  <c r="I1148" i="9" s="1"/>
  <c r="J1148" i="9" s="1"/>
  <c r="E1152" i="9"/>
  <c r="H1152" i="9" s="1"/>
  <c r="I1152" i="9" s="1"/>
  <c r="J1152" i="9" s="1"/>
  <c r="D77" i="9"/>
  <c r="D80" i="9" s="1"/>
  <c r="H2539" i="9"/>
  <c r="H2945" i="9"/>
  <c r="H2948" i="9"/>
  <c r="I2948" i="9" s="1"/>
  <c r="J2948" i="9" s="1"/>
  <c r="H2949" i="9"/>
  <c r="I2949" i="9" s="1"/>
  <c r="J2949" i="9" s="1"/>
  <c r="H2953" i="9"/>
  <c r="H2954" i="9"/>
  <c r="I2954" i="9" s="1"/>
  <c r="J2954" i="9" s="1"/>
  <c r="H2955" i="9"/>
  <c r="I2955" i="9"/>
  <c r="J2955" i="9" s="1"/>
  <c r="H2956" i="9"/>
  <c r="I2956" i="9" s="1"/>
  <c r="J2956" i="9" s="1"/>
  <c r="H2957" i="9"/>
  <c r="I2957" i="9" s="1"/>
  <c r="J2957" i="9" s="1"/>
  <c r="H2958" i="9"/>
  <c r="I2958" i="9" s="1"/>
  <c r="J2958" i="9" s="1"/>
  <c r="H2959" i="9"/>
  <c r="I2959" i="9"/>
  <c r="J2959" i="9" s="1"/>
  <c r="H2961" i="9"/>
  <c r="I2961" i="9" s="1"/>
  <c r="J2961" i="9" s="1"/>
  <c r="H2962" i="9"/>
  <c r="I2962" i="9" s="1"/>
  <c r="J2962" i="9" s="1"/>
  <c r="H2359" i="9"/>
  <c r="I2359" i="9" s="1"/>
  <c r="J2359" i="9" s="1"/>
  <c r="I3164" i="9"/>
  <c r="G66" i="8"/>
  <c r="H2751" i="9"/>
  <c r="I2751" i="9" s="1"/>
  <c r="H2752" i="9"/>
  <c r="I2752" i="9"/>
  <c r="J2752" i="9" s="1"/>
  <c r="E1993" i="9"/>
  <c r="H1993" i="9"/>
  <c r="H1994" i="9"/>
  <c r="H2002" i="9" s="1"/>
  <c r="H2004" i="9" s="1"/>
  <c r="I2763" i="9"/>
  <c r="E1764" i="9"/>
  <c r="E1766" i="9" s="1"/>
  <c r="E1765" i="9"/>
  <c r="H1765" i="9"/>
  <c r="I1765" i="9"/>
  <c r="J1765" i="9" s="1"/>
  <c r="E670" i="9"/>
  <c r="H670" i="9"/>
  <c r="I670" i="9"/>
  <c r="E672" i="9"/>
  <c r="H672" i="9" s="1"/>
  <c r="I672" i="9" s="1"/>
  <c r="J672" i="9" s="1"/>
  <c r="E678" i="9"/>
  <c r="H678" i="9" s="1"/>
  <c r="I678" i="9" s="1"/>
  <c r="J678" i="9" s="1"/>
  <c r="E680" i="9"/>
  <c r="H680" i="9" s="1"/>
  <c r="I680" i="9" s="1"/>
  <c r="J680" i="9" s="1"/>
  <c r="E681" i="9"/>
  <c r="H681" i="9" s="1"/>
  <c r="I681" i="9" s="1"/>
  <c r="J681" i="9" s="1"/>
  <c r="I2464" i="9"/>
  <c r="I3129" i="9"/>
  <c r="G30" i="8"/>
  <c r="N2452" i="9"/>
  <c r="J2452" i="9" s="1"/>
  <c r="J2453" i="9" s="1"/>
  <c r="J2464" i="9"/>
  <c r="H603" i="9"/>
  <c r="H3129" i="9" s="1"/>
  <c r="F30" i="8" s="1"/>
  <c r="H2763" i="9"/>
  <c r="J2763" i="9"/>
  <c r="H2464" i="9"/>
  <c r="J1357" i="9"/>
  <c r="J1359" i="9" s="1"/>
  <c r="J3129" i="9"/>
  <c r="H30" i="8" s="1"/>
  <c r="F11" i="69"/>
  <c r="F9" i="69" s="1"/>
  <c r="H818" i="9"/>
  <c r="D3322" i="9"/>
  <c r="D3324" i="9"/>
  <c r="D3325" i="9"/>
  <c r="E3323" i="9"/>
  <c r="D10" i="63" s="1"/>
  <c r="D3305" i="9"/>
  <c r="E3308" i="9"/>
  <c r="D21" i="63"/>
  <c r="D3302" i="9"/>
  <c r="D3290" i="9"/>
  <c r="D3291" i="9"/>
  <c r="D3288" i="9"/>
  <c r="D3296" i="9"/>
  <c r="D3287" i="9"/>
  <c r="C30" i="63" s="1"/>
  <c r="F3057" i="9"/>
  <c r="C3293" i="9"/>
  <c r="D3326" i="9"/>
  <c r="E3326" i="9"/>
  <c r="F3326" i="9"/>
  <c r="C3326" i="9"/>
  <c r="F3325" i="9"/>
  <c r="C3325" i="9"/>
  <c r="F3324" i="9"/>
  <c r="C3324" i="9"/>
  <c r="B15" i="63" s="1"/>
  <c r="F3323" i="9"/>
  <c r="C3323" i="9"/>
  <c r="F3322" i="9"/>
  <c r="C3322" i="9"/>
  <c r="D3321" i="9"/>
  <c r="E3321" i="9"/>
  <c r="F3321" i="9"/>
  <c r="G3321" i="9"/>
  <c r="C3321" i="9"/>
  <c r="D3320" i="9"/>
  <c r="E3320" i="9"/>
  <c r="F3320" i="9"/>
  <c r="G3320" i="9"/>
  <c r="C3320" i="9"/>
  <c r="D3312" i="9"/>
  <c r="C24" i="63" s="1"/>
  <c r="F3312" i="9"/>
  <c r="C3312" i="9"/>
  <c r="D3311" i="9"/>
  <c r="F3311" i="9"/>
  <c r="C3311" i="9"/>
  <c r="D3310" i="9"/>
  <c r="F3310" i="9"/>
  <c r="C3310" i="9"/>
  <c r="D3309" i="9"/>
  <c r="F3309" i="9"/>
  <c r="C3309" i="9"/>
  <c r="F3308" i="9"/>
  <c r="C3308" i="9"/>
  <c r="E3307" i="9"/>
  <c r="D20" i="63" s="1"/>
  <c r="F3307" i="9"/>
  <c r="C3307" i="9"/>
  <c r="B20" i="63" s="1"/>
  <c r="D3306" i="9"/>
  <c r="F3306" i="9"/>
  <c r="C3306" i="9"/>
  <c r="E3305" i="9"/>
  <c r="F3305" i="9"/>
  <c r="C3305" i="9"/>
  <c r="D3304" i="9"/>
  <c r="E3304" i="9"/>
  <c r="F3304" i="9"/>
  <c r="C3304" i="9"/>
  <c r="E3303" i="9"/>
  <c r="F3303" i="9"/>
  <c r="C3303" i="9"/>
  <c r="F3302" i="9"/>
  <c r="C3302" i="9"/>
  <c r="D3301" i="9"/>
  <c r="C25" i="63" s="1"/>
  <c r="E3301" i="9"/>
  <c r="F3301" i="9"/>
  <c r="F3313" i="9" s="1"/>
  <c r="C3301" i="9"/>
  <c r="F3300" i="9"/>
  <c r="C3300" i="9"/>
  <c r="F3296" i="9"/>
  <c r="C3296" i="9"/>
  <c r="D3295" i="9"/>
  <c r="F3295" i="9"/>
  <c r="C3295" i="9"/>
  <c r="D3294" i="9"/>
  <c r="F3294" i="9"/>
  <c r="C3294" i="9"/>
  <c r="F3292" i="9"/>
  <c r="C3292" i="9"/>
  <c r="F3291" i="9"/>
  <c r="C3291" i="9"/>
  <c r="C3290" i="9"/>
  <c r="B33" i="63" s="1"/>
  <c r="F3289" i="9"/>
  <c r="C3289" i="9"/>
  <c r="C3288" i="9"/>
  <c r="C3287" i="9"/>
  <c r="B30" i="63" s="1"/>
  <c r="D3286" i="9"/>
  <c r="F3286" i="9"/>
  <c r="C3286" i="9"/>
  <c r="C3285" i="9"/>
  <c r="D3284" i="9"/>
  <c r="F3284" i="9"/>
  <c r="C3284" i="9"/>
  <c r="D3283" i="9"/>
  <c r="F3283" i="9"/>
  <c r="C3283" i="9"/>
  <c r="D3282" i="9"/>
  <c r="F3282" i="9"/>
  <c r="C3282" i="9"/>
  <c r="D3281" i="9"/>
  <c r="C3281" i="9"/>
  <c r="E3311" i="9"/>
  <c r="E824" i="9"/>
  <c r="E3115" i="9"/>
  <c r="D9" i="25" s="1"/>
  <c r="D9" i="30" s="1"/>
  <c r="D824" i="9"/>
  <c r="D3115" i="9"/>
  <c r="C9" i="25" s="1"/>
  <c r="B12" i="25"/>
  <c r="B12" i="30"/>
  <c r="K12" i="30"/>
  <c r="C11" i="25"/>
  <c r="C11" i="30" s="1"/>
  <c r="L9" i="30" s="1"/>
  <c r="B11" i="25"/>
  <c r="B11" i="30" s="1"/>
  <c r="K9" i="30" s="1"/>
  <c r="C832" i="9"/>
  <c r="G3295" i="9"/>
  <c r="E21" i="41"/>
  <c r="N26" i="41" s="1"/>
  <c r="E3295" i="9"/>
  <c r="G3296" i="9"/>
  <c r="E3296" i="9"/>
  <c r="J2914" i="9"/>
  <c r="J2918" i="9"/>
  <c r="I2914" i="9"/>
  <c r="I2918" i="9"/>
  <c r="H2914" i="9"/>
  <c r="H2918" i="9"/>
  <c r="G2917" i="9"/>
  <c r="G2918" i="9" s="1"/>
  <c r="G3141" i="9" s="1"/>
  <c r="D11" i="25"/>
  <c r="D11" i="30" s="1"/>
  <c r="M9" i="30"/>
  <c r="E2918" i="9"/>
  <c r="D2918" i="9"/>
  <c r="C2914" i="9"/>
  <c r="G2762" i="9"/>
  <c r="G2763" i="9" s="1"/>
  <c r="E2763" i="9"/>
  <c r="D2767" i="9"/>
  <c r="D2763" i="9"/>
  <c r="C2767" i="9"/>
  <c r="C3030" i="9"/>
  <c r="C39" i="44" s="1"/>
  <c r="C1057" i="9"/>
  <c r="H2608" i="9"/>
  <c r="I2608" i="9"/>
  <c r="J2608" i="9"/>
  <c r="G2463" i="9"/>
  <c r="G2464" i="9"/>
  <c r="G2607" i="9"/>
  <c r="G2608" i="9" s="1"/>
  <c r="D2464" i="9"/>
  <c r="D2608" i="9"/>
  <c r="E2464" i="9"/>
  <c r="E2608" i="9"/>
  <c r="D828" i="9"/>
  <c r="D3117" i="9"/>
  <c r="C10" i="25" s="1"/>
  <c r="C10" i="30" s="1"/>
  <c r="D981" i="9"/>
  <c r="D983" i="9"/>
  <c r="D18" i="44" s="1"/>
  <c r="D1055" i="9"/>
  <c r="D1676" i="9"/>
  <c r="D2218" i="9"/>
  <c r="D2220" i="9" s="1"/>
  <c r="D2598" i="9"/>
  <c r="D596" i="9"/>
  <c r="D3123" i="9"/>
  <c r="C24" i="8" s="1"/>
  <c r="D600" i="9"/>
  <c r="D3125" i="9" s="1"/>
  <c r="D1596" i="9"/>
  <c r="D1911" i="9"/>
  <c r="D1432" i="9"/>
  <c r="D3131" i="9"/>
  <c r="C32" i="8"/>
  <c r="D1601" i="9"/>
  <c r="D1752" i="9"/>
  <c r="D1754" i="9"/>
  <c r="D27" i="44"/>
  <c r="D2602" i="9"/>
  <c r="D1212" i="9"/>
  <c r="D2061" i="9"/>
  <c r="D2063" i="9"/>
  <c r="D31" i="44" s="1"/>
  <c r="D3028" i="9"/>
  <c r="D3030" i="9"/>
  <c r="D39" i="44"/>
  <c r="D2142" i="9"/>
  <c r="D2144" i="9" s="1"/>
  <c r="D32" i="44" s="1"/>
  <c r="C21" i="32"/>
  <c r="L29" i="32" s="1"/>
  <c r="D3189" i="9"/>
  <c r="E828" i="9"/>
  <c r="E3117" i="9"/>
  <c r="E981" i="9"/>
  <c r="E983" i="9" s="1"/>
  <c r="E1055" i="9"/>
  <c r="E1676" i="9"/>
  <c r="E1678" i="9" s="1"/>
  <c r="E26" i="44" s="1"/>
  <c r="E2218" i="9"/>
  <c r="E2220" i="9"/>
  <c r="E33" i="44" s="1"/>
  <c r="E2598" i="9"/>
  <c r="E1832" i="9"/>
  <c r="E1839" i="9"/>
  <c r="E28" i="44" s="1"/>
  <c r="E596" i="9"/>
  <c r="E3123" i="9"/>
  <c r="D24" i="8"/>
  <c r="E600" i="9"/>
  <c r="E3125" i="9" s="1"/>
  <c r="D26" i="8" s="1"/>
  <c r="H600" i="9"/>
  <c r="H3125" i="9" s="1"/>
  <c r="F26" i="8" s="1"/>
  <c r="E1596" i="9"/>
  <c r="E1911" i="9"/>
  <c r="E1913" i="9" s="1"/>
  <c r="E29" i="44" s="1"/>
  <c r="E1432" i="9"/>
  <c r="E23" i="44"/>
  <c r="E614" i="9"/>
  <c r="E1601" i="9"/>
  <c r="E1752" i="9"/>
  <c r="E1754" i="9"/>
  <c r="E2602" i="9"/>
  <c r="E1212" i="9"/>
  <c r="E2061" i="9"/>
  <c r="E2063" i="9"/>
  <c r="E31" i="44" s="1"/>
  <c r="E3028" i="9"/>
  <c r="E3030" i="9"/>
  <c r="E2142" i="9"/>
  <c r="E2144" i="9" s="1"/>
  <c r="E32" i="44" s="1"/>
  <c r="E3281" i="9"/>
  <c r="E3189" i="9"/>
  <c r="F828" i="9"/>
  <c r="F3117" i="9" s="1"/>
  <c r="F2302" i="9"/>
  <c r="F2304" i="9"/>
  <c r="F2453" i="9"/>
  <c r="F2748" i="9"/>
  <c r="F2898" i="9"/>
  <c r="F981" i="9"/>
  <c r="F983" i="9" s="1"/>
  <c r="F1055" i="9"/>
  <c r="F1676" i="9"/>
  <c r="F1678" i="9"/>
  <c r="F2218" i="9"/>
  <c r="F2220" i="9" s="1"/>
  <c r="F2598" i="9"/>
  <c r="F1832" i="9"/>
  <c r="F600" i="9"/>
  <c r="F3125" i="9" s="1"/>
  <c r="F1596" i="9"/>
  <c r="F1911" i="9"/>
  <c r="F3129" i="9"/>
  <c r="F1432" i="9"/>
  <c r="F3131" i="9"/>
  <c r="F614" i="9"/>
  <c r="F1601" i="9"/>
  <c r="F1752" i="9"/>
  <c r="F1754" i="9"/>
  <c r="F2458" i="9"/>
  <c r="F2460" i="9" s="1"/>
  <c r="F2602" i="9"/>
  <c r="F2753" i="9"/>
  <c r="F2904" i="9"/>
  <c r="F1212" i="9"/>
  <c r="F1214" i="9" s="1"/>
  <c r="F2061" i="9"/>
  <c r="F2063" i="9" s="1"/>
  <c r="F3028" i="9"/>
  <c r="F3030" i="9"/>
  <c r="F2142" i="9"/>
  <c r="F2144" i="9" s="1"/>
  <c r="F2757" i="9"/>
  <c r="F2763" i="9"/>
  <c r="F2464" i="9"/>
  <c r="F2608" i="9"/>
  <c r="F2918" i="9"/>
  <c r="F206" i="9"/>
  <c r="F1761" i="9"/>
  <c r="F1857" i="9"/>
  <c r="F2238" i="9"/>
  <c r="F294" i="9"/>
  <c r="F380" i="9"/>
  <c r="F461" i="9"/>
  <c r="F547" i="9"/>
  <c r="F754" i="9"/>
  <c r="F912" i="9"/>
  <c r="F2081" i="9"/>
  <c r="F3043" i="9"/>
  <c r="F1452" i="9"/>
  <c r="F36" i="9"/>
  <c r="F3154" i="9" s="1"/>
  <c r="F3329" i="9" s="1"/>
  <c r="F3327" i="9"/>
  <c r="F3330" i="9" s="1"/>
  <c r="F644" i="9"/>
  <c r="F2795" i="9"/>
  <c r="F2337" i="9"/>
  <c r="F2843" i="9"/>
  <c r="F1457" i="9"/>
  <c r="F1545" i="9"/>
  <c r="F1641" i="9"/>
  <c r="F1710" i="9"/>
  <c r="F1770" i="9"/>
  <c r="F1953" i="9"/>
  <c r="F216" i="9"/>
  <c r="F302" i="9"/>
  <c r="F388" i="9"/>
  <c r="F771" i="9"/>
  <c r="F1155" i="9"/>
  <c r="F1400" i="9"/>
  <c r="F2093" i="9"/>
  <c r="F3051" i="9"/>
  <c r="F469" i="9"/>
  <c r="F555" i="9"/>
  <c r="F996" i="9"/>
  <c r="F2248" i="9"/>
  <c r="F840" i="9"/>
  <c r="F2333" i="9"/>
  <c r="F2492" i="9"/>
  <c r="F2791" i="9"/>
  <c r="F2547" i="9"/>
  <c r="F2849" i="9"/>
  <c r="F2376" i="9"/>
  <c r="F944" i="9"/>
  <c r="F395" i="9"/>
  <c r="F778" i="9"/>
  <c r="F851" i="9"/>
  <c r="F1162" i="9"/>
  <c r="F1407" i="9"/>
  <c r="F1552" i="9"/>
  <c r="F1649" i="9"/>
  <c r="F1718" i="9"/>
  <c r="F1776" i="9"/>
  <c r="F1961" i="9"/>
  <c r="F2101" i="9"/>
  <c r="F2191" i="9"/>
  <c r="F2256" i="9"/>
  <c r="F2382" i="9"/>
  <c r="F1413" i="9"/>
  <c r="F3189" i="9"/>
  <c r="F2861" i="9"/>
  <c r="F2558" i="9"/>
  <c r="F2683" i="9"/>
  <c r="G827" i="9"/>
  <c r="E18" i="8"/>
  <c r="G978" i="9"/>
  <c r="G979" i="9"/>
  <c r="G980" i="9"/>
  <c r="H980" i="9"/>
  <c r="I980" i="9" s="1"/>
  <c r="J980" i="9" s="1"/>
  <c r="G1054" i="9"/>
  <c r="G1055" i="9"/>
  <c r="G1057" i="9" s="1"/>
  <c r="G1674" i="9"/>
  <c r="H1674" i="9"/>
  <c r="G1675" i="9"/>
  <c r="G2216" i="9"/>
  <c r="G2217" i="9"/>
  <c r="H2217" i="9" s="1"/>
  <c r="G2597" i="9"/>
  <c r="G2598" i="9"/>
  <c r="G1831" i="9"/>
  <c r="G1832" i="9" s="1"/>
  <c r="G594" i="9"/>
  <c r="G595" i="9"/>
  <c r="G600" i="9"/>
  <c r="G3125" i="9" s="1"/>
  <c r="E26" i="8" s="1"/>
  <c r="G1910" i="9"/>
  <c r="G1911" i="9" s="1"/>
  <c r="G3129" i="9"/>
  <c r="E30" i="8"/>
  <c r="G1204" i="9"/>
  <c r="E11" i="49" s="1"/>
  <c r="G1356" i="9"/>
  <c r="G1357" i="9" s="1"/>
  <c r="G1359" i="9" s="1"/>
  <c r="G1431" i="9"/>
  <c r="G1432" i="9" s="1"/>
  <c r="G609" i="9"/>
  <c r="G610" i="9"/>
  <c r="G611" i="9"/>
  <c r="G612" i="9"/>
  <c r="G613" i="9"/>
  <c r="G1751" i="9"/>
  <c r="G1752" i="9"/>
  <c r="G1754" i="9" s="1"/>
  <c r="G2601" i="9"/>
  <c r="G2602" i="9"/>
  <c r="G1210" i="9"/>
  <c r="G1212" i="9" s="1"/>
  <c r="G1211" i="9"/>
  <c r="G2059" i="9"/>
  <c r="G2060" i="9"/>
  <c r="H2060" i="9"/>
  <c r="G3027" i="9"/>
  <c r="G3028" i="9" s="1"/>
  <c r="G3030" i="9" s="1"/>
  <c r="G2141" i="9"/>
  <c r="G2142" i="9" s="1"/>
  <c r="G2144" i="9" s="1"/>
  <c r="F32" i="44" s="1"/>
  <c r="G3036" i="9"/>
  <c r="G3037" i="9"/>
  <c r="G3038" i="9"/>
  <c r="G3039" i="9"/>
  <c r="G3040" i="9"/>
  <c r="G3041" i="9"/>
  <c r="G3042" i="9"/>
  <c r="G3322" i="9"/>
  <c r="G3323" i="9"/>
  <c r="G3324" i="9"/>
  <c r="G3325" i="9"/>
  <c r="E14" i="63"/>
  <c r="G3326" i="9"/>
  <c r="E12" i="41"/>
  <c r="N29" i="41" s="1"/>
  <c r="H1055" i="9"/>
  <c r="H1057" i="9"/>
  <c r="G19" i="44" s="1"/>
  <c r="H2216" i="9"/>
  <c r="I2216" i="9" s="1"/>
  <c r="J2216" i="9"/>
  <c r="H596" i="9"/>
  <c r="H1911" i="9"/>
  <c r="H1913" i="9" s="1"/>
  <c r="H614" i="9"/>
  <c r="H1212" i="9"/>
  <c r="H2142" i="9"/>
  <c r="H2144" i="9" s="1"/>
  <c r="G32" i="44"/>
  <c r="I979" i="9"/>
  <c r="J979" i="9" s="1"/>
  <c r="I1054" i="9"/>
  <c r="I600" i="9"/>
  <c r="I3125" i="9" s="1"/>
  <c r="G26" i="8" s="1"/>
  <c r="I1911" i="9"/>
  <c r="I609" i="9"/>
  <c r="J609" i="9" s="1"/>
  <c r="I610" i="9"/>
  <c r="I611" i="9"/>
  <c r="J611" i="9"/>
  <c r="I612" i="9"/>
  <c r="J612" i="9" s="1"/>
  <c r="I613" i="9"/>
  <c r="J613" i="9"/>
  <c r="I1211" i="9"/>
  <c r="I1212" i="9" s="1"/>
  <c r="I2141" i="9"/>
  <c r="I2142" i="9"/>
  <c r="I2144" i="9" s="1"/>
  <c r="H32" i="44" s="1"/>
  <c r="J600" i="9"/>
  <c r="J3125" i="9"/>
  <c r="H26" i="8" s="1"/>
  <c r="J2059" i="9"/>
  <c r="F699" i="9"/>
  <c r="F698" i="9"/>
  <c r="F695" i="9"/>
  <c r="F694" i="9"/>
  <c r="E1206" i="9"/>
  <c r="E1214" i="9"/>
  <c r="G2308" i="9"/>
  <c r="E2308" i="9"/>
  <c r="C2468" i="9"/>
  <c r="C2308" i="9"/>
  <c r="C2310" i="9" s="1"/>
  <c r="D1607" i="9"/>
  <c r="E1607" i="9"/>
  <c r="C1607" i="9"/>
  <c r="C1986" i="9"/>
  <c r="C1988" i="9" s="1"/>
  <c r="H1206" i="9"/>
  <c r="I1206" i="9"/>
  <c r="J1206" i="9"/>
  <c r="D1206" i="9"/>
  <c r="C1206" i="9"/>
  <c r="H22" i="9"/>
  <c r="H24" i="9" s="1"/>
  <c r="I22" i="9"/>
  <c r="I24" i="9" s="1"/>
  <c r="H8" i="44" s="1"/>
  <c r="J22" i="9"/>
  <c r="J24" i="9" s="1"/>
  <c r="I8" i="44" s="1"/>
  <c r="G22" i="9"/>
  <c r="G24" i="9"/>
  <c r="D22" i="9"/>
  <c r="D24" i="9" s="1"/>
  <c r="D8" i="44" s="1"/>
  <c r="N33" i="65"/>
  <c r="O33" i="65" s="1"/>
  <c r="P33" i="65" s="1"/>
  <c r="N32" i="65"/>
  <c r="O32" i="65"/>
  <c r="P32" i="65" s="1"/>
  <c r="P35" i="65" s="1"/>
  <c r="N22" i="65"/>
  <c r="D22" i="65" s="1"/>
  <c r="C22" i="65"/>
  <c r="G36" i="63"/>
  <c r="H36" i="63"/>
  <c r="F31" i="74"/>
  <c r="E81" i="74"/>
  <c r="G81" i="74"/>
  <c r="F81" i="74"/>
  <c r="E168" i="74"/>
  <c r="F170" i="74"/>
  <c r="G170" i="74"/>
  <c r="H170" i="74"/>
  <c r="I170" i="74" s="1"/>
  <c r="E170" i="74"/>
  <c r="F168" i="74"/>
  <c r="G168" i="74"/>
  <c r="H168" i="74" s="1"/>
  <c r="F166" i="74"/>
  <c r="G166" i="74" s="1"/>
  <c r="H166" i="74"/>
  <c r="I166" i="74" s="1"/>
  <c r="E166" i="74"/>
  <c r="F165" i="74"/>
  <c r="G165" i="74"/>
  <c r="H165" i="74" s="1"/>
  <c r="I165" i="74" s="1"/>
  <c r="E165" i="74"/>
  <c r="F162" i="74"/>
  <c r="G162" i="74" s="1"/>
  <c r="H162" i="74" s="1"/>
  <c r="E162" i="74"/>
  <c r="H161" i="74"/>
  <c r="F161" i="74"/>
  <c r="E158" i="74"/>
  <c r="E157" i="74"/>
  <c r="E159" i="74"/>
  <c r="F145" i="74"/>
  <c r="G145" i="74"/>
  <c r="H145" i="74" s="1"/>
  <c r="I145" i="74"/>
  <c r="E145" i="74"/>
  <c r="F143" i="74"/>
  <c r="G143" i="74" s="1"/>
  <c r="H143" i="74" s="1"/>
  <c r="I143" i="74" s="1"/>
  <c r="E143" i="74"/>
  <c r="F141" i="74"/>
  <c r="G141" i="74"/>
  <c r="H141" i="74" s="1"/>
  <c r="I141" i="74" s="1"/>
  <c r="E141" i="74"/>
  <c r="F140" i="74"/>
  <c r="G140" i="74" s="1"/>
  <c r="E140" i="74"/>
  <c r="F137" i="74"/>
  <c r="G137" i="74"/>
  <c r="H137" i="74" s="1"/>
  <c r="I137" i="74"/>
  <c r="E137" i="74"/>
  <c r="H136" i="74"/>
  <c r="F136" i="74"/>
  <c r="E133" i="74"/>
  <c r="E132" i="74"/>
  <c r="G132" i="74" s="1"/>
  <c r="F119" i="74"/>
  <c r="G119" i="74"/>
  <c r="H119" i="74" s="1"/>
  <c r="I119" i="74" s="1"/>
  <c r="E119" i="74"/>
  <c r="F117" i="74"/>
  <c r="G117" i="74" s="1"/>
  <c r="E117" i="74"/>
  <c r="F115" i="74"/>
  <c r="G115" i="74" s="1"/>
  <c r="H115" i="74" s="1"/>
  <c r="I115" i="74"/>
  <c r="E115" i="74"/>
  <c r="F114" i="74"/>
  <c r="G114" i="74" s="1"/>
  <c r="E114" i="74"/>
  <c r="F111" i="74"/>
  <c r="G111" i="74" s="1"/>
  <c r="E111" i="74"/>
  <c r="H110" i="74"/>
  <c r="F110" i="74"/>
  <c r="E107" i="74"/>
  <c r="E106" i="74"/>
  <c r="G106" i="74"/>
  <c r="E108" i="74"/>
  <c r="G108" i="74" s="1"/>
  <c r="F94" i="74"/>
  <c r="G94" i="74"/>
  <c r="H94" i="74" s="1"/>
  <c r="I94" i="74" s="1"/>
  <c r="E94" i="74"/>
  <c r="F92" i="74"/>
  <c r="G92" i="74" s="1"/>
  <c r="H92" i="74"/>
  <c r="I92" i="74" s="1"/>
  <c r="E92" i="74"/>
  <c r="F90" i="74"/>
  <c r="G90" i="74"/>
  <c r="H90" i="74" s="1"/>
  <c r="I90" i="74" s="1"/>
  <c r="E90" i="74"/>
  <c r="F89" i="74"/>
  <c r="G89" i="74" s="1"/>
  <c r="E89" i="74"/>
  <c r="F86" i="74"/>
  <c r="G86" i="74" s="1"/>
  <c r="E86" i="74"/>
  <c r="H85" i="74"/>
  <c r="F85" i="74"/>
  <c r="E82" i="74"/>
  <c r="E57" i="74"/>
  <c r="H57" i="74"/>
  <c r="E56" i="74"/>
  <c r="G56" i="74" s="1"/>
  <c r="H56" i="74" s="1"/>
  <c r="F69" i="74"/>
  <c r="G69" i="74" s="1"/>
  <c r="E69" i="74"/>
  <c r="F67" i="74"/>
  <c r="G67" i="74" s="1"/>
  <c r="H67" i="74" s="1"/>
  <c r="I67" i="74"/>
  <c r="E67" i="74"/>
  <c r="F65" i="74"/>
  <c r="G65" i="74" s="1"/>
  <c r="H65" i="74" s="1"/>
  <c r="I65" i="74" s="1"/>
  <c r="E65" i="74"/>
  <c r="F64" i="74"/>
  <c r="G64" i="74"/>
  <c r="H64" i="74" s="1"/>
  <c r="I64" i="74" s="1"/>
  <c r="E64" i="74"/>
  <c r="F61" i="74"/>
  <c r="G61" i="74" s="1"/>
  <c r="H61" i="74" s="1"/>
  <c r="E61" i="74"/>
  <c r="H60" i="74"/>
  <c r="F60" i="74"/>
  <c r="F57" i="74"/>
  <c r="E44" i="74"/>
  <c r="E42" i="74"/>
  <c r="H42" i="74" s="1"/>
  <c r="E16" i="74"/>
  <c r="E14" i="74"/>
  <c r="E20" i="74"/>
  <c r="E11" i="74"/>
  <c r="E8" i="74"/>
  <c r="E36" i="74"/>
  <c r="E39" i="74"/>
  <c r="F44" i="74"/>
  <c r="G44" i="74" s="1"/>
  <c r="H44" i="74" s="1"/>
  <c r="I44" i="74" s="1"/>
  <c r="F42" i="74"/>
  <c r="G42" i="74" s="1"/>
  <c r="F40" i="74"/>
  <c r="G40" i="74"/>
  <c r="H40" i="74"/>
  <c r="I40" i="74" s="1"/>
  <c r="F39" i="74"/>
  <c r="G39" i="74"/>
  <c r="H39" i="74"/>
  <c r="I39" i="74"/>
  <c r="F36" i="74"/>
  <c r="G36" i="74"/>
  <c r="H36" i="74"/>
  <c r="F35" i="74"/>
  <c r="F16" i="74"/>
  <c r="G16" i="74"/>
  <c r="H16" i="74"/>
  <c r="I16" i="74"/>
  <c r="F14" i="74"/>
  <c r="G14" i="74"/>
  <c r="H14" i="74"/>
  <c r="I14" i="74"/>
  <c r="F12" i="74"/>
  <c r="G12" i="74"/>
  <c r="H12" i="74"/>
  <c r="I12" i="74"/>
  <c r="F11" i="74"/>
  <c r="G11" i="74"/>
  <c r="F8" i="74"/>
  <c r="G8" i="74" s="1"/>
  <c r="H8" i="74" s="1"/>
  <c r="I8" i="74" s="1"/>
  <c r="F7" i="74"/>
  <c r="F5" i="74"/>
  <c r="G5" i="74"/>
  <c r="E7" i="70"/>
  <c r="H2897" i="9"/>
  <c r="I2897" i="9" s="1"/>
  <c r="J2897" i="9" s="1"/>
  <c r="H2896" i="9"/>
  <c r="I2896" i="9"/>
  <c r="E40" i="74"/>
  <c r="E12" i="74"/>
  <c r="G33" i="74"/>
  <c r="F32" i="74"/>
  <c r="E32" i="74"/>
  <c r="H32" i="74"/>
  <c r="I32" i="74"/>
  <c r="E31" i="74"/>
  <c r="H31" i="74" s="1"/>
  <c r="I31" i="74" s="1"/>
  <c r="H35" i="74"/>
  <c r="H7" i="74"/>
  <c r="G48" i="73"/>
  <c r="H48" i="73"/>
  <c r="C42" i="73"/>
  <c r="D42" i="73"/>
  <c r="E42" i="73"/>
  <c r="F42" i="73"/>
  <c r="G42" i="73"/>
  <c r="H42" i="73"/>
  <c r="B42" i="73"/>
  <c r="D38" i="73"/>
  <c r="F38" i="73"/>
  <c r="G38" i="73"/>
  <c r="H38" i="73"/>
  <c r="C32" i="73"/>
  <c r="D32" i="73"/>
  <c r="E32" i="73"/>
  <c r="F32" i="73"/>
  <c r="G32" i="73"/>
  <c r="H32" i="73"/>
  <c r="B32" i="73"/>
  <c r="C28" i="73"/>
  <c r="D28" i="73"/>
  <c r="E28" i="73"/>
  <c r="F28" i="73"/>
  <c r="F47" i="73" s="1"/>
  <c r="G28" i="73"/>
  <c r="H28" i="73"/>
  <c r="B28" i="73"/>
  <c r="C24" i="73"/>
  <c r="D24" i="73"/>
  <c r="E24" i="73"/>
  <c r="F24" i="73"/>
  <c r="G24" i="73"/>
  <c r="G47" i="73" s="1"/>
  <c r="H24" i="73"/>
  <c r="B24" i="73"/>
  <c r="C20" i="73"/>
  <c r="D20" i="73"/>
  <c r="D47" i="73" s="1"/>
  <c r="E20" i="73"/>
  <c r="F20" i="73"/>
  <c r="G20" i="73"/>
  <c r="H20" i="73"/>
  <c r="B20" i="73"/>
  <c r="C12" i="73"/>
  <c r="D12" i="73"/>
  <c r="E12" i="73"/>
  <c r="G12" i="73"/>
  <c r="H12" i="73"/>
  <c r="B12" i="73"/>
  <c r="B47" i="73" s="1"/>
  <c r="C8" i="73"/>
  <c r="D8" i="73"/>
  <c r="E8" i="73"/>
  <c r="E47" i="73" s="1"/>
  <c r="F8" i="73"/>
  <c r="G8" i="73"/>
  <c r="H8" i="73"/>
  <c r="B8" i="73"/>
  <c r="F44" i="73"/>
  <c r="F48" i="73"/>
  <c r="D44" i="73"/>
  <c r="D48" i="73"/>
  <c r="C44" i="73"/>
  <c r="E40" i="73"/>
  <c r="E48" i="73" s="1"/>
  <c r="C40" i="73"/>
  <c r="C48" i="73"/>
  <c r="B40" i="73"/>
  <c r="B48" i="73" s="1"/>
  <c r="E39" i="73"/>
  <c r="E38" i="73"/>
  <c r="C39" i="73"/>
  <c r="C38" i="73" s="1"/>
  <c r="B39" i="73"/>
  <c r="B38" i="73"/>
  <c r="F13" i="73"/>
  <c r="F12" i="73"/>
  <c r="I86" i="72"/>
  <c r="I156" i="72"/>
  <c r="J160" i="72"/>
  <c r="K160" i="72"/>
  <c r="L160" i="72" s="1"/>
  <c r="J161" i="72"/>
  <c r="K161" i="72"/>
  <c r="L161" i="72"/>
  <c r="J162" i="72"/>
  <c r="K162" i="72"/>
  <c r="L162" i="72"/>
  <c r="J163" i="72"/>
  <c r="K163" i="72" s="1"/>
  <c r="L163" i="72" s="1"/>
  <c r="J164" i="72"/>
  <c r="K164" i="72"/>
  <c r="L164" i="72" s="1"/>
  <c r="J165" i="72"/>
  <c r="K165" i="72"/>
  <c r="L165" i="72"/>
  <c r="J166" i="72"/>
  <c r="K166" i="72"/>
  <c r="L166" i="72"/>
  <c r="J167" i="72"/>
  <c r="K167" i="72" s="1"/>
  <c r="L167" i="72" s="1"/>
  <c r="J168" i="72"/>
  <c r="K168" i="72"/>
  <c r="L168" i="72" s="1"/>
  <c r="J169" i="72"/>
  <c r="K169" i="72"/>
  <c r="L169" i="72"/>
  <c r="J170" i="72"/>
  <c r="K170" i="72"/>
  <c r="L170" i="72"/>
  <c r="J171" i="72"/>
  <c r="K171" i="72" s="1"/>
  <c r="L171" i="72" s="1"/>
  <c r="J172" i="72"/>
  <c r="K172" i="72"/>
  <c r="L172" i="72" s="1"/>
  <c r="J173" i="72"/>
  <c r="K173" i="72"/>
  <c r="L173" i="72"/>
  <c r="J174" i="72"/>
  <c r="K174" i="72"/>
  <c r="L174" i="72"/>
  <c r="J175" i="72"/>
  <c r="K175" i="72" s="1"/>
  <c r="L175" i="72" s="1"/>
  <c r="J176" i="72"/>
  <c r="K176" i="72"/>
  <c r="L176" i="72" s="1"/>
  <c r="J177" i="72"/>
  <c r="K177" i="72"/>
  <c r="L177" i="72"/>
  <c r="J178" i="72"/>
  <c r="K178" i="72"/>
  <c r="L178" i="72"/>
  <c r="J179" i="72"/>
  <c r="K179" i="72" s="1"/>
  <c r="L179" i="72" s="1"/>
  <c r="J180" i="72"/>
  <c r="K180" i="72"/>
  <c r="L180" i="72" s="1"/>
  <c r="J181" i="72"/>
  <c r="K181" i="72"/>
  <c r="L181" i="72"/>
  <c r="J182" i="72"/>
  <c r="K182" i="72"/>
  <c r="L182" i="72"/>
  <c r="J183" i="72"/>
  <c r="K183" i="72" s="1"/>
  <c r="L183" i="72" s="1"/>
  <c r="J184" i="72"/>
  <c r="K184" i="72"/>
  <c r="L184" i="72" s="1"/>
  <c r="J185" i="72"/>
  <c r="K185" i="72"/>
  <c r="L185" i="72"/>
  <c r="J186" i="72"/>
  <c r="K186" i="72"/>
  <c r="L186" i="72"/>
  <c r="J187" i="72"/>
  <c r="K187" i="72" s="1"/>
  <c r="L187" i="72" s="1"/>
  <c r="J188" i="72"/>
  <c r="K188" i="72"/>
  <c r="L188" i="72" s="1"/>
  <c r="J189" i="72"/>
  <c r="K189" i="72"/>
  <c r="L189" i="72"/>
  <c r="J190" i="72"/>
  <c r="K190" i="72"/>
  <c r="L190" i="72"/>
  <c r="J191" i="72"/>
  <c r="K191" i="72" s="1"/>
  <c r="L191" i="72" s="1"/>
  <c r="J192" i="72"/>
  <c r="K192" i="72"/>
  <c r="L192" i="72" s="1"/>
  <c r="J193" i="72"/>
  <c r="K193" i="72"/>
  <c r="L193" i="72"/>
  <c r="J194" i="72"/>
  <c r="K194" i="72"/>
  <c r="L194" i="72"/>
  <c r="J195" i="72"/>
  <c r="K195" i="72" s="1"/>
  <c r="L195" i="72" s="1"/>
  <c r="J196" i="72"/>
  <c r="K196" i="72"/>
  <c r="L196" i="72" s="1"/>
  <c r="J197" i="72"/>
  <c r="K197" i="72"/>
  <c r="L197" i="72"/>
  <c r="J198" i="72"/>
  <c r="K198" i="72"/>
  <c r="L198" i="72"/>
  <c r="J199" i="72"/>
  <c r="K199" i="72" s="1"/>
  <c r="L199" i="72" s="1"/>
  <c r="J200" i="72"/>
  <c r="K200" i="72"/>
  <c r="L200" i="72" s="1"/>
  <c r="J201" i="72"/>
  <c r="K201" i="72"/>
  <c r="L201" i="72"/>
  <c r="J202" i="72"/>
  <c r="K202" i="72"/>
  <c r="L202" i="72"/>
  <c r="J203" i="72"/>
  <c r="K203" i="72" s="1"/>
  <c r="L203" i="72" s="1"/>
  <c r="J204" i="72"/>
  <c r="K204" i="72"/>
  <c r="L204" i="72" s="1"/>
  <c r="J205" i="72"/>
  <c r="K205" i="72"/>
  <c r="L205" i="72"/>
  <c r="J206" i="72"/>
  <c r="K206" i="72"/>
  <c r="L206" i="72"/>
  <c r="J207" i="72"/>
  <c r="K207" i="72" s="1"/>
  <c r="L207" i="72" s="1"/>
  <c r="J208" i="72"/>
  <c r="K208" i="72"/>
  <c r="L208" i="72" s="1"/>
  <c r="J209" i="72"/>
  <c r="K209" i="72"/>
  <c r="L209" i="72"/>
  <c r="J210" i="72"/>
  <c r="K210" i="72"/>
  <c r="L210" i="72"/>
  <c r="J211" i="72"/>
  <c r="K211" i="72" s="1"/>
  <c r="L211" i="72" s="1"/>
  <c r="J212" i="72"/>
  <c r="K212" i="72"/>
  <c r="L212" i="72" s="1"/>
  <c r="J213" i="72"/>
  <c r="K213" i="72"/>
  <c r="L213" i="72"/>
  <c r="J214" i="72"/>
  <c r="K214" i="72"/>
  <c r="L214" i="72"/>
  <c r="J215" i="72"/>
  <c r="K215" i="72" s="1"/>
  <c r="L215" i="72" s="1"/>
  <c r="J216" i="72"/>
  <c r="K216" i="72"/>
  <c r="L216" i="72" s="1"/>
  <c r="J217" i="72"/>
  <c r="K217" i="72"/>
  <c r="L217" i="72"/>
  <c r="J218" i="72"/>
  <c r="K218" i="72"/>
  <c r="L218" i="72"/>
  <c r="J219" i="72"/>
  <c r="K219" i="72" s="1"/>
  <c r="L219" i="72" s="1"/>
  <c r="J220" i="72"/>
  <c r="K220" i="72"/>
  <c r="L220" i="72" s="1"/>
  <c r="J221" i="72"/>
  <c r="K221" i="72"/>
  <c r="L221" i="72"/>
  <c r="J222" i="72"/>
  <c r="K222" i="72"/>
  <c r="L222" i="72"/>
  <c r="J223" i="72"/>
  <c r="K223" i="72" s="1"/>
  <c r="L223" i="72" s="1"/>
  <c r="J224" i="72"/>
  <c r="K224" i="72"/>
  <c r="L224" i="72" s="1"/>
  <c r="J225" i="72"/>
  <c r="K225" i="72"/>
  <c r="L225" i="72"/>
  <c r="J226" i="72"/>
  <c r="K226" i="72"/>
  <c r="L226" i="72"/>
  <c r="J227" i="72"/>
  <c r="K227" i="72" s="1"/>
  <c r="L227" i="72" s="1"/>
  <c r="J228" i="72"/>
  <c r="K228" i="72"/>
  <c r="L228" i="72" s="1"/>
  <c r="J229" i="72"/>
  <c r="K229" i="72"/>
  <c r="L229" i="72"/>
  <c r="J230" i="72"/>
  <c r="K230" i="72"/>
  <c r="L230" i="72"/>
  <c r="J231" i="72"/>
  <c r="K231" i="72" s="1"/>
  <c r="L231" i="72" s="1"/>
  <c r="J232" i="72"/>
  <c r="K232" i="72"/>
  <c r="L232" i="72" s="1"/>
  <c r="J233" i="72"/>
  <c r="K233" i="72"/>
  <c r="L233" i="72"/>
  <c r="J234" i="72"/>
  <c r="K234" i="72"/>
  <c r="L234" i="72"/>
  <c r="J235" i="72"/>
  <c r="K235" i="72" s="1"/>
  <c r="L235" i="72" s="1"/>
  <c r="J236" i="72"/>
  <c r="K236" i="72"/>
  <c r="L236" i="72" s="1"/>
  <c r="J237" i="72"/>
  <c r="K237" i="72"/>
  <c r="L237" i="72"/>
  <c r="J238" i="72"/>
  <c r="K238" i="72" s="1"/>
  <c r="L238" i="72" s="1"/>
  <c r="J239" i="72"/>
  <c r="K239" i="72" s="1"/>
  <c r="L239" i="72" s="1"/>
  <c r="J240" i="72"/>
  <c r="K240" i="72"/>
  <c r="L240" i="72" s="1"/>
  <c r="J241" i="72"/>
  <c r="K241" i="72"/>
  <c r="L241" i="72"/>
  <c r="J242" i="72"/>
  <c r="K242" i="72" s="1"/>
  <c r="L242" i="72" s="1"/>
  <c r="J243" i="72"/>
  <c r="K243" i="72" s="1"/>
  <c r="L243" i="72" s="1"/>
  <c r="J244" i="72"/>
  <c r="K244" i="72"/>
  <c r="L244" i="72" s="1"/>
  <c r="J245" i="72"/>
  <c r="K245" i="72"/>
  <c r="L245" i="72"/>
  <c r="J246" i="72"/>
  <c r="K246" i="72" s="1"/>
  <c r="L246" i="72" s="1"/>
  <c r="J247" i="72"/>
  <c r="K247" i="72" s="1"/>
  <c r="L247" i="72" s="1"/>
  <c r="J248" i="72"/>
  <c r="K248" i="72"/>
  <c r="L248" i="72" s="1"/>
  <c r="J249" i="72"/>
  <c r="K249" i="72"/>
  <c r="L249" i="72"/>
  <c r="J250" i="72"/>
  <c r="K250" i="72" s="1"/>
  <c r="L250" i="72" s="1"/>
  <c r="J251" i="72"/>
  <c r="K251" i="72" s="1"/>
  <c r="L251" i="72" s="1"/>
  <c r="J252" i="72"/>
  <c r="K252" i="72"/>
  <c r="L252" i="72" s="1"/>
  <c r="J253" i="72"/>
  <c r="K253" i="72"/>
  <c r="L253" i="72"/>
  <c r="J254" i="72"/>
  <c r="K254" i="72" s="1"/>
  <c r="L254" i="72" s="1"/>
  <c r="J255" i="72"/>
  <c r="K255" i="72" s="1"/>
  <c r="L255" i="72" s="1"/>
  <c r="J256" i="72"/>
  <c r="K256" i="72"/>
  <c r="L256" i="72" s="1"/>
  <c r="J257" i="72"/>
  <c r="K257" i="72"/>
  <c r="L257" i="72"/>
  <c r="J258" i="72"/>
  <c r="K258" i="72" s="1"/>
  <c r="L258" i="72" s="1"/>
  <c r="J259" i="72"/>
  <c r="K259" i="72" s="1"/>
  <c r="L259" i="72" s="1"/>
  <c r="J260" i="72"/>
  <c r="K260" i="72"/>
  <c r="L260" i="72" s="1"/>
  <c r="J261" i="72"/>
  <c r="K261" i="72"/>
  <c r="L261" i="72"/>
  <c r="J262" i="72"/>
  <c r="K262" i="72" s="1"/>
  <c r="L262" i="72" s="1"/>
  <c r="J263" i="72"/>
  <c r="K263" i="72" s="1"/>
  <c r="L263" i="72" s="1"/>
  <c r="J264" i="72"/>
  <c r="K264" i="72"/>
  <c r="L264" i="72" s="1"/>
  <c r="J265" i="72"/>
  <c r="K265" i="72"/>
  <c r="L265" i="72"/>
  <c r="J266" i="72"/>
  <c r="K266" i="72" s="1"/>
  <c r="L266" i="72" s="1"/>
  <c r="J267" i="72"/>
  <c r="K267" i="72" s="1"/>
  <c r="L267" i="72" s="1"/>
  <c r="J268" i="72"/>
  <c r="K268" i="72"/>
  <c r="L268" i="72" s="1"/>
  <c r="J269" i="72"/>
  <c r="K269" i="72"/>
  <c r="L269" i="72"/>
  <c r="J270" i="72"/>
  <c r="K270" i="72" s="1"/>
  <c r="L270" i="72" s="1"/>
  <c r="J271" i="72"/>
  <c r="K271" i="72" s="1"/>
  <c r="L271" i="72" s="1"/>
  <c r="J272" i="72"/>
  <c r="K272" i="72"/>
  <c r="L272" i="72" s="1"/>
  <c r="J273" i="72"/>
  <c r="K273" i="72"/>
  <c r="L273" i="72"/>
  <c r="J274" i="72"/>
  <c r="K274" i="72" s="1"/>
  <c r="L274" i="72" s="1"/>
  <c r="J275" i="72"/>
  <c r="K275" i="72" s="1"/>
  <c r="L275" i="72" s="1"/>
  <c r="J276" i="72"/>
  <c r="K276" i="72"/>
  <c r="L276" i="72" s="1"/>
  <c r="J277" i="72"/>
  <c r="K277" i="72"/>
  <c r="L277" i="72"/>
  <c r="J278" i="72"/>
  <c r="K278" i="72" s="1"/>
  <c r="L278" i="72" s="1"/>
  <c r="J279" i="72"/>
  <c r="K279" i="72" s="1"/>
  <c r="L279" i="72" s="1"/>
  <c r="J280" i="72"/>
  <c r="K280" i="72"/>
  <c r="L280" i="72" s="1"/>
  <c r="J281" i="72"/>
  <c r="K281" i="72"/>
  <c r="L281" i="72"/>
  <c r="J282" i="72"/>
  <c r="K282" i="72" s="1"/>
  <c r="L282" i="72" s="1"/>
  <c r="J283" i="72"/>
  <c r="K283" i="72" s="1"/>
  <c r="L283" i="72" s="1"/>
  <c r="J284" i="72"/>
  <c r="K284" i="72"/>
  <c r="L284" i="72" s="1"/>
  <c r="J285" i="72"/>
  <c r="K285" i="72"/>
  <c r="L285" i="72"/>
  <c r="J286" i="72"/>
  <c r="K286" i="72" s="1"/>
  <c r="L286" i="72" s="1"/>
  <c r="J287" i="72"/>
  <c r="K287" i="72" s="1"/>
  <c r="L287" i="72" s="1"/>
  <c r="J288" i="72"/>
  <c r="K288" i="72"/>
  <c r="L288" i="72" s="1"/>
  <c r="J289" i="72"/>
  <c r="K289" i="72"/>
  <c r="L289" i="72"/>
  <c r="J290" i="72"/>
  <c r="K290" i="72" s="1"/>
  <c r="L290" i="72" s="1"/>
  <c r="J291" i="72"/>
  <c r="K291" i="72" s="1"/>
  <c r="L291" i="72" s="1"/>
  <c r="J292" i="72"/>
  <c r="K292" i="72"/>
  <c r="L292" i="72" s="1"/>
  <c r="J293" i="72"/>
  <c r="K293" i="72"/>
  <c r="L293" i="72"/>
  <c r="J294" i="72"/>
  <c r="K294" i="72" s="1"/>
  <c r="L294" i="72" s="1"/>
  <c r="J295" i="72"/>
  <c r="K295" i="72" s="1"/>
  <c r="L295" i="72" s="1"/>
  <c r="J296" i="72"/>
  <c r="K296" i="72"/>
  <c r="L296" i="72" s="1"/>
  <c r="J297" i="72"/>
  <c r="K297" i="72"/>
  <c r="L297" i="72"/>
  <c r="J298" i="72"/>
  <c r="K298" i="72" s="1"/>
  <c r="L298" i="72" s="1"/>
  <c r="J299" i="72"/>
  <c r="K299" i="72" s="1"/>
  <c r="L299" i="72" s="1"/>
  <c r="J300" i="72"/>
  <c r="K300" i="72"/>
  <c r="L300" i="72" s="1"/>
  <c r="J301" i="72"/>
  <c r="K301" i="72"/>
  <c r="L301" i="72"/>
  <c r="J302" i="72"/>
  <c r="K302" i="72" s="1"/>
  <c r="L302" i="72" s="1"/>
  <c r="J303" i="72"/>
  <c r="K303" i="72" s="1"/>
  <c r="L303" i="72" s="1"/>
  <c r="J304" i="72"/>
  <c r="K304" i="72"/>
  <c r="L304" i="72" s="1"/>
  <c r="J305" i="72"/>
  <c r="K305" i="72"/>
  <c r="L305" i="72"/>
  <c r="J306" i="72"/>
  <c r="K306" i="72" s="1"/>
  <c r="L306" i="72" s="1"/>
  <c r="J307" i="72"/>
  <c r="K307" i="72" s="1"/>
  <c r="L307" i="72" s="1"/>
  <c r="J308" i="72"/>
  <c r="K308" i="72"/>
  <c r="L308" i="72" s="1"/>
  <c r="J309" i="72"/>
  <c r="K309" i="72"/>
  <c r="L309" i="72"/>
  <c r="J310" i="72"/>
  <c r="K310" i="72" s="1"/>
  <c r="L310" i="72" s="1"/>
  <c r="J311" i="72"/>
  <c r="K311" i="72" s="1"/>
  <c r="L311" i="72" s="1"/>
  <c r="J312" i="72"/>
  <c r="K312" i="72"/>
  <c r="L312" i="72" s="1"/>
  <c r="J313" i="72"/>
  <c r="K313" i="72"/>
  <c r="L313" i="72"/>
  <c r="J314" i="72"/>
  <c r="K314" i="72" s="1"/>
  <c r="L314" i="72" s="1"/>
  <c r="J315" i="72"/>
  <c r="K315" i="72" s="1"/>
  <c r="L315" i="72" s="1"/>
  <c r="J316" i="72"/>
  <c r="K316" i="72"/>
  <c r="L316" i="72" s="1"/>
  <c r="J317" i="72"/>
  <c r="K317" i="72"/>
  <c r="L317" i="72"/>
  <c r="J318" i="72"/>
  <c r="K318" i="72" s="1"/>
  <c r="L318" i="72" s="1"/>
  <c r="J319" i="72"/>
  <c r="K319" i="72" s="1"/>
  <c r="L319" i="72" s="1"/>
  <c r="J320" i="72"/>
  <c r="K320" i="72"/>
  <c r="L320" i="72" s="1"/>
  <c r="J321" i="72"/>
  <c r="K321" i="72"/>
  <c r="L321" i="72"/>
  <c r="J322" i="72"/>
  <c r="K322" i="72" s="1"/>
  <c r="L322" i="72" s="1"/>
  <c r="J323" i="72"/>
  <c r="K323" i="72" s="1"/>
  <c r="L323" i="72" s="1"/>
  <c r="J324" i="72"/>
  <c r="K324" i="72"/>
  <c r="L324" i="72" s="1"/>
  <c r="J325" i="72"/>
  <c r="K325" i="72"/>
  <c r="L325" i="72"/>
  <c r="J326" i="72"/>
  <c r="K326" i="72" s="1"/>
  <c r="L326" i="72" s="1"/>
  <c r="J327" i="72"/>
  <c r="K327" i="72" s="1"/>
  <c r="L327" i="72" s="1"/>
  <c r="J328" i="72"/>
  <c r="K328" i="72"/>
  <c r="L328" i="72" s="1"/>
  <c r="J329" i="72"/>
  <c r="K329" i="72"/>
  <c r="L329" i="72"/>
  <c r="J330" i="72"/>
  <c r="K330" i="72" s="1"/>
  <c r="L330" i="72" s="1"/>
  <c r="J331" i="72"/>
  <c r="K331" i="72" s="1"/>
  <c r="L331" i="72" s="1"/>
  <c r="J332" i="72"/>
  <c r="K332" i="72"/>
  <c r="L332" i="72" s="1"/>
  <c r="J333" i="72"/>
  <c r="K333" i="72"/>
  <c r="L333" i="72"/>
  <c r="J334" i="72"/>
  <c r="K334" i="72" s="1"/>
  <c r="L334" i="72" s="1"/>
  <c r="J335" i="72"/>
  <c r="K335" i="72" s="1"/>
  <c r="L335" i="72" s="1"/>
  <c r="J336" i="72"/>
  <c r="K336" i="72"/>
  <c r="L336" i="72" s="1"/>
  <c r="J337" i="72"/>
  <c r="K337" i="72"/>
  <c r="J338" i="72"/>
  <c r="K338" i="72" s="1"/>
  <c r="L338" i="72" s="1"/>
  <c r="J339" i="72"/>
  <c r="K339" i="72"/>
  <c r="L339" i="72" s="1"/>
  <c r="J340" i="72"/>
  <c r="K340" i="72"/>
  <c r="L340" i="72"/>
  <c r="J341" i="72"/>
  <c r="K341" i="72" s="1"/>
  <c r="L341" i="72" s="1"/>
  <c r="J342" i="72"/>
  <c r="K342" i="72" s="1"/>
  <c r="L342" i="72" s="1"/>
  <c r="J343" i="72"/>
  <c r="K343" i="72"/>
  <c r="L343" i="72" s="1"/>
  <c r="J344" i="72"/>
  <c r="K344" i="72"/>
  <c r="L344" i="72"/>
  <c r="J345" i="72"/>
  <c r="K345" i="72" s="1"/>
  <c r="L345" i="72" s="1"/>
  <c r="J346" i="72"/>
  <c r="K346" i="72" s="1"/>
  <c r="L346" i="72" s="1"/>
  <c r="J347" i="72"/>
  <c r="K347" i="72"/>
  <c r="L347" i="72" s="1"/>
  <c r="J348" i="72"/>
  <c r="K348" i="72"/>
  <c r="L348" i="72"/>
  <c r="J349" i="72"/>
  <c r="K349" i="72" s="1"/>
  <c r="L349" i="72" s="1"/>
  <c r="J350" i="72"/>
  <c r="K350" i="72" s="1"/>
  <c r="L350" i="72" s="1"/>
  <c r="J351" i="72"/>
  <c r="K351" i="72"/>
  <c r="L351" i="72" s="1"/>
  <c r="J352" i="72"/>
  <c r="K352" i="72"/>
  <c r="L352" i="72"/>
  <c r="J353" i="72"/>
  <c r="K353" i="72" s="1"/>
  <c r="L353" i="72" s="1"/>
  <c r="J354" i="72"/>
  <c r="K354" i="72" s="1"/>
  <c r="L354" i="72" s="1"/>
  <c r="J355" i="72"/>
  <c r="K355" i="72"/>
  <c r="L355" i="72" s="1"/>
  <c r="I356" i="72"/>
  <c r="I5037" i="72"/>
  <c r="J5037" i="72"/>
  <c r="K5041" i="72"/>
  <c r="M5041" i="72"/>
  <c r="K5042" i="72"/>
  <c r="K5043" i="72"/>
  <c r="M5043" i="72" s="1"/>
  <c r="K5044" i="72"/>
  <c r="M5044" i="72"/>
  <c r="K5045" i="72"/>
  <c r="M5045" i="72" s="1"/>
  <c r="K5046" i="72"/>
  <c r="M5046" i="72"/>
  <c r="K5047" i="72"/>
  <c r="M5047" i="72" s="1"/>
  <c r="K5048" i="72"/>
  <c r="M5048" i="72"/>
  <c r="K5049" i="72"/>
  <c r="M5049" i="72" s="1"/>
  <c r="K5050" i="72"/>
  <c r="M5050" i="72"/>
  <c r="H823" i="9"/>
  <c r="I823" i="9" s="1"/>
  <c r="J823" i="9" s="1"/>
  <c r="K5051" i="72"/>
  <c r="M5051" i="72"/>
  <c r="K5052" i="72"/>
  <c r="M5052" i="72"/>
  <c r="K5053" i="72"/>
  <c r="M5053" i="72"/>
  <c r="K5054" i="72"/>
  <c r="M5054" i="72"/>
  <c r="K5055" i="72"/>
  <c r="M5055" i="72"/>
  <c r="K5056" i="72"/>
  <c r="M5056" i="72"/>
  <c r="I5057" i="72"/>
  <c r="J5057" i="72"/>
  <c r="N5059" i="72"/>
  <c r="B31" i="68"/>
  <c r="G831" i="9"/>
  <c r="N26" i="68"/>
  <c r="Q26" i="68" s="1"/>
  <c r="R26" i="68" s="1"/>
  <c r="D5" i="71"/>
  <c r="E5" i="71"/>
  <c r="F5" i="71" s="1"/>
  <c r="B6" i="71" s="1"/>
  <c r="E3206" i="9"/>
  <c r="D84" i="8"/>
  <c r="I84" i="8" s="1"/>
  <c r="E3202" i="9"/>
  <c r="D80" i="8"/>
  <c r="F692" i="9"/>
  <c r="D3206" i="9"/>
  <c r="C84" i="8" s="1"/>
  <c r="D1678" i="9"/>
  <c r="D26" i="44"/>
  <c r="J606" i="9"/>
  <c r="I606" i="9"/>
  <c r="J173" i="9"/>
  <c r="J175" i="9"/>
  <c r="I9" i="44"/>
  <c r="J261" i="9"/>
  <c r="J263" i="9"/>
  <c r="J347" i="9"/>
  <c r="J349" i="9"/>
  <c r="I11" i="44" s="1"/>
  <c r="J428" i="9"/>
  <c r="J430" i="9"/>
  <c r="I12" i="44"/>
  <c r="J514" i="9"/>
  <c r="J516" i="9"/>
  <c r="I173" i="9"/>
  <c r="I175" i="9"/>
  <c r="H9" i="44" s="1"/>
  <c r="I261" i="9"/>
  <c r="I263" i="9"/>
  <c r="H10" i="44"/>
  <c r="I347" i="9"/>
  <c r="I349" i="9" s="1"/>
  <c r="I428" i="9"/>
  <c r="I430" i="9"/>
  <c r="H12" i="44"/>
  <c r="I514" i="9"/>
  <c r="I516" i="9"/>
  <c r="H173" i="9"/>
  <c r="H175" i="9"/>
  <c r="G9" i="44" s="1"/>
  <c r="H261" i="9"/>
  <c r="H263" i="9"/>
  <c r="G10" i="44"/>
  <c r="H347" i="9"/>
  <c r="H349" i="9"/>
  <c r="G11" i="44"/>
  <c r="H428" i="9"/>
  <c r="H430" i="9" s="1"/>
  <c r="H514" i="9"/>
  <c r="H516" i="9"/>
  <c r="G13" i="44"/>
  <c r="G606" i="9"/>
  <c r="G173" i="9"/>
  <c r="G175" i="9"/>
  <c r="F9" i="44"/>
  <c r="G261" i="9"/>
  <c r="G263" i="9" s="1"/>
  <c r="F10" i="44" s="1"/>
  <c r="G347" i="9"/>
  <c r="G349" i="9" s="1"/>
  <c r="G428" i="9"/>
  <c r="G430" i="9"/>
  <c r="F12" i="44"/>
  <c r="G514" i="9"/>
  <c r="G516" i="9"/>
  <c r="E173" i="9"/>
  <c r="E175" i="9"/>
  <c r="E9" i="44" s="1"/>
  <c r="E261" i="9"/>
  <c r="E263" i="9"/>
  <c r="E10" i="44"/>
  <c r="E347" i="9"/>
  <c r="E349" i="9" s="1"/>
  <c r="E11" i="44" s="1"/>
  <c r="E428" i="9"/>
  <c r="E430" i="9" s="1"/>
  <c r="E12" i="44" s="1"/>
  <c r="E514" i="9"/>
  <c r="E516" i="9"/>
  <c r="D173" i="9"/>
  <c r="D175" i="9"/>
  <c r="D9" i="44"/>
  <c r="D261" i="9"/>
  <c r="D263" i="9" s="1"/>
  <c r="D10" i="44" s="1"/>
  <c r="D347" i="9"/>
  <c r="D349" i="9"/>
  <c r="D11" i="44" s="1"/>
  <c r="D428" i="9"/>
  <c r="D430" i="9"/>
  <c r="D514" i="9"/>
  <c r="D516" i="9" s="1"/>
  <c r="D13" i="44" s="1"/>
  <c r="C2220" i="9"/>
  <c r="C33" i="44"/>
  <c r="C983" i="9"/>
  <c r="C606" i="9"/>
  <c r="C173" i="9"/>
  <c r="C175" i="9"/>
  <c r="C261" i="9"/>
  <c r="C263" i="9"/>
  <c r="C347" i="9"/>
  <c r="C349" i="9"/>
  <c r="C428" i="9"/>
  <c r="C430" i="9"/>
  <c r="C514" i="9"/>
  <c r="C516" i="9"/>
  <c r="C22" i="9"/>
  <c r="C24" i="9"/>
  <c r="N18" i="68"/>
  <c r="F17" i="41"/>
  <c r="O14" i="41" s="1"/>
  <c r="O22" i="65"/>
  <c r="O53" i="65"/>
  <c r="P22" i="65"/>
  <c r="P53" i="65" s="1"/>
  <c r="N53" i="65"/>
  <c r="F53" i="65"/>
  <c r="C35" i="65"/>
  <c r="D35" i="65"/>
  <c r="E35" i="65"/>
  <c r="F35" i="65"/>
  <c r="G35" i="65"/>
  <c r="H35" i="65"/>
  <c r="I35" i="65"/>
  <c r="J35" i="65"/>
  <c r="K35" i="65"/>
  <c r="L35" i="65"/>
  <c r="M35" i="65"/>
  <c r="B35" i="65"/>
  <c r="C21" i="67"/>
  <c r="C35" i="67"/>
  <c r="C45" i="67"/>
  <c r="D35" i="67"/>
  <c r="D21" i="67"/>
  <c r="D45" i="67"/>
  <c r="E21" i="67"/>
  <c r="E35" i="67"/>
  <c r="E45" i="67"/>
  <c r="F21" i="67"/>
  <c r="F45" i="67"/>
  <c r="G21" i="67"/>
  <c r="G45" i="67"/>
  <c r="H21" i="67"/>
  <c r="H45" i="67"/>
  <c r="B21" i="67"/>
  <c r="B45" i="67"/>
  <c r="C25" i="64"/>
  <c r="D16" i="64"/>
  <c r="D25" i="64"/>
  <c r="D27" i="64"/>
  <c r="E16" i="64"/>
  <c r="E25" i="64"/>
  <c r="E27" i="64"/>
  <c r="F16" i="64"/>
  <c r="F27" i="64" s="1"/>
  <c r="F25" i="64"/>
  <c r="G16" i="64"/>
  <c r="G25" i="64"/>
  <c r="H25" i="64" s="1"/>
  <c r="H27" i="64" s="1"/>
  <c r="H16" i="64"/>
  <c r="C16" i="64"/>
  <c r="C27" i="64"/>
  <c r="B16" i="64"/>
  <c r="B25" i="64"/>
  <c r="B27" i="64"/>
  <c r="C62" i="63"/>
  <c r="D62" i="63"/>
  <c r="E62" i="63"/>
  <c r="F62" i="63"/>
  <c r="G62" i="63"/>
  <c r="H62" i="63"/>
  <c r="B62" i="63"/>
  <c r="C53" i="63"/>
  <c r="D53" i="63"/>
  <c r="E53" i="63"/>
  <c r="F53" i="63"/>
  <c r="G53" i="63"/>
  <c r="H53" i="63"/>
  <c r="B53" i="63"/>
  <c r="C45" i="63"/>
  <c r="D45" i="63"/>
  <c r="E45" i="63"/>
  <c r="F45" i="63"/>
  <c r="G45" i="63"/>
  <c r="H45" i="63"/>
  <c r="B45" i="63"/>
  <c r="B8" i="62"/>
  <c r="B30" i="62" s="1"/>
  <c r="C8" i="62"/>
  <c r="C30" i="62"/>
  <c r="D8" i="62"/>
  <c r="F28" i="62"/>
  <c r="F26" i="62"/>
  <c r="F24" i="62"/>
  <c r="F20" i="62"/>
  <c r="F18" i="62"/>
  <c r="B15" i="62"/>
  <c r="F15" i="62"/>
  <c r="C3" i="68"/>
  <c r="D3" i="68" s="1"/>
  <c r="E3" i="68" s="1"/>
  <c r="F3" i="68"/>
  <c r="G3" i="68" s="1"/>
  <c r="H3" i="68" s="1"/>
  <c r="I3" i="68" s="1"/>
  <c r="J3" i="68" s="1"/>
  <c r="K3" i="68" s="1"/>
  <c r="L3" i="68" s="1"/>
  <c r="M3" i="68" s="1"/>
  <c r="N4" i="68"/>
  <c r="P4" i="68" s="1"/>
  <c r="Q4" i="68" s="1"/>
  <c r="N5" i="68"/>
  <c r="Q5" i="68"/>
  <c r="N6" i="68"/>
  <c r="O6" i="68" s="1"/>
  <c r="P6" i="68" s="1"/>
  <c r="Q6" i="68"/>
  <c r="N7" i="68"/>
  <c r="N8" i="68"/>
  <c r="P8" i="68"/>
  <c r="N9" i="68"/>
  <c r="B10" i="68"/>
  <c r="C10" i="68"/>
  <c r="D10" i="68"/>
  <c r="E10" i="68"/>
  <c r="N10" i="68" s="1"/>
  <c r="J10" i="68"/>
  <c r="N11" i="68"/>
  <c r="N13" i="68"/>
  <c r="N14" i="68"/>
  <c r="N15" i="68"/>
  <c r="N16" i="68"/>
  <c r="O16" i="68" s="1"/>
  <c r="P16" i="68" s="1"/>
  <c r="Q16" i="68" s="1"/>
  <c r="N17" i="68"/>
  <c r="B21" i="68"/>
  <c r="B22" i="68"/>
  <c r="C21" i="68"/>
  <c r="D21" i="68"/>
  <c r="D22" i="68"/>
  <c r="E21" i="68"/>
  <c r="E22" i="68" s="1"/>
  <c r="F21" i="68"/>
  <c r="F22" i="68" s="1"/>
  <c r="G21" i="68"/>
  <c r="H21" i="68"/>
  <c r="H22" i="68"/>
  <c r="I21" i="68"/>
  <c r="J21" i="68"/>
  <c r="J22" i="68"/>
  <c r="C22" i="68"/>
  <c r="G22" i="68"/>
  <c r="I22" i="68"/>
  <c r="N24" i="68"/>
  <c r="Q24" i="68" s="1"/>
  <c r="N25" i="68"/>
  <c r="Q25" i="68"/>
  <c r="B28" i="68"/>
  <c r="N28" i="68" s="1"/>
  <c r="C29" i="68"/>
  <c r="D29" i="68"/>
  <c r="E29" i="68"/>
  <c r="F29" i="68"/>
  <c r="G29" i="68"/>
  <c r="H29" i="68"/>
  <c r="I29" i="68"/>
  <c r="J29" i="68"/>
  <c r="N30" i="68"/>
  <c r="N31" i="68" s="1"/>
  <c r="C31" i="68"/>
  <c r="D31" i="68"/>
  <c r="E31" i="68"/>
  <c r="F31" i="68"/>
  <c r="G31" i="68"/>
  <c r="H31" i="68"/>
  <c r="I31" i="68"/>
  <c r="J31" i="68"/>
  <c r="F6" i="62"/>
  <c r="B12" i="62"/>
  <c r="F12" i="62"/>
  <c r="D30" i="62"/>
  <c r="E30" i="62"/>
  <c r="B16" i="61"/>
  <c r="C16" i="61"/>
  <c r="D16" i="61"/>
  <c r="E16" i="61"/>
  <c r="F16" i="61"/>
  <c r="G16" i="61"/>
  <c r="H16" i="61"/>
  <c r="B25" i="61"/>
  <c r="C25" i="61"/>
  <c r="D25" i="61"/>
  <c r="E25" i="61"/>
  <c r="F25" i="61"/>
  <c r="G25" i="61"/>
  <c r="H25" i="61"/>
  <c r="B34" i="61"/>
  <c r="C34" i="61"/>
  <c r="D34" i="61"/>
  <c r="E34" i="61"/>
  <c r="F34" i="61"/>
  <c r="G34" i="61"/>
  <c r="H34" i="61"/>
  <c r="B43" i="61"/>
  <c r="C43" i="61"/>
  <c r="D43" i="61"/>
  <c r="E43" i="61"/>
  <c r="F43" i="61"/>
  <c r="G43" i="61"/>
  <c r="H43" i="61"/>
  <c r="B14" i="60"/>
  <c r="C14" i="60"/>
  <c r="D14" i="60"/>
  <c r="E14" i="60"/>
  <c r="F14" i="60"/>
  <c r="G14" i="60"/>
  <c r="H14" i="60"/>
  <c r="E13" i="47"/>
  <c r="E19" i="47" s="1"/>
  <c r="M383" i="9"/>
  <c r="E384" i="9"/>
  <c r="E465" i="9"/>
  <c r="E551" i="9"/>
  <c r="D21" i="41"/>
  <c r="M26" i="41"/>
  <c r="E679" i="9"/>
  <c r="D29" i="41" s="1"/>
  <c r="E1150" i="9"/>
  <c r="E2169" i="9"/>
  <c r="E2501" i="9"/>
  <c r="E2504" i="9"/>
  <c r="E2638" i="9"/>
  <c r="F2839" i="9"/>
  <c r="G3158" i="9"/>
  <c r="E60" i="8"/>
  <c r="G3293" i="9"/>
  <c r="E35" i="63" s="1"/>
  <c r="F1931" i="9"/>
  <c r="F1877" i="9"/>
  <c r="F1377" i="9"/>
  <c r="F1139" i="9"/>
  <c r="F1157" i="9" s="1"/>
  <c r="F689" i="9"/>
  <c r="G689" i="9"/>
  <c r="F690" i="9"/>
  <c r="G690" i="9" s="1"/>
  <c r="E2913" i="9"/>
  <c r="E2914" i="9" s="1"/>
  <c r="E693" i="9"/>
  <c r="E2766" i="9"/>
  <c r="E695" i="9" s="1"/>
  <c r="E1985" i="9"/>
  <c r="E3145" i="9" s="1"/>
  <c r="E696" i="9"/>
  <c r="E2467" i="9"/>
  <c r="E699" i="9" s="1"/>
  <c r="F94" i="9"/>
  <c r="G94" i="9"/>
  <c r="F95" i="9"/>
  <c r="G95" i="9" s="1"/>
  <c r="F820" i="9"/>
  <c r="F823" i="9"/>
  <c r="G823" i="9" s="1"/>
  <c r="F596" i="9"/>
  <c r="E11" i="25"/>
  <c r="E11" i="30"/>
  <c r="N9" i="30" s="1"/>
  <c r="E844" i="9"/>
  <c r="E845" i="9"/>
  <c r="E847" i="9"/>
  <c r="E853" i="9" s="1"/>
  <c r="E16" i="45" s="1"/>
  <c r="E1154" i="9"/>
  <c r="F684" i="9"/>
  <c r="I80" i="8"/>
  <c r="I38" i="8"/>
  <c r="E28" i="49"/>
  <c r="F28" i="49" s="1"/>
  <c r="E24" i="49"/>
  <c r="F24" i="49"/>
  <c r="E23" i="49"/>
  <c r="F22" i="49"/>
  <c r="G23" i="49"/>
  <c r="G31" i="49" s="1"/>
  <c r="H23" i="49"/>
  <c r="G22" i="49"/>
  <c r="H22" i="49"/>
  <c r="H31" i="49" s="1"/>
  <c r="E22" i="49"/>
  <c r="H14" i="49"/>
  <c r="G14" i="49"/>
  <c r="F14" i="49"/>
  <c r="H10" i="49"/>
  <c r="H11" i="49"/>
  <c r="H12" i="49"/>
  <c r="H15" i="49"/>
  <c r="G10" i="49"/>
  <c r="F10" i="49"/>
  <c r="D10" i="49"/>
  <c r="C31" i="49"/>
  <c r="C11" i="49"/>
  <c r="C12" i="49"/>
  <c r="C15" i="49"/>
  <c r="D11" i="49"/>
  <c r="E605" i="9"/>
  <c r="D31" i="49"/>
  <c r="E12" i="49"/>
  <c r="E15" i="49"/>
  <c r="F11" i="49"/>
  <c r="F12" i="49"/>
  <c r="F15" i="49"/>
  <c r="F18" i="49"/>
  <c r="G11" i="49"/>
  <c r="G12" i="49"/>
  <c r="G15" i="49"/>
  <c r="C38" i="49"/>
  <c r="D38" i="49"/>
  <c r="E38" i="49"/>
  <c r="F38" i="49"/>
  <c r="G38" i="49"/>
  <c r="H38" i="49"/>
  <c r="B38" i="49"/>
  <c r="B31" i="49"/>
  <c r="B18" i="49"/>
  <c r="F19" i="47"/>
  <c r="G19" i="47"/>
  <c r="H19" i="47"/>
  <c r="D10" i="47"/>
  <c r="D19" i="47"/>
  <c r="C10" i="47"/>
  <c r="C19" i="47" s="1"/>
  <c r="B10" i="47"/>
  <c r="B19" i="47"/>
  <c r="G11" i="35"/>
  <c r="H11" i="35"/>
  <c r="H17" i="67"/>
  <c r="I23" i="46"/>
  <c r="F11" i="35"/>
  <c r="D10" i="35"/>
  <c r="D9" i="67"/>
  <c r="E22" i="46"/>
  <c r="E10" i="35"/>
  <c r="F22" i="46" s="1"/>
  <c r="E8" i="35"/>
  <c r="N29" i="35" s="1"/>
  <c r="F8" i="46"/>
  <c r="E9" i="35"/>
  <c r="F16" i="46" s="1"/>
  <c r="E17" i="35"/>
  <c r="F35" i="46"/>
  <c r="E18" i="35"/>
  <c r="F36" i="46" s="1"/>
  <c r="E20" i="35"/>
  <c r="E13" i="67" s="1"/>
  <c r="F38" i="46"/>
  <c r="F10" i="35"/>
  <c r="G10" i="35"/>
  <c r="G9" i="67"/>
  <c r="H22" i="46"/>
  <c r="H10" i="35"/>
  <c r="I22" i="46" s="1"/>
  <c r="H8" i="35"/>
  <c r="P10" i="40" s="1"/>
  <c r="I8" i="46"/>
  <c r="H9" i="35"/>
  <c r="I16" i="46" s="1"/>
  <c r="H17" i="35"/>
  <c r="P19" i="40" s="1"/>
  <c r="I35" i="46"/>
  <c r="H18" i="35"/>
  <c r="I36" i="46"/>
  <c r="H19" i="35"/>
  <c r="I37" i="46"/>
  <c r="H20" i="35"/>
  <c r="I38" i="46"/>
  <c r="C10" i="35"/>
  <c r="C8" i="35"/>
  <c r="C20" i="35"/>
  <c r="L9" i="35" s="1"/>
  <c r="C13" i="67"/>
  <c r="C17" i="35"/>
  <c r="C14" i="67"/>
  <c r="G9" i="35"/>
  <c r="G12" i="35"/>
  <c r="I14" i="40" s="1"/>
  <c r="P26" i="35"/>
  <c r="P28" i="35"/>
  <c r="G8" i="35"/>
  <c r="P29" i="35"/>
  <c r="G21" i="35"/>
  <c r="G17" i="35"/>
  <c r="G20" i="35"/>
  <c r="P9" i="35"/>
  <c r="G18" i="35"/>
  <c r="G19" i="35"/>
  <c r="P11" i="35"/>
  <c r="G16" i="35"/>
  <c r="G13" i="35"/>
  <c r="P14" i="35"/>
  <c r="G14" i="35"/>
  <c r="G15" i="35"/>
  <c r="P16" i="35"/>
  <c r="H43" i="67"/>
  <c r="H35" i="67" s="1"/>
  <c r="D9" i="35"/>
  <c r="E16" i="46"/>
  <c r="D20" i="35"/>
  <c r="E14" i="67"/>
  <c r="F20" i="35"/>
  <c r="G13" i="67"/>
  <c r="G11" i="67"/>
  <c r="G17" i="67"/>
  <c r="H38" i="46"/>
  <c r="D19" i="35"/>
  <c r="E37" i="46" s="1"/>
  <c r="F19" i="35"/>
  <c r="G37" i="46"/>
  <c r="H37" i="46"/>
  <c r="H8" i="46"/>
  <c r="D18" i="35"/>
  <c r="E36" i="46"/>
  <c r="F18" i="35"/>
  <c r="D17" i="35"/>
  <c r="D14" i="67"/>
  <c r="E35" i="46"/>
  <c r="F17" i="35"/>
  <c r="F14" i="67" s="1"/>
  <c r="G35" i="46"/>
  <c r="H14" i="67"/>
  <c r="D8" i="35"/>
  <c r="E8" i="46"/>
  <c r="F8" i="35"/>
  <c r="F11" i="67"/>
  <c r="G8" i="46"/>
  <c r="I10" i="40"/>
  <c r="C18" i="35"/>
  <c r="D36" i="46"/>
  <c r="C21" i="35"/>
  <c r="D35" i="46"/>
  <c r="B18" i="35"/>
  <c r="B10" i="67" s="1"/>
  <c r="B17" i="35"/>
  <c r="B8" i="35"/>
  <c r="B9" i="35"/>
  <c r="K27" i="35" s="1"/>
  <c r="C17" i="46"/>
  <c r="F2857" i="9"/>
  <c r="D2491" i="9"/>
  <c r="D2492" i="9"/>
  <c r="D2495" i="9"/>
  <c r="D2496" i="9"/>
  <c r="F2554" i="9"/>
  <c r="D2332" i="9"/>
  <c r="D2333" i="9" s="1"/>
  <c r="E2332" i="9"/>
  <c r="E2333" i="9"/>
  <c r="F1279" i="9"/>
  <c r="F951" i="9"/>
  <c r="D2913" i="9"/>
  <c r="D693" i="9"/>
  <c r="D2914" i="9"/>
  <c r="D2920" i="9" s="1"/>
  <c r="D1985" i="9"/>
  <c r="D696" i="9"/>
  <c r="D1986" i="9"/>
  <c r="D1988" i="9" s="1"/>
  <c r="D2307" i="9"/>
  <c r="D698" i="9"/>
  <c r="D2467" i="9"/>
  <c r="D699" i="9" s="1"/>
  <c r="E48" i="9"/>
  <c r="F224" i="9"/>
  <c r="E2907" i="9"/>
  <c r="E2908" i="9" s="1"/>
  <c r="E3137" i="9" s="1"/>
  <c r="D40" i="8" s="1"/>
  <c r="D2747" i="9"/>
  <c r="D2748" i="9"/>
  <c r="D2759" i="9" s="1"/>
  <c r="D37" i="44" s="1"/>
  <c r="E2747" i="9"/>
  <c r="E2748" i="9"/>
  <c r="E2759" i="9" s="1"/>
  <c r="E37" i="44" s="1"/>
  <c r="F2767" i="9"/>
  <c r="D2452" i="9"/>
  <c r="D2453" i="9" s="1"/>
  <c r="D2460" i="9" s="1"/>
  <c r="D35" i="44" s="1"/>
  <c r="F2468" i="9"/>
  <c r="D2301" i="9"/>
  <c r="D2302" i="9" s="1"/>
  <c r="F2308" i="9"/>
  <c r="D1831" i="9"/>
  <c r="D1832" i="9"/>
  <c r="D3121" i="9"/>
  <c r="F1206" i="9"/>
  <c r="D831" i="9"/>
  <c r="D832" i="9" s="1"/>
  <c r="D834" i="9" s="1"/>
  <c r="E831" i="9"/>
  <c r="F832" i="9"/>
  <c r="D603" i="9"/>
  <c r="C22" i="25"/>
  <c r="D613" i="9"/>
  <c r="D614" i="9"/>
  <c r="D3133" i="9" s="1"/>
  <c r="E603" i="9"/>
  <c r="E3129" i="9"/>
  <c r="F606" i="9"/>
  <c r="F616" i="9" s="1"/>
  <c r="F514" i="9"/>
  <c r="F516" i="9" s="1"/>
  <c r="F561" i="9" s="1"/>
  <c r="F428" i="9"/>
  <c r="F430" i="9"/>
  <c r="F475" i="9" s="1"/>
  <c r="F347" i="9"/>
  <c r="F349" i="9" s="1"/>
  <c r="F261" i="9"/>
  <c r="F263" i="9"/>
  <c r="F173" i="9"/>
  <c r="F175" i="9" s="1"/>
  <c r="F22" i="9"/>
  <c r="F24" i="9"/>
  <c r="P11" i="40"/>
  <c r="P12" i="40"/>
  <c r="P13" i="40"/>
  <c r="H12" i="35"/>
  <c r="P14" i="40" s="1"/>
  <c r="H13" i="35"/>
  <c r="P15" i="40"/>
  <c r="H14" i="35"/>
  <c r="H15" i="35"/>
  <c r="P17" i="40"/>
  <c r="H16" i="35"/>
  <c r="P18" i="40" s="1"/>
  <c r="P20" i="40"/>
  <c r="H21" i="35"/>
  <c r="P23" i="40" s="1"/>
  <c r="I12" i="40"/>
  <c r="I1357" i="9"/>
  <c r="I1359" i="9" s="1"/>
  <c r="I17" i="40"/>
  <c r="I21" i="40"/>
  <c r="M21" i="40"/>
  <c r="B10" i="40"/>
  <c r="H1357" i="9"/>
  <c r="H1359" i="9"/>
  <c r="F12" i="35"/>
  <c r="F13" i="35"/>
  <c r="F14" i="35"/>
  <c r="F15" i="35"/>
  <c r="O16" i="35" s="1"/>
  <c r="F16" i="35"/>
  <c r="B18" i="40"/>
  <c r="B19" i="40"/>
  <c r="F19" i="40"/>
  <c r="B21" i="40"/>
  <c r="F21" i="40"/>
  <c r="B22" i="40"/>
  <c r="F22" i="40" s="1"/>
  <c r="F21" i="35"/>
  <c r="B23" i="40"/>
  <c r="C16" i="41"/>
  <c r="L10" i="41" s="1"/>
  <c r="C23" i="41"/>
  <c r="L21" i="41"/>
  <c r="C25" i="41"/>
  <c r="L22" i="41" s="1"/>
  <c r="C20" i="41"/>
  <c r="L24" i="41"/>
  <c r="C22" i="41"/>
  <c r="L25" i="41" s="1"/>
  <c r="C21" i="41"/>
  <c r="L26" i="41"/>
  <c r="C27" i="41"/>
  <c r="L27" i="41" s="1"/>
  <c r="C12" i="41"/>
  <c r="L29" i="41"/>
  <c r="C29" i="41"/>
  <c r="L30" i="41" s="1"/>
  <c r="C17" i="41"/>
  <c r="L14" i="41"/>
  <c r="C24" i="41"/>
  <c r="L16" i="41" s="1"/>
  <c r="D16" i="41"/>
  <c r="M10" i="41"/>
  <c r="D22" i="41"/>
  <c r="M25" i="41" s="1"/>
  <c r="D12" i="41"/>
  <c r="M29" i="41"/>
  <c r="D17" i="41"/>
  <c r="M14" i="41" s="1"/>
  <c r="D24" i="41"/>
  <c r="M16" i="41"/>
  <c r="B16" i="41"/>
  <c r="K10" i="41" s="1"/>
  <c r="B23" i="41"/>
  <c r="K21" i="41"/>
  <c r="B25" i="41"/>
  <c r="K22" i="41" s="1"/>
  <c r="B20" i="41"/>
  <c r="K24" i="41"/>
  <c r="B22" i="41"/>
  <c r="K25" i="41" s="1"/>
  <c r="B21" i="41"/>
  <c r="K26" i="41"/>
  <c r="B27" i="41"/>
  <c r="K27" i="41" s="1"/>
  <c r="B12" i="41"/>
  <c r="K29" i="41"/>
  <c r="B29" i="41"/>
  <c r="K30" i="41" s="1"/>
  <c r="B17" i="41"/>
  <c r="K14" i="41"/>
  <c r="B24" i="41"/>
  <c r="K16" i="41" s="1"/>
  <c r="C25" i="38"/>
  <c r="L11" i="38"/>
  <c r="D25" i="38"/>
  <c r="M11" i="38" s="1"/>
  <c r="E25" i="38"/>
  <c r="N11" i="38"/>
  <c r="G25" i="38"/>
  <c r="P11" i="38" s="1"/>
  <c r="H25" i="38"/>
  <c r="Q11" i="38"/>
  <c r="B25" i="38"/>
  <c r="K11" i="38" s="1"/>
  <c r="C27" i="38"/>
  <c r="D27" i="38"/>
  <c r="M10" i="38"/>
  <c r="E27" i="38"/>
  <c r="F27" i="38"/>
  <c r="G27" i="38"/>
  <c r="P10" i="38"/>
  <c r="H27" i="38"/>
  <c r="B27" i="38"/>
  <c r="K10" i="38"/>
  <c r="C14" i="38"/>
  <c r="C16" i="38" s="1"/>
  <c r="L9" i="38" s="1"/>
  <c r="C15" i="38"/>
  <c r="D14" i="38"/>
  <c r="D16" i="38" s="1"/>
  <c r="M9" i="38" s="1"/>
  <c r="D15" i="38"/>
  <c r="E14" i="38"/>
  <c r="E16" i="38" s="1"/>
  <c r="N9" i="38" s="1"/>
  <c r="E15" i="38"/>
  <c r="F14" i="38"/>
  <c r="F16" i="38" s="1"/>
  <c r="O9" i="38" s="1"/>
  <c r="G14" i="38"/>
  <c r="G15" i="38"/>
  <c r="G16" i="38"/>
  <c r="P9" i="38"/>
  <c r="H14" i="38"/>
  <c r="H15" i="38"/>
  <c r="H16" i="38"/>
  <c r="Q9" i="38"/>
  <c r="B14" i="38"/>
  <c r="B15" i="38"/>
  <c r="B16" i="38"/>
  <c r="K9" i="38"/>
  <c r="C10" i="38"/>
  <c r="D10" i="38"/>
  <c r="E9" i="38"/>
  <c r="G10" i="38"/>
  <c r="H10" i="38"/>
  <c r="B9" i="38"/>
  <c r="C23" i="38"/>
  <c r="D23" i="38"/>
  <c r="E23" i="38"/>
  <c r="F23" i="38"/>
  <c r="G23" i="38"/>
  <c r="H23" i="38"/>
  <c r="C19" i="38"/>
  <c r="C20" i="38"/>
  <c r="C21" i="38"/>
  <c r="D19" i="38"/>
  <c r="D21" i="38" s="1"/>
  <c r="E19" i="38"/>
  <c r="E20" i="38"/>
  <c r="E21" i="38"/>
  <c r="F19" i="38"/>
  <c r="F21" i="38" s="1"/>
  <c r="F20" i="38"/>
  <c r="G19" i="38"/>
  <c r="G20" i="38"/>
  <c r="H19" i="38"/>
  <c r="H20" i="38"/>
  <c r="H21" i="38"/>
  <c r="D20" i="38"/>
  <c r="B19" i="38"/>
  <c r="B20" i="38"/>
  <c r="B21" i="38"/>
  <c r="B23" i="38"/>
  <c r="D21" i="35"/>
  <c r="M30" i="35"/>
  <c r="E21" i="35"/>
  <c r="N30" i="35" s="1"/>
  <c r="O30" i="35"/>
  <c r="B21" i="35"/>
  <c r="K30" i="35"/>
  <c r="M29" i="35"/>
  <c r="O29" i="35"/>
  <c r="Q29" i="35"/>
  <c r="M28" i="35"/>
  <c r="B10" i="35"/>
  <c r="K28" i="35"/>
  <c r="C9" i="35"/>
  <c r="L27" i="35"/>
  <c r="M27" i="35"/>
  <c r="Q27" i="35"/>
  <c r="C12" i="35"/>
  <c r="L26" i="35"/>
  <c r="D12" i="35"/>
  <c r="M26" i="35"/>
  <c r="M31" i="35" s="1"/>
  <c r="M13" i="35" s="1"/>
  <c r="D11" i="35"/>
  <c r="M25" i="35"/>
  <c r="E12" i="35"/>
  <c r="N26" i="35"/>
  <c r="Q26" i="35"/>
  <c r="B12" i="35"/>
  <c r="K26" i="35"/>
  <c r="C11" i="35"/>
  <c r="L25" i="35"/>
  <c r="E11" i="35"/>
  <c r="N25" i="35"/>
  <c r="Q25" i="35"/>
  <c r="B11" i="35"/>
  <c r="K25" i="35" s="1"/>
  <c r="C15" i="35"/>
  <c r="L16" i="35"/>
  <c r="D15" i="35"/>
  <c r="M16" i="35"/>
  <c r="E15" i="35"/>
  <c r="N16" i="35"/>
  <c r="B15" i="35"/>
  <c r="K16" i="35"/>
  <c r="C14" i="35"/>
  <c r="L15" i="35"/>
  <c r="D14" i="35"/>
  <c r="M15" i="35"/>
  <c r="E14" i="35"/>
  <c r="N15" i="35"/>
  <c r="B14" i="35"/>
  <c r="K15" i="35" s="1"/>
  <c r="C13" i="35"/>
  <c r="L14" i="35"/>
  <c r="D13" i="35"/>
  <c r="E13" i="35"/>
  <c r="N14" i="35"/>
  <c r="B13" i="35"/>
  <c r="K14" i="35" s="1"/>
  <c r="Q10" i="35"/>
  <c r="Q12" i="35"/>
  <c r="C16" i="35"/>
  <c r="L12" i="35"/>
  <c r="D16" i="35"/>
  <c r="M12" i="35"/>
  <c r="M8" i="35"/>
  <c r="M10" i="35"/>
  <c r="M11" i="35"/>
  <c r="E16" i="35"/>
  <c r="N12" i="35"/>
  <c r="O12" i="35"/>
  <c r="B16" i="35"/>
  <c r="K12" i="35" s="1"/>
  <c r="O11" i="35"/>
  <c r="L10" i="35"/>
  <c r="N10" i="35"/>
  <c r="B20" i="35"/>
  <c r="K9" i="35" s="1"/>
  <c r="L8" i="35"/>
  <c r="O8" i="35"/>
  <c r="H9" i="28"/>
  <c r="G9" i="28"/>
  <c r="G9" i="38"/>
  <c r="G11" i="38" s="1"/>
  <c r="F9" i="35"/>
  <c r="G16" i="46"/>
  <c r="F25" i="28"/>
  <c r="F25" i="38" s="1"/>
  <c r="O11" i="38" s="1"/>
  <c r="F15" i="38"/>
  <c r="F10" i="28"/>
  <c r="F10" i="38"/>
  <c r="F9" i="28"/>
  <c r="E19" i="27"/>
  <c r="E19" i="35"/>
  <c r="E10" i="28"/>
  <c r="E10" i="38"/>
  <c r="E11" i="38"/>
  <c r="D9" i="28"/>
  <c r="D23" i="27"/>
  <c r="D21" i="28"/>
  <c r="E11" i="28"/>
  <c r="E16" i="28"/>
  <c r="G16" i="28"/>
  <c r="H16" i="28"/>
  <c r="E21" i="28"/>
  <c r="E31" i="28"/>
  <c r="F21" i="28"/>
  <c r="G21" i="28"/>
  <c r="G31" i="28" s="1"/>
  <c r="H21" i="28"/>
  <c r="D16" i="28"/>
  <c r="C21" i="28"/>
  <c r="C16" i="28"/>
  <c r="C19" i="27"/>
  <c r="C19" i="35"/>
  <c r="C9" i="28"/>
  <c r="B10" i="28"/>
  <c r="B10" i="38" s="1"/>
  <c r="B11" i="38" s="1"/>
  <c r="B21" i="28"/>
  <c r="B16" i="28"/>
  <c r="B19" i="27"/>
  <c r="B19" i="35"/>
  <c r="B23" i="27"/>
  <c r="G23" i="27"/>
  <c r="H23" i="27"/>
  <c r="D1357" i="9"/>
  <c r="D1359" i="9"/>
  <c r="E1357" i="9"/>
  <c r="E1359" i="9" s="1"/>
  <c r="C1357" i="9"/>
  <c r="C1359" i="9"/>
  <c r="C1417" i="9"/>
  <c r="F1357" i="9"/>
  <c r="F1359" i="9"/>
  <c r="M386" i="9"/>
  <c r="D53" i="65"/>
  <c r="H53" i="65"/>
  <c r="L53" i="65"/>
  <c r="C53" i="65"/>
  <c r="G53" i="65"/>
  <c r="K53" i="65"/>
  <c r="F23" i="41"/>
  <c r="O21" i="41" s="1"/>
  <c r="G11" i="28"/>
  <c r="G21" i="38"/>
  <c r="F23" i="27"/>
  <c r="F16" i="28"/>
  <c r="D1913" i="9"/>
  <c r="D29" i="44" s="1"/>
  <c r="I168" i="74"/>
  <c r="I162" i="74"/>
  <c r="E172" i="74"/>
  <c r="E83" i="74"/>
  <c r="G83" i="74" s="1"/>
  <c r="G96" i="74" s="1"/>
  <c r="I61" i="74"/>
  <c r="E58" i="74"/>
  <c r="E71" i="74"/>
  <c r="I56" i="74"/>
  <c r="I36" i="74"/>
  <c r="M22" i="65"/>
  <c r="K22" i="65"/>
  <c r="I22" i="65"/>
  <c r="G22" i="65"/>
  <c r="E22" i="65"/>
  <c r="I42" i="74"/>
  <c r="H86" i="74"/>
  <c r="I86" i="74" s="1"/>
  <c r="H111" i="74"/>
  <c r="I111" i="74"/>
  <c r="B22" i="65"/>
  <c r="J22" i="65"/>
  <c r="F22" i="65"/>
  <c r="M385" i="9"/>
  <c r="E3312" i="9"/>
  <c r="D24" i="63" s="1"/>
  <c r="E3306" i="9"/>
  <c r="D22" i="63"/>
  <c r="H1751" i="9"/>
  <c r="I1751" i="9" s="1"/>
  <c r="F1839" i="9"/>
  <c r="G17" i="41"/>
  <c r="P14" i="41" s="1"/>
  <c r="H1831" i="9"/>
  <c r="I1831" i="9"/>
  <c r="I1832" i="9"/>
  <c r="I1839" i="9" s="1"/>
  <c r="I1837" i="9"/>
  <c r="G2767" i="9"/>
  <c r="M387" i="9"/>
  <c r="C2769" i="9"/>
  <c r="C2865" i="9" s="1"/>
  <c r="G23" i="41"/>
  <c r="P21" i="41" s="1"/>
  <c r="G29" i="41"/>
  <c r="P30" i="41"/>
  <c r="C1214" i="9"/>
  <c r="C1603" i="9"/>
  <c r="C1609" i="9" s="1"/>
  <c r="H606" i="9"/>
  <c r="H616" i="9"/>
  <c r="G14" i="44"/>
  <c r="D25" i="41"/>
  <c r="M22" i="41"/>
  <c r="H3189" i="9"/>
  <c r="F3160" i="9"/>
  <c r="D2308" i="9"/>
  <c r="F3135" i="9"/>
  <c r="G593" i="9"/>
  <c r="F845" i="9"/>
  <c r="F847" i="9"/>
  <c r="F853" i="9"/>
  <c r="F1872" i="9"/>
  <c r="F1874" i="9"/>
  <c r="H3141" i="9"/>
  <c r="F23" i="25"/>
  <c r="G10" i="63"/>
  <c r="C3152" i="9"/>
  <c r="B54" i="8"/>
  <c r="G614" i="9"/>
  <c r="C3329" i="9"/>
  <c r="H1832" i="9"/>
  <c r="J1911" i="9"/>
  <c r="J1913" i="9"/>
  <c r="H2601" i="9"/>
  <c r="I2601" i="9"/>
  <c r="F25" i="41"/>
  <c r="O22" i="41"/>
  <c r="G25" i="41"/>
  <c r="P22" i="41"/>
  <c r="C2920" i="9"/>
  <c r="G2061" i="9"/>
  <c r="G2063" i="9" s="1"/>
  <c r="F31" i="44" s="1"/>
  <c r="E3191" i="9"/>
  <c r="H1752" i="9"/>
  <c r="H1754" i="9" s="1"/>
  <c r="G27" i="44" s="1"/>
  <c r="F1955" i="9"/>
  <c r="F1963" i="9"/>
  <c r="G2468" i="9"/>
  <c r="F3191" i="9"/>
  <c r="E3133" i="9"/>
  <c r="D2604" i="9"/>
  <c r="G3300" i="9"/>
  <c r="F3137" i="9"/>
  <c r="H1837" i="9"/>
  <c r="H2597" i="9"/>
  <c r="I2597" i="9"/>
  <c r="H1059" i="9"/>
  <c r="F1434" i="9"/>
  <c r="G981" i="9"/>
  <c r="G983" i="9"/>
  <c r="F2604" i="9"/>
  <c r="F2610" i="9" s="1"/>
  <c r="E3160" i="9"/>
  <c r="D62" i="8"/>
  <c r="D3127" i="9"/>
  <c r="C28" i="8"/>
  <c r="E3141" i="9"/>
  <c r="G3304" i="9"/>
  <c r="B22" i="63"/>
  <c r="J3141" i="9"/>
  <c r="H23" i="25" s="1"/>
  <c r="C2604" i="9"/>
  <c r="C2610" i="9"/>
  <c r="C3195" i="9"/>
  <c r="D3135" i="9"/>
  <c r="C36" i="8" s="1"/>
  <c r="E2468" i="9"/>
  <c r="F1530" i="9"/>
  <c r="F1547" i="9"/>
  <c r="F1554" i="9"/>
  <c r="F1556" i="9"/>
  <c r="I1055" i="9"/>
  <c r="I1057" i="9"/>
  <c r="I1059" i="9"/>
  <c r="J1054" i="9"/>
  <c r="J1055" i="9" s="1"/>
  <c r="J1057" i="9" s="1"/>
  <c r="J1059" i="9" s="1"/>
  <c r="F1057" i="9"/>
  <c r="F1059" i="9" s="1"/>
  <c r="F3121" i="9"/>
  <c r="D19" i="25"/>
  <c r="D16" i="30"/>
  <c r="M19" i="30" s="1"/>
  <c r="D1057" i="9"/>
  <c r="D1059" i="9"/>
  <c r="B34" i="63"/>
  <c r="D25" i="63"/>
  <c r="B23" i="63"/>
  <c r="B10" i="63"/>
  <c r="F24" i="41"/>
  <c r="O16" i="41" s="1"/>
  <c r="F16" i="41"/>
  <c r="N44" i="65"/>
  <c r="D27" i="41"/>
  <c r="M27" i="41" s="1"/>
  <c r="D20" i="41"/>
  <c r="M24" i="41"/>
  <c r="E3294" i="9"/>
  <c r="F2095" i="9"/>
  <c r="F2103" i="9"/>
  <c r="F2105" i="9"/>
  <c r="E3172" i="9"/>
  <c r="D74" i="8"/>
  <c r="E3158" i="9"/>
  <c r="D60" i="8"/>
  <c r="H3191" i="9"/>
  <c r="E606" i="9"/>
  <c r="E616" i="9"/>
  <c r="E14" i="44" s="1"/>
  <c r="D13" i="25"/>
  <c r="D13" i="30"/>
  <c r="D3156" i="9"/>
  <c r="C58" i="8"/>
  <c r="B10" i="41"/>
  <c r="K28" i="41"/>
  <c r="C834" i="9"/>
  <c r="C855" i="9" s="1"/>
  <c r="C16" i="44"/>
  <c r="C23" i="44"/>
  <c r="C1434" i="9"/>
  <c r="C616" i="9"/>
  <c r="C14" i="44"/>
  <c r="F1603" i="9"/>
  <c r="C13" i="32"/>
  <c r="L17" i="32" s="1"/>
  <c r="F41" i="65"/>
  <c r="D3307" i="9"/>
  <c r="C20" i="63"/>
  <c r="E3325" i="9"/>
  <c r="D14" i="63"/>
  <c r="H13" i="25"/>
  <c r="H13" i="30"/>
  <c r="Q24" i="30" s="1"/>
  <c r="C14" i="63"/>
  <c r="E3322" i="9"/>
  <c r="H23" i="41"/>
  <c r="Q21" i="41" s="1"/>
  <c r="D41" i="65"/>
  <c r="D782" i="9"/>
  <c r="D3303" i="9"/>
  <c r="C22" i="63" s="1"/>
  <c r="C26" i="63" s="1"/>
  <c r="D3300" i="9"/>
  <c r="C19" i="63"/>
  <c r="D3308" i="9"/>
  <c r="C21" i="63"/>
  <c r="C23" i="63"/>
  <c r="G14" i="63"/>
  <c r="D3292" i="9"/>
  <c r="F21" i="63"/>
  <c r="D3289" i="9"/>
  <c r="C33" i="63" s="1"/>
  <c r="C18" i="44"/>
  <c r="J610" i="9"/>
  <c r="J614" i="9" s="1"/>
  <c r="I614" i="9"/>
  <c r="H3123" i="9"/>
  <c r="F24" i="8"/>
  <c r="E16" i="41"/>
  <c r="N10" i="41" s="1"/>
  <c r="E10" i="63"/>
  <c r="H978" i="9"/>
  <c r="F1913" i="9"/>
  <c r="F1965" i="9" s="1"/>
  <c r="F3127" i="9"/>
  <c r="F21" i="41"/>
  <c r="O26" i="41"/>
  <c r="G3292" i="9"/>
  <c r="G3284" i="9"/>
  <c r="F3141" i="9"/>
  <c r="E3170" i="9"/>
  <c r="D72" i="8" s="1"/>
  <c r="E3282" i="9"/>
  <c r="I3141" i="9"/>
  <c r="G23" i="25"/>
  <c r="E1057" i="9"/>
  <c r="E3121" i="9"/>
  <c r="D22" i="8"/>
  <c r="C17" i="25"/>
  <c r="C18" i="30"/>
  <c r="L22" i="30" s="1"/>
  <c r="E3283" i="9"/>
  <c r="E3302" i="9"/>
  <c r="B29" i="63"/>
  <c r="B37" i="63" s="1"/>
  <c r="B31" i="63"/>
  <c r="B19" i="63"/>
  <c r="B25" i="63"/>
  <c r="B21" i="63"/>
  <c r="C13" i="63"/>
  <c r="B14" i="63"/>
  <c r="B35" i="63"/>
  <c r="C15" i="63"/>
  <c r="F21" i="25"/>
  <c r="D3172" i="9"/>
  <c r="C74" i="8"/>
  <c r="D3170" i="9"/>
  <c r="C72" i="8" s="1"/>
  <c r="E25" i="41"/>
  <c r="N22" i="41" s="1"/>
  <c r="G3311" i="9"/>
  <c r="G596" i="9"/>
  <c r="G616" i="9"/>
  <c r="F14" i="44" s="1"/>
  <c r="G8" i="44"/>
  <c r="F557" i="9"/>
  <c r="F559" i="9"/>
  <c r="F3053" i="9"/>
  <c r="F3059" i="9"/>
  <c r="F2910" i="9"/>
  <c r="C11" i="32"/>
  <c r="L14" i="32" s="1"/>
  <c r="C3137" i="9"/>
  <c r="B24" i="25" s="1"/>
  <c r="B40" i="8"/>
  <c r="E15" i="63"/>
  <c r="I1913" i="9"/>
  <c r="H29" i="44"/>
  <c r="I3127" i="9"/>
  <c r="G28" i="8" s="1"/>
  <c r="H1214" i="9"/>
  <c r="G21" i="44"/>
  <c r="J3170" i="9"/>
  <c r="C3121" i="9"/>
  <c r="B22" i="8"/>
  <c r="C3162" i="9"/>
  <c r="B64" i="8" s="1"/>
  <c r="G3327" i="9"/>
  <c r="F390" i="9"/>
  <c r="F397" i="9"/>
  <c r="F1772" i="9"/>
  <c r="F1778" i="9"/>
  <c r="F1780" i="9"/>
  <c r="F2310" i="9"/>
  <c r="D1603" i="9"/>
  <c r="D1609" i="9"/>
  <c r="D25" i="44"/>
  <c r="C3191" i="9"/>
  <c r="E17" i="41"/>
  <c r="N14" i="41"/>
  <c r="E19" i="25"/>
  <c r="E16" i="30" s="1"/>
  <c r="N19" i="30" s="1"/>
  <c r="B13" i="63"/>
  <c r="B16" i="63" s="1"/>
  <c r="C3327" i="9"/>
  <c r="C3330" i="9"/>
  <c r="H21" i="25"/>
  <c r="G3301" i="9"/>
  <c r="E25" i="63" s="1"/>
  <c r="G3286" i="9"/>
  <c r="G3289" i="9"/>
  <c r="G3294" i="9"/>
  <c r="F2759" i="9"/>
  <c r="F2769" i="9"/>
  <c r="G1434" i="9"/>
  <c r="G1206" i="9"/>
  <c r="G828" i="9"/>
  <c r="G3117" i="9"/>
  <c r="E10" i="25"/>
  <c r="E10" i="30" s="1"/>
  <c r="E2310" i="9"/>
  <c r="D14" i="25"/>
  <c r="D14" i="30"/>
  <c r="M23" i="30" s="1"/>
  <c r="G21" i="25"/>
  <c r="F22" i="41"/>
  <c r="E22" i="41"/>
  <c r="N25" i="41" s="1"/>
  <c r="B19" i="25"/>
  <c r="B16" i="30"/>
  <c r="K19" i="30"/>
  <c r="F773" i="9"/>
  <c r="F780" i="9"/>
  <c r="F782" i="9" s="1"/>
  <c r="E3291" i="9"/>
  <c r="G3291" i="9"/>
  <c r="G3307" i="9"/>
  <c r="E20" i="63" s="1"/>
  <c r="G3305" i="9"/>
  <c r="G3310" i="9"/>
  <c r="G3309" i="9"/>
  <c r="E23" i="63" s="1"/>
  <c r="G3312" i="9"/>
  <c r="D3158" i="9"/>
  <c r="C15" i="41" s="1"/>
  <c r="L15" i="41" s="1"/>
  <c r="C60" i="8"/>
  <c r="C29" i="63"/>
  <c r="B32" i="63"/>
  <c r="I2756" i="9"/>
  <c r="I2757" i="9"/>
  <c r="J3191" i="9"/>
  <c r="C3168" i="9"/>
  <c r="B70" i="8" s="1"/>
  <c r="I3191" i="9"/>
  <c r="C1839" i="9"/>
  <c r="C28" i="44"/>
  <c r="C3127" i="9"/>
  <c r="B28" i="8"/>
  <c r="K10" i="30"/>
  <c r="C3158" i="9"/>
  <c r="B17" i="25"/>
  <c r="B18" i="30"/>
  <c r="K22" i="30"/>
  <c r="E13" i="25"/>
  <c r="E13" i="30"/>
  <c r="G3119" i="9"/>
  <c r="E20" i="8"/>
  <c r="B22" i="25"/>
  <c r="I1214" i="9"/>
  <c r="H21" i="44"/>
  <c r="E23" i="41"/>
  <c r="N21" i="41" s="1"/>
  <c r="E24" i="41"/>
  <c r="N16" i="41"/>
  <c r="E27" i="41"/>
  <c r="N27" i="41" s="1"/>
  <c r="G3043" i="9"/>
  <c r="G3282" i="9"/>
  <c r="G3283" i="9"/>
  <c r="F1459" i="9"/>
  <c r="F1461" i="9"/>
  <c r="F1463" i="9"/>
  <c r="F471" i="9"/>
  <c r="F473" i="9" s="1"/>
  <c r="F304" i="9"/>
  <c r="F306" i="9"/>
  <c r="F218" i="9"/>
  <c r="F226" i="9"/>
  <c r="E2604" i="9"/>
  <c r="E2610" i="9"/>
  <c r="E36" i="44" s="1"/>
  <c r="D3160" i="9"/>
  <c r="C62" i="8"/>
  <c r="D3137" i="9"/>
  <c r="C40" i="8" s="1"/>
  <c r="C3172" i="9"/>
  <c r="B74" i="8"/>
  <c r="C3355" i="9"/>
  <c r="E13" i="63"/>
  <c r="F3170" i="9"/>
  <c r="F3168" i="9"/>
  <c r="F2250" i="9"/>
  <c r="F2258" i="9"/>
  <c r="F2260" i="9"/>
  <c r="F998" i="9"/>
  <c r="F1000" i="9"/>
  <c r="F1002" i="9"/>
  <c r="F3133" i="9"/>
  <c r="F3119" i="9"/>
  <c r="D20" i="32"/>
  <c r="M8" i="32"/>
  <c r="E3286" i="9"/>
  <c r="E3284" i="9"/>
  <c r="E1603" i="9"/>
  <c r="E1609" i="9"/>
  <c r="D1214" i="9"/>
  <c r="D21" i="44" s="1"/>
  <c r="E3290" i="9"/>
  <c r="E29" i="41"/>
  <c r="N30" i="41"/>
  <c r="E3287" i="9"/>
  <c r="F29" i="41"/>
  <c r="O30" i="41"/>
  <c r="E3310" i="9"/>
  <c r="D23" i="63" s="1"/>
  <c r="E3309" i="9"/>
  <c r="G3302" i="9"/>
  <c r="G3313" i="9" s="1"/>
  <c r="G3308" i="9"/>
  <c r="G3306" i="9"/>
  <c r="G3303" i="9"/>
  <c r="E22" i="63"/>
  <c r="C3297" i="9"/>
  <c r="H2753" i="9"/>
  <c r="G1837" i="9"/>
  <c r="G1839" i="9" s="1"/>
  <c r="C3133" i="9"/>
  <c r="B34" i="8"/>
  <c r="B15" i="25"/>
  <c r="B15" i="30" s="1"/>
  <c r="K25" i="30" s="1"/>
  <c r="C3119" i="9"/>
  <c r="B20" i="8"/>
  <c r="B42" i="8" s="1"/>
  <c r="C3170" i="9"/>
  <c r="B72" i="8"/>
  <c r="C3160" i="9"/>
  <c r="B62" i="8" s="1"/>
  <c r="K41" i="65"/>
  <c r="J41" i="65"/>
  <c r="I41" i="65"/>
  <c r="C41" i="65"/>
  <c r="M41" i="65"/>
  <c r="L41" i="65"/>
  <c r="C23" i="27"/>
  <c r="E23" i="27"/>
  <c r="Q10" i="38"/>
  <c r="O10" i="38"/>
  <c r="B17" i="40"/>
  <c r="B15" i="40"/>
  <c r="O14" i="35"/>
  <c r="F10" i="40"/>
  <c r="K10" i="35"/>
  <c r="I19" i="40"/>
  <c r="Q11" i="35"/>
  <c r="H13" i="67"/>
  <c r="P22" i="40"/>
  <c r="N27" i="35"/>
  <c r="N31" i="35" s="1"/>
  <c r="N13" i="35" s="1"/>
  <c r="F9" i="67"/>
  <c r="O28" i="35"/>
  <c r="F17" i="67"/>
  <c r="B13" i="40"/>
  <c r="O25" i="35"/>
  <c r="F97" i="9"/>
  <c r="F52" i="9"/>
  <c r="F2496" i="9"/>
  <c r="F3158" i="9"/>
  <c r="O18" i="68"/>
  <c r="P18" i="68" s="1"/>
  <c r="Q18" i="68" s="1"/>
  <c r="M5042" i="72"/>
  <c r="G29" i="44"/>
  <c r="I1674" i="9"/>
  <c r="J1674" i="9"/>
  <c r="C9" i="30"/>
  <c r="D15" i="41"/>
  <c r="M15" i="41" s="1"/>
  <c r="E21" i="44"/>
  <c r="H108" i="74"/>
  <c r="I108" i="74" s="1"/>
  <c r="C9" i="38"/>
  <c r="C11" i="38"/>
  <c r="C11" i="28"/>
  <c r="N10" i="38"/>
  <c r="L10" i="38"/>
  <c r="B16" i="40"/>
  <c r="O15" i="35"/>
  <c r="I15" i="40"/>
  <c r="D3145" i="9"/>
  <c r="D8" i="46"/>
  <c r="L29" i="35"/>
  <c r="H9" i="67"/>
  <c r="Q28" i="35"/>
  <c r="G820" i="9"/>
  <c r="E12" i="8"/>
  <c r="F635" i="9"/>
  <c r="F933" i="9"/>
  <c r="F940" i="9"/>
  <c r="F953" i="9"/>
  <c r="F955" i="9" s="1"/>
  <c r="F3285" i="9"/>
  <c r="M30" i="41"/>
  <c r="G18" i="74"/>
  <c r="G22" i="74" s="1"/>
  <c r="H5" i="74"/>
  <c r="I5" i="74"/>
  <c r="G20" i="74"/>
  <c r="H20" i="74"/>
  <c r="I20" i="74" s="1"/>
  <c r="F39" i="44"/>
  <c r="F27" i="44"/>
  <c r="G1059" i="9"/>
  <c r="F19" i="44"/>
  <c r="E27" i="44"/>
  <c r="D33" i="44"/>
  <c r="D19" i="44"/>
  <c r="P10" i="68"/>
  <c r="Q10" i="68" s="1"/>
  <c r="G3168" i="9"/>
  <c r="E11" i="41" s="1"/>
  <c r="N23" i="41" s="1"/>
  <c r="E70" i="8"/>
  <c r="D3191" i="9"/>
  <c r="C1965" i="9"/>
  <c r="F2329" i="9"/>
  <c r="H2602" i="9"/>
  <c r="H981" i="9"/>
  <c r="H983" i="9" s="1"/>
  <c r="G41" i="65"/>
  <c r="B41" i="65"/>
  <c r="E41" i="65"/>
  <c r="O29" i="41"/>
  <c r="F3281" i="9"/>
  <c r="H24" i="35"/>
  <c r="Q9" i="35"/>
  <c r="B12" i="40"/>
  <c r="P21" i="40"/>
  <c r="T21" i="40" s="1"/>
  <c r="T25" i="40" s="1"/>
  <c r="C36" i="46"/>
  <c r="D38" i="46"/>
  <c r="H11" i="67"/>
  <c r="E38" i="46"/>
  <c r="G22" i="46"/>
  <c r="G23" i="46"/>
  <c r="N21" i="68"/>
  <c r="N22" i="68"/>
  <c r="O35" i="65"/>
  <c r="G46" i="74"/>
  <c r="G3170" i="9"/>
  <c r="E72" i="8" s="1"/>
  <c r="H3158" i="9"/>
  <c r="F60" i="8"/>
  <c r="E3127" i="9"/>
  <c r="D28" i="8"/>
  <c r="G2218" i="9"/>
  <c r="G2220" i="9" s="1"/>
  <c r="H3127" i="9"/>
  <c r="F28" i="8"/>
  <c r="B11" i="32"/>
  <c r="K14" i="32"/>
  <c r="J1211" i="9"/>
  <c r="J1212" i="9"/>
  <c r="J1214" i="9"/>
  <c r="I21" i="44"/>
  <c r="J2141" i="9"/>
  <c r="J2142" i="9"/>
  <c r="J2144" i="9"/>
  <c r="I32" i="44"/>
  <c r="D23" i="44"/>
  <c r="D1434" i="9"/>
  <c r="C2195" i="9"/>
  <c r="D15" i="49"/>
  <c r="E21" i="25"/>
  <c r="F19" i="25"/>
  <c r="F16" i="30"/>
  <c r="O19" i="30"/>
  <c r="E1434" i="9"/>
  <c r="E33" i="74"/>
  <c r="E46" i="74" s="1"/>
  <c r="H46" i="74" s="1"/>
  <c r="I46" i="74" s="1"/>
  <c r="H132" i="74"/>
  <c r="I132" i="74"/>
  <c r="N35" i="65"/>
  <c r="K5037" i="72"/>
  <c r="E22" i="9"/>
  <c r="E24" i="9"/>
  <c r="E8" i="44" s="1"/>
  <c r="F72" i="8"/>
  <c r="I2753" i="9"/>
  <c r="J2751" i="9"/>
  <c r="J2753" i="9"/>
  <c r="I3170" i="9"/>
  <c r="G72" i="8" s="1"/>
  <c r="J3158" i="9"/>
  <c r="H60" i="8"/>
  <c r="I3158" i="9"/>
  <c r="G60" i="8" s="1"/>
  <c r="J1835" i="9"/>
  <c r="J1837" i="9"/>
  <c r="B9" i="41"/>
  <c r="K9" i="41" s="1"/>
  <c r="H2598" i="9"/>
  <c r="H2604" i="9" s="1"/>
  <c r="H2610" i="9" s="1"/>
  <c r="H1839" i="9"/>
  <c r="G28" i="44"/>
  <c r="P13" i="65"/>
  <c r="D1463" i="9"/>
  <c r="G1214" i="9"/>
  <c r="F21" i="44"/>
  <c r="D3061" i="9"/>
  <c r="C20" i="25"/>
  <c r="C20" i="30"/>
  <c r="L20" i="30" s="1"/>
  <c r="O10" i="41"/>
  <c r="G16" i="41"/>
  <c r="P10" i="41" s="1"/>
  <c r="H3160" i="9"/>
  <c r="F62" i="8" s="1"/>
  <c r="C34" i="63"/>
  <c r="C3139" i="9"/>
  <c r="C3143" i="9" s="1"/>
  <c r="C3147" i="9" s="1"/>
  <c r="D29" i="63"/>
  <c r="G3123" i="9"/>
  <c r="E24" i="8"/>
  <c r="D13" i="41"/>
  <c r="M13" i="41" s="1"/>
  <c r="E34" i="63"/>
  <c r="G21" i="41"/>
  <c r="I978" i="9"/>
  <c r="J978" i="9" s="1"/>
  <c r="J981" i="9" s="1"/>
  <c r="B21" i="30"/>
  <c r="C13" i="41"/>
  <c r="L13" i="41"/>
  <c r="D13" i="63"/>
  <c r="B16" i="25"/>
  <c r="B17" i="30" s="1"/>
  <c r="B15" i="41"/>
  <c r="K15" i="41" s="1"/>
  <c r="B11" i="41"/>
  <c r="K23" i="41" s="1"/>
  <c r="K31" i="41" s="1"/>
  <c r="K11" i="41" s="1"/>
  <c r="E24" i="63"/>
  <c r="B13" i="41"/>
  <c r="K13" i="41"/>
  <c r="B14" i="41"/>
  <c r="K12" i="41" s="1"/>
  <c r="E21" i="63"/>
  <c r="D30" i="63"/>
  <c r="G13" i="41"/>
  <c r="H33" i="74"/>
  <c r="I33" i="74"/>
  <c r="G3154" i="9"/>
  <c r="E56" i="8" s="1"/>
  <c r="E23" i="25"/>
  <c r="E17" i="25"/>
  <c r="E18" i="30"/>
  <c r="N22" i="30" s="1"/>
  <c r="F686" i="9"/>
  <c r="L10" i="30"/>
  <c r="T22" i="40"/>
  <c r="D37" i="46"/>
  <c r="D20" i="25"/>
  <c r="D20" i="30"/>
  <c r="M20" i="30" s="1"/>
  <c r="F15" i="41"/>
  <c r="N43" i="65" s="1"/>
  <c r="I60" i="8"/>
  <c r="E13" i="41"/>
  <c r="N13" i="41"/>
  <c r="F12" i="40"/>
  <c r="K8" i="38"/>
  <c r="K12" i="38" s="1"/>
  <c r="B29" i="38"/>
  <c r="C31" i="28"/>
  <c r="N11" i="35"/>
  <c r="H8" i="67"/>
  <c r="H52" i="67"/>
  <c r="P26" i="41"/>
  <c r="I28" i="8"/>
  <c r="H22" i="41"/>
  <c r="Q25" i="41"/>
  <c r="H14" i="63"/>
  <c r="H10" i="63"/>
  <c r="C18" i="49"/>
  <c r="C41" i="49"/>
  <c r="E3289" i="9"/>
  <c r="D33" i="63"/>
  <c r="E3292" i="9"/>
  <c r="D34" i="63" s="1"/>
  <c r="E18" i="49"/>
  <c r="D3293" i="9"/>
  <c r="C35" i="63"/>
  <c r="D3285" i="9"/>
  <c r="C31" i="63"/>
  <c r="D3323" i="9"/>
  <c r="C10" i="63"/>
  <c r="G35" i="63"/>
  <c r="H3327" i="9"/>
  <c r="F13" i="63"/>
  <c r="F16" i="63"/>
  <c r="C18" i="32"/>
  <c r="L27" i="32"/>
  <c r="D1166" i="9"/>
  <c r="C2388" i="9"/>
  <c r="B16" i="32"/>
  <c r="K25" i="32"/>
  <c r="B13" i="32"/>
  <c r="K17" i="32"/>
  <c r="C1885" i="9"/>
  <c r="B18" i="32"/>
  <c r="K27" i="32" s="1"/>
  <c r="J1751" i="9"/>
  <c r="J1752" i="9" s="1"/>
  <c r="J1754" i="9" s="1"/>
  <c r="I27" i="44" s="1"/>
  <c r="I1752" i="9"/>
  <c r="I1754" i="9" s="1"/>
  <c r="B11" i="40"/>
  <c r="F24" i="35"/>
  <c r="O27" i="35"/>
  <c r="F43" i="67"/>
  <c r="F35" i="67" s="1"/>
  <c r="F3123" i="9"/>
  <c r="C8" i="44"/>
  <c r="D306" i="9"/>
  <c r="G832" i="9"/>
  <c r="G3135" i="9"/>
  <c r="F2170" i="9"/>
  <c r="F2804" i="9"/>
  <c r="F5" i="69"/>
  <c r="G157" i="74"/>
  <c r="F157" i="74" s="1"/>
  <c r="H22" i="65"/>
  <c r="F33" i="63"/>
  <c r="E3288" i="9"/>
  <c r="D31" i="63" s="1"/>
  <c r="D3327" i="9"/>
  <c r="D3330" i="9" s="1"/>
  <c r="C16" i="63"/>
  <c r="G33" i="63"/>
  <c r="E3300" i="9"/>
  <c r="E3313" i="9" s="1"/>
  <c r="F11" i="40"/>
  <c r="F3156" i="9"/>
  <c r="F3355" i="9" s="1"/>
  <c r="G21" i="63"/>
  <c r="G24" i="63"/>
  <c r="H24" i="63"/>
  <c r="H34" i="63"/>
  <c r="H2767" i="9"/>
  <c r="O10" i="35"/>
  <c r="J3164" i="9"/>
  <c r="P54" i="65" s="1"/>
  <c r="P57" i="65" s="1"/>
  <c r="C24" i="25"/>
  <c r="C21" i="30" s="1"/>
  <c r="B20" i="25"/>
  <c r="B20" i="30" s="1"/>
  <c r="K20" i="30" s="1"/>
  <c r="B28" i="41"/>
  <c r="B31" i="41" s="1"/>
  <c r="C955" i="9"/>
  <c r="B19" i="32"/>
  <c r="K9" i="32"/>
  <c r="C3356" i="9"/>
  <c r="C3316" i="9"/>
  <c r="C1166" i="9"/>
  <c r="D2468" i="9"/>
  <c r="D12" i="49"/>
  <c r="D18" i="49"/>
  <c r="D41" i="49" s="1"/>
  <c r="E3131" i="9"/>
  <c r="D32" i="8" s="1"/>
  <c r="G819" i="9"/>
  <c r="E10" i="8" s="1"/>
  <c r="G3287" i="9"/>
  <c r="F1626" i="9"/>
  <c r="F1643" i="9"/>
  <c r="F1651" i="9" s="1"/>
  <c r="F1606" i="9" s="1"/>
  <c r="F3287" i="9"/>
  <c r="C10" i="44"/>
  <c r="C306" i="9"/>
  <c r="E18" i="44"/>
  <c r="E1002" i="9"/>
  <c r="E19" i="63"/>
  <c r="E26" i="63" s="1"/>
  <c r="E2470" i="9"/>
  <c r="G18" i="49"/>
  <c r="G41" i="49"/>
  <c r="F3290" i="9"/>
  <c r="H16" i="41"/>
  <c r="P44" i="65" s="1"/>
  <c r="F13" i="41"/>
  <c r="O13" i="41" s="1"/>
  <c r="E19" i="44"/>
  <c r="E1059" i="9"/>
  <c r="D3355" i="9"/>
  <c r="D3356" i="9"/>
  <c r="D3377" i="9" s="1"/>
  <c r="D16" i="44"/>
  <c r="D855" i="9"/>
  <c r="C2105" i="9"/>
  <c r="F18" i="44"/>
  <c r="J2597" i="9"/>
  <c r="J2598" i="9"/>
  <c r="I2598" i="9"/>
  <c r="C2986" i="9"/>
  <c r="D1839" i="9"/>
  <c r="D1885" i="9"/>
  <c r="E3195" i="9"/>
  <c r="F1255" i="9"/>
  <c r="F1257" i="9" s="1"/>
  <c r="F1281" i="9" s="1"/>
  <c r="F1283" i="9" s="1"/>
  <c r="F1233" i="9"/>
  <c r="F3288" i="9"/>
  <c r="F3297" i="9" s="1"/>
  <c r="F3315" i="9" s="1"/>
  <c r="F3317" i="9" s="1"/>
  <c r="F1695" i="9"/>
  <c r="F1712" i="9"/>
  <c r="F1720" i="9" s="1"/>
  <c r="F1722" i="9" s="1"/>
  <c r="F1724" i="9" s="1"/>
  <c r="G3288" i="9"/>
  <c r="E31" i="63" s="1"/>
  <c r="F2488" i="9"/>
  <c r="F2543" i="9" s="1"/>
  <c r="F2560" i="9" s="1"/>
  <c r="F2787" i="9"/>
  <c r="F2845" i="9"/>
  <c r="F2863" i="9" s="1"/>
  <c r="F2865" i="9" s="1"/>
  <c r="M384" i="9"/>
  <c r="D23" i="41"/>
  <c r="M21" i="41" s="1"/>
  <c r="C2006" i="9"/>
  <c r="C30" i="44"/>
  <c r="F23" i="44"/>
  <c r="G3131" i="9"/>
  <c r="E32" i="8"/>
  <c r="E39" i="44"/>
  <c r="E3061" i="9"/>
  <c r="D17" i="25"/>
  <c r="D18" i="30"/>
  <c r="M22" i="30" s="1"/>
  <c r="I24" i="8"/>
  <c r="D10" i="25"/>
  <c r="D10" i="30" s="1"/>
  <c r="G3285" i="9"/>
  <c r="E32" i="63" s="1"/>
  <c r="J616" i="9"/>
  <c r="I14" i="44"/>
  <c r="F2262" i="9"/>
  <c r="E16" i="63"/>
  <c r="F3061" i="9"/>
  <c r="F1164" i="9"/>
  <c r="F1166" i="9"/>
  <c r="F1402" i="9"/>
  <c r="F1409" i="9"/>
  <c r="F1415" i="9" s="1"/>
  <c r="F1417" i="9" s="1"/>
  <c r="F8" i="44"/>
  <c r="G3189" i="9"/>
  <c r="G2604" i="9"/>
  <c r="G2610" i="9" s="1"/>
  <c r="G12" i="25"/>
  <c r="O12" i="65" s="1"/>
  <c r="F33" i="44"/>
  <c r="F28" i="44"/>
  <c r="D399" i="9"/>
  <c r="F228" i="9"/>
  <c r="D2986" i="9"/>
  <c r="D2105" i="9"/>
  <c r="H15" i="41"/>
  <c r="P43" i="65"/>
  <c r="E15" i="41"/>
  <c r="N15" i="41"/>
  <c r="E25" i="44"/>
  <c r="D1002" i="9"/>
  <c r="D1653" i="9"/>
  <c r="C20" i="32"/>
  <c r="L8" i="32" s="1"/>
  <c r="N24" i="30"/>
  <c r="O25" i="41"/>
  <c r="D2006" i="9"/>
  <c r="C1002" i="9"/>
  <c r="C11" i="44"/>
  <c r="C399" i="9"/>
  <c r="C1463" i="9"/>
  <c r="G1913" i="9"/>
  <c r="F29" i="44" s="1"/>
  <c r="G3127" i="9"/>
  <c r="E28" i="8" s="1"/>
  <c r="I2217" i="9"/>
  <c r="I2218" i="9" s="1"/>
  <c r="I2220" i="9" s="1"/>
  <c r="H2218" i="9"/>
  <c r="E14" i="25"/>
  <c r="E14" i="30" s="1"/>
  <c r="G2310" i="9"/>
  <c r="I2060" i="9"/>
  <c r="J2060" i="9" s="1"/>
  <c r="J2061" i="9" s="1"/>
  <c r="J2063" i="9" s="1"/>
  <c r="H2061" i="9"/>
  <c r="C14" i="41"/>
  <c r="L12" i="41" s="1"/>
  <c r="F20" i="63"/>
  <c r="E20" i="41"/>
  <c r="N24" i="41"/>
  <c r="E30" i="63"/>
  <c r="F19" i="63"/>
  <c r="D228" i="9"/>
  <c r="E22" i="25"/>
  <c r="E22" i="30"/>
  <c r="N11" i="30" s="1"/>
  <c r="D28" i="44"/>
  <c r="D22" i="25"/>
  <c r="C3377" i="9"/>
  <c r="G20" i="63"/>
  <c r="I2061" i="9"/>
  <c r="I2063" i="9" s="1"/>
  <c r="Q15" i="41"/>
  <c r="I3160" i="9"/>
  <c r="G62" i="8" s="1"/>
  <c r="H2063" i="9"/>
  <c r="H2220" i="9"/>
  <c r="G12" i="30"/>
  <c r="P12" i="30"/>
  <c r="G33" i="44"/>
  <c r="J2767" i="9"/>
  <c r="H20" i="63"/>
  <c r="I2767" i="9"/>
  <c r="H17" i="25"/>
  <c r="I596" i="9"/>
  <c r="I616" i="9"/>
  <c r="H14" i="44" s="1"/>
  <c r="O54" i="65"/>
  <c r="O57" i="65" s="1"/>
  <c r="H3164" i="9"/>
  <c r="F66" i="8" s="1"/>
  <c r="F32" i="63"/>
  <c r="G15" i="63"/>
  <c r="H15" i="63"/>
  <c r="F30" i="63"/>
  <c r="F10" i="41"/>
  <c r="H3329" i="9"/>
  <c r="H3330" i="9"/>
  <c r="H25" i="63"/>
  <c r="F34" i="63"/>
  <c r="F31" i="63"/>
  <c r="F25" i="63"/>
  <c r="F24" i="63"/>
  <c r="F35" i="63"/>
  <c r="F22" i="63"/>
  <c r="H18" i="30"/>
  <c r="Q22" i="30" s="1"/>
  <c r="P17" i="65"/>
  <c r="I3123" i="9"/>
  <c r="N54" i="65"/>
  <c r="C54" i="65" s="1"/>
  <c r="C57" i="65" s="1"/>
  <c r="B54" i="65"/>
  <c r="M54" i="65"/>
  <c r="G22" i="63"/>
  <c r="H21" i="63"/>
  <c r="I3313" i="9"/>
  <c r="G23" i="63"/>
  <c r="H33" i="63"/>
  <c r="H22" i="63"/>
  <c r="G34" i="63"/>
  <c r="G19" i="63"/>
  <c r="G25" i="63"/>
  <c r="H3313" i="9"/>
  <c r="H19" i="63"/>
  <c r="H23" i="63"/>
  <c r="F23" i="63"/>
  <c r="J3313" i="9"/>
  <c r="G30" i="63"/>
  <c r="D561" i="9"/>
  <c r="G3061" i="9"/>
  <c r="E21" i="32"/>
  <c r="N29" i="32"/>
  <c r="D21" i="32"/>
  <c r="M29" i="32" s="1"/>
  <c r="D2195" i="9"/>
  <c r="H19" i="44"/>
  <c r="D955" i="9"/>
  <c r="B21" i="32"/>
  <c r="K29" i="32"/>
  <c r="C3061" i="9"/>
  <c r="C782" i="9"/>
  <c r="C101" i="9"/>
  <c r="D2769" i="9"/>
  <c r="C12" i="25"/>
  <c r="D3168" i="9"/>
  <c r="C70" i="8" s="1"/>
  <c r="C13" i="44"/>
  <c r="C561" i="9"/>
  <c r="G306" i="9"/>
  <c r="F25" i="40"/>
  <c r="D2262" i="9"/>
  <c r="I19" i="44"/>
  <c r="F1986" i="9"/>
  <c r="F1988" i="9"/>
  <c r="F2006" i="9" s="1"/>
  <c r="F696" i="9"/>
  <c r="I2602" i="9"/>
  <c r="J2601" i="9"/>
  <c r="J2602" i="9" s="1"/>
  <c r="J2604" i="9" s="1"/>
  <c r="J2610" i="9" s="1"/>
  <c r="I36" i="44" s="1"/>
  <c r="D1965" i="9"/>
  <c r="C25" i="44"/>
  <c r="B20" i="32"/>
  <c r="K8" i="32" s="1"/>
  <c r="D3119" i="9"/>
  <c r="C20" i="8" s="1"/>
  <c r="D2470" i="9"/>
  <c r="C13" i="25"/>
  <c r="C13" i="30"/>
  <c r="E3119" i="9"/>
  <c r="D20" i="8"/>
  <c r="D12" i="25"/>
  <c r="E3168" i="9"/>
  <c r="D70" i="8" s="1"/>
  <c r="C475" i="9"/>
  <c r="C12" i="44"/>
  <c r="D475" i="9"/>
  <c r="D12" i="44"/>
  <c r="E42" i="46"/>
  <c r="F3335" i="9"/>
  <c r="G3335" i="9"/>
  <c r="J1831" i="9"/>
  <c r="J1832" i="9"/>
  <c r="J1839" i="9" s="1"/>
  <c r="B17" i="32"/>
  <c r="K26" i="32" s="1"/>
  <c r="K30" i="32" s="1"/>
  <c r="K13" i="32" s="1"/>
  <c r="J3127" i="9"/>
  <c r="H28" i="8" s="1"/>
  <c r="F2183" i="9"/>
  <c r="F2163" i="9"/>
  <c r="F2185" i="9" s="1"/>
  <c r="F2193" i="9" s="1"/>
  <c r="F2195" i="9" s="1"/>
  <c r="E2767" i="9"/>
  <c r="E2769" i="9" s="1"/>
  <c r="F80" i="9"/>
  <c r="F3293" i="9"/>
  <c r="B29" i="68"/>
  <c r="M53" i="65"/>
  <c r="M57" i="65" s="1"/>
  <c r="I53" i="65"/>
  <c r="E53" i="65"/>
  <c r="B53" i="65"/>
  <c r="B57" i="65"/>
  <c r="J53" i="65"/>
  <c r="K8" i="35"/>
  <c r="N8" i="35"/>
  <c r="Q14" i="35"/>
  <c r="Q16" i="35"/>
  <c r="N28" i="35"/>
  <c r="L28" i="35"/>
  <c r="Q30" i="35"/>
  <c r="Q31" i="35" s="1"/>
  <c r="Q13" i="35" s="1"/>
  <c r="I22" i="40"/>
  <c r="F2361" i="9"/>
  <c r="F2363" i="9"/>
  <c r="F2384" i="9" s="1"/>
  <c r="F2386" i="9" s="1"/>
  <c r="F2388" i="9" s="1"/>
  <c r="F2541" i="9"/>
  <c r="F3358" i="9"/>
  <c r="G3358" i="9"/>
  <c r="F3336" i="9"/>
  <c r="F2654" i="9"/>
  <c r="F3372" i="9"/>
  <c r="F3376" i="9"/>
  <c r="F2628" i="9"/>
  <c r="F2656" i="9"/>
  <c r="F2679" i="9" s="1"/>
  <c r="F2685" i="9" s="1"/>
  <c r="G22" i="41"/>
  <c r="P25" i="41"/>
  <c r="G12" i="41"/>
  <c r="C47" i="73"/>
  <c r="E3363" i="9"/>
  <c r="H3374" i="9"/>
  <c r="H3375" i="9"/>
  <c r="D3358" i="9"/>
  <c r="D3379" i="9" s="1"/>
  <c r="H3364" i="9"/>
  <c r="J3335" i="9"/>
  <c r="I3335" i="9"/>
  <c r="E3335" i="9"/>
  <c r="E3354" i="9" s="1"/>
  <c r="E3365" i="9"/>
  <c r="E3371" i="9"/>
  <c r="E3336" i="9"/>
  <c r="E3364" i="9"/>
  <c r="H1601" i="9"/>
  <c r="I1599" i="9"/>
  <c r="J1599" i="9" s="1"/>
  <c r="J1601" i="9" s="1"/>
  <c r="J1603" i="9" s="1"/>
  <c r="H31" i="63"/>
  <c r="E3293" i="9"/>
  <c r="D35" i="63"/>
  <c r="I3368" i="9"/>
  <c r="I1601" i="9"/>
  <c r="I1603" i="9" s="1"/>
  <c r="H3365" i="9"/>
  <c r="I3374" i="9"/>
  <c r="J3374" i="9"/>
  <c r="G13" i="25"/>
  <c r="G3281" i="9"/>
  <c r="E29" i="63" s="1"/>
  <c r="G3372" i="9"/>
  <c r="G3376" i="9"/>
  <c r="D3195" i="9"/>
  <c r="F82" i="9"/>
  <c r="F99" i="9" s="1"/>
  <c r="F3162" i="9"/>
  <c r="F3152" i="9"/>
  <c r="F3166" i="9" s="1"/>
  <c r="H3338" i="9"/>
  <c r="J3367" i="9"/>
  <c r="I3367" i="9"/>
  <c r="H1603" i="9"/>
  <c r="F14" i="25"/>
  <c r="F13" i="25"/>
  <c r="N13" i="65"/>
  <c r="D13" i="65" s="1"/>
  <c r="P29" i="41"/>
  <c r="O41" i="65"/>
  <c r="G3336" i="9"/>
  <c r="M22" i="40"/>
  <c r="M25" i="40" s="1"/>
  <c r="G3290" i="9"/>
  <c r="E33" i="63" s="1"/>
  <c r="H20" i="25"/>
  <c r="P20" i="65" s="1"/>
  <c r="D12" i="30"/>
  <c r="M12" i="30" s="1"/>
  <c r="B10" i="32"/>
  <c r="E3376" i="9"/>
  <c r="D30" i="44"/>
  <c r="G1986" i="9"/>
  <c r="G1988" i="9"/>
  <c r="F30" i="44" s="1"/>
  <c r="C12" i="30"/>
  <c r="L12" i="30" s="1"/>
  <c r="K28" i="32"/>
  <c r="F14" i="30"/>
  <c r="O23" i="30" s="1"/>
  <c r="N14" i="65"/>
  <c r="C14" i="65" s="1"/>
  <c r="H14" i="25"/>
  <c r="P14" i="65" s="1"/>
  <c r="J3368" i="9"/>
  <c r="F13" i="30"/>
  <c r="O24" i="30" s="1"/>
  <c r="O13" i="65"/>
  <c r="G13" i="30"/>
  <c r="G14" i="25"/>
  <c r="D3329" i="9"/>
  <c r="C10" i="41"/>
  <c r="L28" i="41" s="1"/>
  <c r="G31" i="63"/>
  <c r="G14" i="30"/>
  <c r="P23" i="30"/>
  <c r="O14" i="65"/>
  <c r="P24" i="30"/>
  <c r="J14" i="65"/>
  <c r="I13" i="65"/>
  <c r="F13" i="65"/>
  <c r="K14" i="65"/>
  <c r="L14" i="65"/>
  <c r="C13" i="65"/>
  <c r="L13" i="65"/>
  <c r="F3316" i="9"/>
  <c r="L24" i="30"/>
  <c r="C11" i="41"/>
  <c r="L23" i="41" s="1"/>
  <c r="L31" i="41" s="1"/>
  <c r="L11" i="41" s="1"/>
  <c r="G24" i="8"/>
  <c r="G17" i="25"/>
  <c r="N40" i="65"/>
  <c r="O28" i="41"/>
  <c r="D19" i="63"/>
  <c r="D26" i="63"/>
  <c r="E36" i="8"/>
  <c r="M24" i="30"/>
  <c r="I29" i="44"/>
  <c r="H28" i="44"/>
  <c r="B11" i="67"/>
  <c r="C37" i="46"/>
  <c r="K11" i="35"/>
  <c r="B24" i="35"/>
  <c r="E11" i="67"/>
  <c r="E8" i="67" s="1"/>
  <c r="E52" i="67" s="1"/>
  <c r="E24" i="35"/>
  <c r="F37" i="46"/>
  <c r="F42" i="46" s="1"/>
  <c r="D30" i="8"/>
  <c r="I30" i="8"/>
  <c r="D21" i="25"/>
  <c r="D22" i="30"/>
  <c r="M11" i="30" s="1"/>
  <c r="C9" i="44"/>
  <c r="C228" i="9"/>
  <c r="E13" i="44"/>
  <c r="F11" i="44"/>
  <c r="H11" i="44"/>
  <c r="I10" i="44"/>
  <c r="H843" i="9"/>
  <c r="R28" i="68"/>
  <c r="K356" i="72"/>
  <c r="I5059" i="72"/>
  <c r="I5060" i="72" s="1"/>
  <c r="L337" i="72"/>
  <c r="H26" i="63"/>
  <c r="F26" i="63"/>
  <c r="G26" i="63"/>
  <c r="H54" i="65"/>
  <c r="H57" i="65"/>
  <c r="N57" i="65"/>
  <c r="D54" i="65"/>
  <c r="D57" i="65" s="1"/>
  <c r="F54" i="65"/>
  <c r="F57" i="65" s="1"/>
  <c r="I54" i="65"/>
  <c r="I57" i="65" s="1"/>
  <c r="G31" i="44"/>
  <c r="H66" i="8"/>
  <c r="C32" i="63"/>
  <c r="C37" i="63" s="1"/>
  <c r="D3297" i="9"/>
  <c r="P13" i="41"/>
  <c r="L8" i="38"/>
  <c r="L12" i="38"/>
  <c r="C29" i="38"/>
  <c r="C2687" i="9"/>
  <c r="C36" i="44"/>
  <c r="C1653" i="9"/>
  <c r="C11" i="67"/>
  <c r="C24" i="35"/>
  <c r="L11" i="35"/>
  <c r="N8" i="38"/>
  <c r="N12" i="38" s="1"/>
  <c r="E29" i="38"/>
  <c r="P8" i="38"/>
  <c r="P12" i="38"/>
  <c r="G29" i="38"/>
  <c r="C34" i="8"/>
  <c r="C15" i="25"/>
  <c r="C22" i="8"/>
  <c r="C16" i="25"/>
  <c r="C17" i="30"/>
  <c r="L21" i="30" s="1"/>
  <c r="F13" i="44"/>
  <c r="G12" i="44"/>
  <c r="H13" i="44"/>
  <c r="I13" i="44"/>
  <c r="D6" i="71"/>
  <c r="E6" i="71"/>
  <c r="F6" i="71" s="1"/>
  <c r="B7" i="71" s="1"/>
  <c r="I2604" i="9"/>
  <c r="I2610" i="9"/>
  <c r="M5057" i="72"/>
  <c r="H821" i="9" s="1"/>
  <c r="L356" i="72"/>
  <c r="H819" i="9" s="1"/>
  <c r="H83" i="74"/>
  <c r="I83" i="74" s="1"/>
  <c r="G82" i="74"/>
  <c r="I2898" i="9"/>
  <c r="G11" i="25"/>
  <c r="G11" i="30" s="1"/>
  <c r="J2896" i="9"/>
  <c r="J2898" i="9"/>
  <c r="H11" i="25" s="1"/>
  <c r="P11" i="65" s="1"/>
  <c r="H555" i="9"/>
  <c r="H557" i="9" s="1"/>
  <c r="H559" i="9" s="1"/>
  <c r="I550" i="9"/>
  <c r="G989" i="9"/>
  <c r="G3337" i="9"/>
  <c r="G1770" i="9"/>
  <c r="G1772" i="9"/>
  <c r="G1778" i="9" s="1"/>
  <c r="G1780" i="9" s="1"/>
  <c r="H1769" i="9"/>
  <c r="I302" i="9"/>
  <c r="I304" i="9"/>
  <c r="I306" i="9" s="1"/>
  <c r="J297" i="9"/>
  <c r="J302" i="9"/>
  <c r="J304" i="9" s="1"/>
  <c r="H778" i="9"/>
  <c r="H780" i="9" s="1"/>
  <c r="I776" i="9"/>
  <c r="I1407" i="9"/>
  <c r="J1405" i="9"/>
  <c r="J1407" i="9" s="1"/>
  <c r="I1881" i="9"/>
  <c r="J1878" i="9"/>
  <c r="J1881" i="9"/>
  <c r="D2543" i="9"/>
  <c r="D2560" i="9"/>
  <c r="F824" i="9"/>
  <c r="G97" i="9"/>
  <c r="E1986" i="9"/>
  <c r="E1988" i="9"/>
  <c r="I26" i="8"/>
  <c r="E1155" i="9"/>
  <c r="E469" i="9"/>
  <c r="E388" i="9"/>
  <c r="E390" i="9" s="1"/>
  <c r="E397" i="9" s="1"/>
  <c r="E11" i="45" s="1"/>
  <c r="C3379" i="9"/>
  <c r="G1255" i="9"/>
  <c r="G1257" i="9" s="1"/>
  <c r="G1281" i="9" s="1"/>
  <c r="G1283" i="9" s="1"/>
  <c r="C702" i="9"/>
  <c r="J1279" i="9"/>
  <c r="G1157" i="9"/>
  <c r="G1164" i="9" s="1"/>
  <c r="G933" i="9"/>
  <c r="C26" i="8"/>
  <c r="C19" i="25"/>
  <c r="C16" i="30"/>
  <c r="L19" i="30" s="1"/>
  <c r="I684" i="9"/>
  <c r="I686" i="9" s="1"/>
  <c r="J670" i="9"/>
  <c r="G30" i="45"/>
  <c r="H1985" i="9"/>
  <c r="H216" i="9"/>
  <c r="H218" i="9" s="1"/>
  <c r="H226" i="9" s="1"/>
  <c r="G9" i="45" s="1"/>
  <c r="I209" i="9"/>
  <c r="H1872" i="9"/>
  <c r="I1864" i="9"/>
  <c r="E12" i="25"/>
  <c r="G2759" i="9"/>
  <c r="J61" i="9"/>
  <c r="H57" i="9"/>
  <c r="I55" i="9"/>
  <c r="J947" i="9"/>
  <c r="I951" i="9"/>
  <c r="H2458" i="9"/>
  <c r="H2460" i="9"/>
  <c r="G35" i="44" s="1"/>
  <c r="I2456" i="9"/>
  <c r="F20" i="25"/>
  <c r="G20" i="25"/>
  <c r="D16" i="25"/>
  <c r="D17" i="30" s="1"/>
  <c r="M21" i="30" s="1"/>
  <c r="F17" i="25"/>
  <c r="F18" i="30" s="1"/>
  <c r="E96" i="74"/>
  <c r="H96" i="74" s="1"/>
  <c r="I96" i="74" s="1"/>
  <c r="D700" i="9"/>
  <c r="E700" i="9"/>
  <c r="F8" i="62"/>
  <c r="F30" i="62"/>
  <c r="E2910" i="9"/>
  <c r="B8" i="26"/>
  <c r="G82" i="9"/>
  <c r="G99" i="9"/>
  <c r="H684" i="9"/>
  <c r="H686" i="9" s="1"/>
  <c r="G940" i="9"/>
  <c r="G953" i="9" s="1"/>
  <c r="F2913" i="9"/>
  <c r="G2913" i="9" s="1"/>
  <c r="G693" i="9" s="1"/>
  <c r="D702" i="9"/>
  <c r="C14" i="26"/>
  <c r="C14" i="32" s="1"/>
  <c r="L12" i="32" s="1"/>
  <c r="H2950" i="9"/>
  <c r="I2945" i="9"/>
  <c r="I3375" i="9" s="1"/>
  <c r="E2639" i="9"/>
  <c r="H2637" i="9"/>
  <c r="H2639" i="9" s="1"/>
  <c r="H3156" i="9" s="1"/>
  <c r="H1710" i="9"/>
  <c r="H1712" i="9"/>
  <c r="I1704" i="9"/>
  <c r="I1455" i="9"/>
  <c r="I1457" i="9" s="1"/>
  <c r="H1457" i="9"/>
  <c r="H1459" i="9"/>
  <c r="H1461" i="9" s="1"/>
  <c r="I3286" i="9"/>
  <c r="J1759" i="9"/>
  <c r="J3286" i="9" s="1"/>
  <c r="I1534" i="9"/>
  <c r="J1533" i="9"/>
  <c r="J1534" i="9" s="1"/>
  <c r="H3294" i="9"/>
  <c r="H1761" i="9"/>
  <c r="I1760" i="9"/>
  <c r="H1641" i="9"/>
  <c r="I1633" i="9"/>
  <c r="I1641" i="9" s="1"/>
  <c r="H1861" i="9"/>
  <c r="H1874" i="9"/>
  <c r="I1860" i="9"/>
  <c r="H2085" i="9"/>
  <c r="I2084" i="9"/>
  <c r="J1934" i="9"/>
  <c r="J1936" i="9" s="1"/>
  <c r="I2327" i="9"/>
  <c r="H2329" i="9"/>
  <c r="J2525" i="9"/>
  <c r="I2654" i="9"/>
  <c r="J2643" i="9"/>
  <c r="J2798" i="9"/>
  <c r="J3337" i="9" s="1"/>
  <c r="E121" i="74"/>
  <c r="E134" i="74"/>
  <c r="H81" i="74"/>
  <c r="I81" i="74"/>
  <c r="H19" i="25"/>
  <c r="H16" i="30"/>
  <c r="Q19" i="30" s="1"/>
  <c r="G19" i="25"/>
  <c r="G16" i="30" s="1"/>
  <c r="P19" i="30" s="1"/>
  <c r="E2170" i="9"/>
  <c r="B21" i="25"/>
  <c r="J3040" i="9"/>
  <c r="J3293" i="9"/>
  <c r="H35" i="63" s="1"/>
  <c r="J3038" i="9"/>
  <c r="J3285" i="9" s="1"/>
  <c r="J3036" i="9"/>
  <c r="I3043" i="9"/>
  <c r="G2908" i="9"/>
  <c r="G3137" i="9" s="1"/>
  <c r="J2901" i="9"/>
  <c r="J2904" i="9" s="1"/>
  <c r="H2898" i="9"/>
  <c r="F11" i="25" s="1"/>
  <c r="F11" i="30" s="1"/>
  <c r="O9" i="30" s="1"/>
  <c r="I394" i="9"/>
  <c r="I395" i="9" s="1"/>
  <c r="H383" i="9"/>
  <c r="E555" i="9"/>
  <c r="E216" i="9"/>
  <c r="E52" i="9"/>
  <c r="J993" i="9"/>
  <c r="I920" i="9"/>
  <c r="I763" i="9"/>
  <c r="J763" i="9" s="1"/>
  <c r="J771" i="9" s="1"/>
  <c r="J773" i="9" s="1"/>
  <c r="H1244" i="9"/>
  <c r="H1146" i="9"/>
  <c r="H921" i="9"/>
  <c r="I921" i="9" s="1"/>
  <c r="E754" i="9"/>
  <c r="E773" i="9"/>
  <c r="E780" i="9" s="1"/>
  <c r="E782" i="9" s="1"/>
  <c r="E684" i="9"/>
  <c r="E635" i="9"/>
  <c r="E686" i="9"/>
  <c r="E702" i="9" s="1"/>
  <c r="I1380" i="9"/>
  <c r="I1381" i="9" s="1"/>
  <c r="H1396" i="9"/>
  <c r="C1772" i="9"/>
  <c r="C1778" i="9" s="1"/>
  <c r="C1547" i="9"/>
  <c r="C1554" i="9" s="1"/>
  <c r="H1545" i="9"/>
  <c r="H1547" i="9" s="1"/>
  <c r="G1710" i="9"/>
  <c r="G1649" i="9"/>
  <c r="E1710" i="9"/>
  <c r="E1712" i="9"/>
  <c r="E1720" i="9" s="1"/>
  <c r="E1722" i="9" s="1"/>
  <c r="E1626" i="9"/>
  <c r="E1643" i="9"/>
  <c r="E1651" i="9" s="1"/>
  <c r="D1772" i="9"/>
  <c r="D1778" i="9" s="1"/>
  <c r="D1554" i="9"/>
  <c r="E1872" i="9"/>
  <c r="E1857" i="9"/>
  <c r="E1874" i="9" s="1"/>
  <c r="E1883" i="9" s="1"/>
  <c r="J1997" i="9"/>
  <c r="J2000" i="9"/>
  <c r="I1993" i="9"/>
  <c r="E1936" i="9"/>
  <c r="C2250" i="9"/>
  <c r="C2258" i="9" s="1"/>
  <c r="C2260" i="9" s="1"/>
  <c r="H2167" i="9"/>
  <c r="G2258" i="9"/>
  <c r="G2260" i="9" s="1"/>
  <c r="G2183" i="9"/>
  <c r="C15" i="26"/>
  <c r="C15" i="32"/>
  <c r="L16" i="32" s="1"/>
  <c r="H2361" i="9"/>
  <c r="E2363" i="9"/>
  <c r="E2384" i="9"/>
  <c r="E2386" i="9" s="1"/>
  <c r="D2363" i="9"/>
  <c r="D2384" i="9" s="1"/>
  <c r="D2386" i="9" s="1"/>
  <c r="D34" i="45" s="1"/>
  <c r="G2488" i="9"/>
  <c r="G2543" i="9"/>
  <c r="G2560" i="9" s="1"/>
  <c r="F35" i="45" s="1"/>
  <c r="E17" i="26" s="1"/>
  <c r="E17" i="32" s="1"/>
  <c r="N26" i="32" s="1"/>
  <c r="G2639" i="9"/>
  <c r="G2656" i="9" s="1"/>
  <c r="G2679" i="9" s="1"/>
  <c r="G2685" i="9" s="1"/>
  <c r="F36" i="45" s="1"/>
  <c r="E18" i="26" s="1"/>
  <c r="E18" i="32" s="1"/>
  <c r="N27" i="32" s="1"/>
  <c r="G2787" i="9"/>
  <c r="I3119" i="9"/>
  <c r="G20" i="8"/>
  <c r="F56" i="74"/>
  <c r="G58" i="74"/>
  <c r="F132" i="74"/>
  <c r="L133" i="74"/>
  <c r="L134" i="74" s="1"/>
  <c r="F16" i="8"/>
  <c r="I818" i="9"/>
  <c r="H2963" i="9"/>
  <c r="I2953" i="9"/>
  <c r="J2953" i="9" s="1"/>
  <c r="J2963" i="9" s="1"/>
  <c r="H2541" i="9"/>
  <c r="I2539" i="9"/>
  <c r="J2539" i="9"/>
  <c r="H2804" i="9"/>
  <c r="I2801" i="9"/>
  <c r="I3372" i="9" s="1"/>
  <c r="I2907" i="9"/>
  <c r="H2908" i="9"/>
  <c r="H3137" i="9" s="1"/>
  <c r="F40" i="8" s="1"/>
  <c r="I40" i="8" s="1"/>
  <c r="I1649" i="9"/>
  <c r="J1646" i="9"/>
  <c r="J1649" i="9" s="1"/>
  <c r="H1630" i="9"/>
  <c r="I1629" i="9"/>
  <c r="H1552" i="9"/>
  <c r="I1551" i="9"/>
  <c r="H2093" i="9"/>
  <c r="I2088" i="9"/>
  <c r="I2504" i="9"/>
  <c r="J2503" i="9"/>
  <c r="H2488" i="9"/>
  <c r="I2486" i="9"/>
  <c r="H2790" i="9"/>
  <c r="H2791" i="9" s="1"/>
  <c r="H2845" i="9" s="1"/>
  <c r="H2863" i="9" s="1"/>
  <c r="G37" i="45" s="1"/>
  <c r="H3119" i="9"/>
  <c r="F20" i="8" s="1"/>
  <c r="I20" i="8" s="1"/>
  <c r="J2332" i="9"/>
  <c r="J2333" i="9"/>
  <c r="E14" i="8"/>
  <c r="H464" i="9"/>
  <c r="E547" i="9"/>
  <c r="E557" i="9"/>
  <c r="E559" i="9" s="1"/>
  <c r="E461" i="9"/>
  <c r="E471" i="9"/>
  <c r="E473" i="9" s="1"/>
  <c r="E12" i="45" s="1"/>
  <c r="E294" i="9"/>
  <c r="E304" i="9" s="1"/>
  <c r="E206" i="9"/>
  <c r="E77" i="9"/>
  <c r="E1233" i="9"/>
  <c r="E1257" i="9" s="1"/>
  <c r="E1281" i="9" s="1"/>
  <c r="E912" i="9"/>
  <c r="E940" i="9" s="1"/>
  <c r="E953" i="9" s="1"/>
  <c r="E955" i="9" s="1"/>
  <c r="G1400" i="9"/>
  <c r="G1402" i="9"/>
  <c r="G1409" i="9" s="1"/>
  <c r="G1415" i="9" s="1"/>
  <c r="E1377" i="9"/>
  <c r="E1402" i="9"/>
  <c r="E1409" i="9" s="1"/>
  <c r="E1415" i="9" s="1"/>
  <c r="D1415" i="9"/>
  <c r="D22" i="45" s="1"/>
  <c r="E1452" i="9"/>
  <c r="E1459" i="9" s="1"/>
  <c r="E1461" i="9" s="1"/>
  <c r="C1712" i="9"/>
  <c r="C1720" i="9"/>
  <c r="C1722" i="9" s="1"/>
  <c r="H1764" i="9"/>
  <c r="H3363" i="9" s="1"/>
  <c r="H1649" i="9"/>
  <c r="G1626" i="9"/>
  <c r="G1643" i="9"/>
  <c r="G1651" i="9" s="1"/>
  <c r="G1530" i="9"/>
  <c r="G1547" i="9" s="1"/>
  <c r="G1554" i="9" s="1"/>
  <c r="E1772" i="9"/>
  <c r="E1778" i="9"/>
  <c r="E1530" i="9"/>
  <c r="E1547" i="9"/>
  <c r="E1554" i="9" s="1"/>
  <c r="D1712" i="9"/>
  <c r="D1720" i="9" s="1"/>
  <c r="D1722" i="9" s="1"/>
  <c r="H1881" i="9"/>
  <c r="G1857" i="9"/>
  <c r="G1874" i="9" s="1"/>
  <c r="I1935" i="9"/>
  <c r="G2093" i="9"/>
  <c r="G2081" i="9"/>
  <c r="G2002" i="9"/>
  <c r="G2004" i="9" s="1"/>
  <c r="G1953" i="9"/>
  <c r="G1931" i="9"/>
  <c r="G1955" i="9" s="1"/>
  <c r="G1963" i="9" s="1"/>
  <c r="F29" i="45" s="1"/>
  <c r="E1994" i="9"/>
  <c r="E2002" i="9"/>
  <c r="E2004" i="9" s="1"/>
  <c r="J2244" i="9"/>
  <c r="J2191" i="9"/>
  <c r="I2244" i="9"/>
  <c r="I2191" i="9"/>
  <c r="H2244" i="9"/>
  <c r="H2250" i="9" s="1"/>
  <c r="H2258" i="9" s="1"/>
  <c r="H2260" i="9" s="1"/>
  <c r="G33" i="45" s="1"/>
  <c r="H2191" i="9"/>
  <c r="G2170" i="9"/>
  <c r="E2543" i="9"/>
  <c r="E2560" i="9" s="1"/>
  <c r="J2654" i="9"/>
  <c r="E2656" i="9"/>
  <c r="E2679" i="9"/>
  <c r="E2685" i="9" s="1"/>
  <c r="H2839" i="9"/>
  <c r="G2839" i="9"/>
  <c r="G2969" i="9"/>
  <c r="G2984" i="9" s="1"/>
  <c r="F38" i="45" s="1"/>
  <c r="E20" i="26" s="1"/>
  <c r="E20" i="32" s="1"/>
  <c r="N8" i="32" s="1"/>
  <c r="L5037" i="72"/>
  <c r="N5037" i="72" s="1"/>
  <c r="H831" i="9" s="1"/>
  <c r="H832" i="9" s="1"/>
  <c r="E2081" i="9"/>
  <c r="E2095" i="9"/>
  <c r="E2103" i="9" s="1"/>
  <c r="E2105" i="9" s="1"/>
  <c r="E1931" i="9"/>
  <c r="E1955" i="9" s="1"/>
  <c r="E1963" i="9" s="1"/>
  <c r="I2379" i="9"/>
  <c r="I2348" i="9"/>
  <c r="I2361" i="9" s="1"/>
  <c r="I2342" i="9"/>
  <c r="J2342" i="9" s="1"/>
  <c r="I2551" i="9"/>
  <c r="I2554" i="9" s="1"/>
  <c r="J2636" i="9"/>
  <c r="J2842" i="9"/>
  <c r="N2747" i="9"/>
  <c r="I2822" i="9"/>
  <c r="I2839" i="9" s="1"/>
  <c r="I3046" i="9"/>
  <c r="I3050" i="9"/>
  <c r="I3051" i="9" s="1"/>
  <c r="I2332" i="9"/>
  <c r="I2333" i="9"/>
  <c r="E2238" i="9"/>
  <c r="E2250" i="9"/>
  <c r="E2258" i="9" s="1"/>
  <c r="E2260" i="9" s="1"/>
  <c r="E33" i="45" s="1"/>
  <c r="E2163" i="9"/>
  <c r="E2185" i="9"/>
  <c r="E2193" i="9" s="1"/>
  <c r="E2787" i="9"/>
  <c r="E2845" i="9" s="1"/>
  <c r="E2863" i="9" s="1"/>
  <c r="E37" i="45" s="1"/>
  <c r="D19" i="26" s="1"/>
  <c r="D19" i="32" s="1"/>
  <c r="M9" i="32" s="1"/>
  <c r="J2163" i="9"/>
  <c r="D3152" i="9"/>
  <c r="C9" i="41" s="1"/>
  <c r="I2163" i="9"/>
  <c r="H2163" i="9"/>
  <c r="H1643" i="9"/>
  <c r="H1651" i="9" s="1"/>
  <c r="I429" i="8"/>
  <c r="J1935" i="9"/>
  <c r="I3364" i="9"/>
  <c r="E80" i="9"/>
  <c r="H77" i="9"/>
  <c r="H3358" i="9" s="1"/>
  <c r="E3358" i="9"/>
  <c r="I2488" i="9"/>
  <c r="J2486" i="9"/>
  <c r="J2488" i="9" s="1"/>
  <c r="J2088" i="9"/>
  <c r="J2093" i="9" s="1"/>
  <c r="I2093" i="9"/>
  <c r="I1552" i="9"/>
  <c r="J1551" i="9"/>
  <c r="J1552" i="9" s="1"/>
  <c r="I1630" i="9"/>
  <c r="I1643" i="9" s="1"/>
  <c r="I3361" i="9"/>
  <c r="J1629" i="9"/>
  <c r="J3361" i="9" s="1"/>
  <c r="H2910" i="9"/>
  <c r="I2963" i="9"/>
  <c r="G16" i="8"/>
  <c r="J818" i="9"/>
  <c r="H16" i="8" s="1"/>
  <c r="J1380" i="9"/>
  <c r="J1381" i="9" s="1"/>
  <c r="H1255" i="9"/>
  <c r="H1257" i="9" s="1"/>
  <c r="I1244" i="9"/>
  <c r="J920" i="9"/>
  <c r="H388" i="9"/>
  <c r="H390" i="9" s="1"/>
  <c r="H397" i="9" s="1"/>
  <c r="H399" i="9" s="1"/>
  <c r="I383" i="9"/>
  <c r="N11" i="65"/>
  <c r="B11" i="65" s="1"/>
  <c r="C11" i="65" s="1"/>
  <c r="C44" i="65" s="1"/>
  <c r="E40" i="8"/>
  <c r="B22" i="30"/>
  <c r="K11" i="30" s="1"/>
  <c r="B27" i="25"/>
  <c r="I2329" i="9"/>
  <c r="J2327" i="9"/>
  <c r="J2329" i="9"/>
  <c r="I1710" i="9"/>
  <c r="J1704" i="9"/>
  <c r="J1710" i="9"/>
  <c r="H2656" i="9"/>
  <c r="H2679" i="9" s="1"/>
  <c r="H2685" i="9" s="1"/>
  <c r="G36" i="45" s="1"/>
  <c r="H3371" i="9"/>
  <c r="H3376" i="9" s="1"/>
  <c r="I2950" i="9"/>
  <c r="I2969" i="9"/>
  <c r="I2984" i="9" s="1"/>
  <c r="H38" i="45" s="1"/>
  <c r="G20" i="26" s="1"/>
  <c r="J2945" i="9"/>
  <c r="J2950" i="9" s="1"/>
  <c r="D14" i="45"/>
  <c r="C9" i="26" s="1"/>
  <c r="C9" i="32" s="1"/>
  <c r="F8" i="45"/>
  <c r="G101" i="9"/>
  <c r="N17" i="65"/>
  <c r="J17" i="65" s="1"/>
  <c r="O22" i="30"/>
  <c r="G20" i="30"/>
  <c r="P20" i="30"/>
  <c r="O20" i="65"/>
  <c r="N20" i="65"/>
  <c r="F20" i="30"/>
  <c r="O20" i="30"/>
  <c r="J951" i="9"/>
  <c r="E12" i="30"/>
  <c r="H228" i="9"/>
  <c r="E399" i="9"/>
  <c r="D35" i="45"/>
  <c r="C17" i="26"/>
  <c r="C17" i="32" s="1"/>
  <c r="L26" i="32"/>
  <c r="D2562" i="9"/>
  <c r="H10" i="45"/>
  <c r="F27" i="45"/>
  <c r="G998" i="9"/>
  <c r="G1000" i="9" s="1"/>
  <c r="G1002" i="9" s="1"/>
  <c r="P9" i="30"/>
  <c r="O11" i="65"/>
  <c r="H36" i="44"/>
  <c r="H845" i="9"/>
  <c r="I843" i="9"/>
  <c r="I845" i="9" s="1"/>
  <c r="O17" i="65"/>
  <c r="G18" i="30"/>
  <c r="P22" i="30"/>
  <c r="G2095" i="9"/>
  <c r="G2103" i="9" s="1"/>
  <c r="G2105" i="9" s="1"/>
  <c r="G2845" i="9"/>
  <c r="G2863" i="9" s="1"/>
  <c r="F37" i="45" s="1"/>
  <c r="E19" i="26" s="1"/>
  <c r="E19" i="32" s="1"/>
  <c r="N9" i="32" s="1"/>
  <c r="H1554" i="9"/>
  <c r="H1556" i="9" s="1"/>
  <c r="I2541" i="9"/>
  <c r="I2543" i="9" s="1"/>
  <c r="I1936" i="9"/>
  <c r="H2095" i="9"/>
  <c r="H2103" i="9" s="1"/>
  <c r="H1883" i="9"/>
  <c r="H933" i="9"/>
  <c r="H940" i="9"/>
  <c r="I771" i="9"/>
  <c r="E24" i="25"/>
  <c r="E21" i="30" s="1"/>
  <c r="C54" i="8"/>
  <c r="D3316" i="9"/>
  <c r="I3047" i="9"/>
  <c r="J3046" i="9"/>
  <c r="I3343" i="9"/>
  <c r="J2747" i="9"/>
  <c r="J2748" i="9"/>
  <c r="J2756" i="9"/>
  <c r="J2757" i="9"/>
  <c r="J2551" i="9"/>
  <c r="J2554" i="9" s="1"/>
  <c r="E2262" i="9"/>
  <c r="J3050" i="9"/>
  <c r="J3051" i="9" s="1"/>
  <c r="J2843" i="9"/>
  <c r="J3160" i="9"/>
  <c r="H62" i="8" s="1"/>
  <c r="H17" i="41"/>
  <c r="Q14" i="41" s="1"/>
  <c r="I3369" i="9"/>
  <c r="I2382" i="9"/>
  <c r="J2379" i="9"/>
  <c r="J2382" i="9" s="1"/>
  <c r="E31" i="45"/>
  <c r="H2262" i="9"/>
  <c r="G1965" i="9"/>
  <c r="E27" i="45"/>
  <c r="E1780" i="9"/>
  <c r="I1764" i="9"/>
  <c r="I3363" i="9" s="1"/>
  <c r="H1766" i="9"/>
  <c r="H1772" i="9" s="1"/>
  <c r="C10" i="26"/>
  <c r="C10" i="32" s="1"/>
  <c r="L28" i="32" s="1"/>
  <c r="E17" i="45"/>
  <c r="E218" i="9"/>
  <c r="E226" i="9"/>
  <c r="E228" i="9" s="1"/>
  <c r="E475" i="9"/>
  <c r="H469" i="9"/>
  <c r="H471" i="9"/>
  <c r="H473" i="9" s="1"/>
  <c r="G12" i="45" s="1"/>
  <c r="I464" i="9"/>
  <c r="I469" i="9" s="1"/>
  <c r="J2907" i="9"/>
  <c r="J2908" i="9" s="1"/>
  <c r="J3137" i="9" s="1"/>
  <c r="I2908" i="9"/>
  <c r="I3137" i="9" s="1"/>
  <c r="H58" i="74"/>
  <c r="I58" i="74"/>
  <c r="G71" i="74"/>
  <c r="H71" i="74"/>
  <c r="I71" i="74" s="1"/>
  <c r="C16" i="26"/>
  <c r="C16" i="32" s="1"/>
  <c r="L25" i="32" s="1"/>
  <c r="L30" i="32" s="1"/>
  <c r="L13" i="32"/>
  <c r="I2167" i="9"/>
  <c r="H2170" i="9"/>
  <c r="H3336" i="9"/>
  <c r="I1994" i="9"/>
  <c r="J1993" i="9"/>
  <c r="I3365" i="9"/>
  <c r="D24" i="45"/>
  <c r="D1556" i="9"/>
  <c r="H1400" i="9"/>
  <c r="H1402" i="9"/>
  <c r="H1409" i="9" s="1"/>
  <c r="H1415" i="9" s="1"/>
  <c r="I1396" i="9"/>
  <c r="F27" i="41"/>
  <c r="O27" i="41" s="1"/>
  <c r="E15" i="45"/>
  <c r="H1155" i="9"/>
  <c r="H1157" i="9" s="1"/>
  <c r="H1164" i="9"/>
  <c r="G20" i="45" s="1"/>
  <c r="I1146" i="9"/>
  <c r="F20" i="41"/>
  <c r="J394" i="9"/>
  <c r="J395" i="9" s="1"/>
  <c r="J3287" i="9"/>
  <c r="H30" i="63" s="1"/>
  <c r="J3043" i="9"/>
  <c r="E147" i="74"/>
  <c r="G134" i="74"/>
  <c r="G133" i="74" s="1"/>
  <c r="J3364" i="9"/>
  <c r="J2084" i="9"/>
  <c r="I2085" i="9"/>
  <c r="I2095" i="9" s="1"/>
  <c r="I3366" i="9"/>
  <c r="J1860" i="9"/>
  <c r="J1861" i="9" s="1"/>
  <c r="I1861" i="9"/>
  <c r="J1633" i="9"/>
  <c r="J1641" i="9" s="1"/>
  <c r="I3294" i="9"/>
  <c r="G29" i="63" s="1"/>
  <c r="G37" i="63" s="1"/>
  <c r="I1761" i="9"/>
  <c r="J1760" i="9"/>
  <c r="J3294" i="9"/>
  <c r="H29" i="63" s="1"/>
  <c r="F29" i="63"/>
  <c r="F37" i="63" s="1"/>
  <c r="F64" i="63" s="1"/>
  <c r="H3297" i="9"/>
  <c r="H3315" i="9" s="1"/>
  <c r="I3297" i="9"/>
  <c r="I3315" i="9" s="1"/>
  <c r="G32" i="63"/>
  <c r="I1459" i="9"/>
  <c r="I1461" i="9" s="1"/>
  <c r="J1455" i="9"/>
  <c r="J1457" i="9" s="1"/>
  <c r="F2914" i="9"/>
  <c r="F2920" i="9" s="1"/>
  <c r="F2986" i="9" s="1"/>
  <c r="B8" i="32"/>
  <c r="K15" i="32" s="1"/>
  <c r="E38" i="44"/>
  <c r="E2920" i="9"/>
  <c r="E2986" i="9" s="1"/>
  <c r="F21" i="45"/>
  <c r="I2458" i="9"/>
  <c r="J2456" i="9"/>
  <c r="J2458" i="9"/>
  <c r="J55" i="9"/>
  <c r="I57" i="9"/>
  <c r="F37" i="44"/>
  <c r="G2769" i="9"/>
  <c r="G2865" i="9"/>
  <c r="I1872" i="9"/>
  <c r="J1864" i="9"/>
  <c r="J1872" i="9" s="1"/>
  <c r="J209" i="9"/>
  <c r="J216" i="9" s="1"/>
  <c r="J218" i="9" s="1"/>
  <c r="J226" i="9" s="1"/>
  <c r="J228" i="9" s="1"/>
  <c r="I216" i="9"/>
  <c r="I218" i="9" s="1"/>
  <c r="I226" i="9" s="1"/>
  <c r="I228" i="9" s="1"/>
  <c r="H696" i="9"/>
  <c r="H1986" i="9"/>
  <c r="H1988" i="9" s="1"/>
  <c r="J684" i="9"/>
  <c r="H21" i="41"/>
  <c r="Q26" i="41" s="1"/>
  <c r="C14" i="45"/>
  <c r="C704" i="9"/>
  <c r="E30" i="44"/>
  <c r="F3115" i="9"/>
  <c r="F3139" i="9"/>
  <c r="F3143" i="9" s="1"/>
  <c r="F834" i="9"/>
  <c r="I778" i="9"/>
  <c r="J776" i="9"/>
  <c r="J778" i="9"/>
  <c r="H1770" i="9"/>
  <c r="I1769" i="9"/>
  <c r="I555" i="9"/>
  <c r="I557" i="9"/>
  <c r="I559" i="9" s="1"/>
  <c r="I561" i="9" s="1"/>
  <c r="J550" i="9"/>
  <c r="J555" i="9" s="1"/>
  <c r="J557" i="9" s="1"/>
  <c r="J559" i="9" s="1"/>
  <c r="I13" i="45" s="1"/>
  <c r="H11" i="30"/>
  <c r="Q9" i="30" s="1"/>
  <c r="F82" i="74"/>
  <c r="H82" i="74"/>
  <c r="I82" i="74" s="1"/>
  <c r="C15" i="30"/>
  <c r="G40" i="65"/>
  <c r="M40" i="65"/>
  <c r="L40" i="65"/>
  <c r="F40" i="65"/>
  <c r="K40" i="65"/>
  <c r="H40" i="65"/>
  <c r="J40" i="65"/>
  <c r="B40" i="65"/>
  <c r="E40" i="65"/>
  <c r="C40" i="65"/>
  <c r="D40" i="65"/>
  <c r="I40" i="65"/>
  <c r="H2185" i="9"/>
  <c r="H2193" i="9" s="1"/>
  <c r="H3152" i="9"/>
  <c r="F9" i="41" s="1"/>
  <c r="F19" i="26"/>
  <c r="E3156" i="9"/>
  <c r="D58" i="8" s="1"/>
  <c r="I2804" i="9"/>
  <c r="J2541" i="9"/>
  <c r="H2363" i="9"/>
  <c r="H2384" i="9" s="1"/>
  <c r="H2386" i="9"/>
  <c r="H2307" i="9" s="1"/>
  <c r="H2969" i="9"/>
  <c r="H2984" i="9" s="1"/>
  <c r="G38" i="45" s="1"/>
  <c r="F20" i="26" s="1"/>
  <c r="G2910" i="9"/>
  <c r="F38" i="44"/>
  <c r="E3355" i="9"/>
  <c r="J561" i="9"/>
  <c r="I1770" i="9"/>
  <c r="J1769" i="9"/>
  <c r="J1770" i="9" s="1"/>
  <c r="F855" i="9"/>
  <c r="I9" i="45"/>
  <c r="J2460" i="9"/>
  <c r="I35" i="44" s="1"/>
  <c r="G2914" i="9"/>
  <c r="H134" i="74"/>
  <c r="I134" i="74" s="1"/>
  <c r="G147" i="74"/>
  <c r="H147" i="74" s="1"/>
  <c r="I147" i="74"/>
  <c r="H133" i="74"/>
  <c r="I133" i="74" s="1"/>
  <c r="O24" i="41"/>
  <c r="H1166" i="9"/>
  <c r="J1396" i="9"/>
  <c r="G27" i="41"/>
  <c r="P27" i="41" s="1"/>
  <c r="I1400" i="9"/>
  <c r="G40" i="8"/>
  <c r="I471" i="9"/>
  <c r="I473" i="9" s="1"/>
  <c r="H12" i="45" s="1"/>
  <c r="J464" i="9"/>
  <c r="J469" i="9" s="1"/>
  <c r="J471" i="9" s="1"/>
  <c r="J473" i="9" s="1"/>
  <c r="E9" i="45"/>
  <c r="I1766" i="9"/>
  <c r="J1764" i="9"/>
  <c r="J3363" i="9" s="1"/>
  <c r="J3369" i="9"/>
  <c r="G24" i="45"/>
  <c r="F31" i="45"/>
  <c r="F18" i="45"/>
  <c r="N12" i="30"/>
  <c r="G20" i="65"/>
  <c r="B20" i="65"/>
  <c r="I20" i="65"/>
  <c r="L20" i="65"/>
  <c r="H20" i="65"/>
  <c r="M20" i="65"/>
  <c r="G17" i="65"/>
  <c r="I17" i="65"/>
  <c r="F17" i="65"/>
  <c r="B17" i="65"/>
  <c r="D17" i="65"/>
  <c r="K17" i="65"/>
  <c r="L17" i="65"/>
  <c r="M17" i="65"/>
  <c r="C17" i="65"/>
  <c r="I388" i="9"/>
  <c r="I390" i="9"/>
  <c r="I397" i="9" s="1"/>
  <c r="H11" i="45" s="1"/>
  <c r="J383" i="9"/>
  <c r="J388" i="9" s="1"/>
  <c r="J390" i="9" s="1"/>
  <c r="J397" i="9" s="1"/>
  <c r="I1255" i="9"/>
  <c r="J1244" i="9"/>
  <c r="J1255" i="9"/>
  <c r="G38" i="44"/>
  <c r="H2920" i="9"/>
  <c r="H2986" i="9"/>
  <c r="H22" i="40" s="1"/>
  <c r="J1630" i="9"/>
  <c r="J1643" i="9" s="1"/>
  <c r="J1651" i="9"/>
  <c r="J1606" i="9" s="1"/>
  <c r="I77" i="9"/>
  <c r="J77" i="9" s="1"/>
  <c r="H80" i="9"/>
  <c r="H82" i="9" s="1"/>
  <c r="H40" i="8"/>
  <c r="H1778" i="9"/>
  <c r="G27" i="45" s="1"/>
  <c r="J1761" i="9"/>
  <c r="I1651" i="9"/>
  <c r="H25" i="45" s="1"/>
  <c r="I2560" i="9"/>
  <c r="F54" i="8"/>
  <c r="H3316" i="9"/>
  <c r="G32" i="45"/>
  <c r="F15" i="26" s="1"/>
  <c r="H2195" i="9"/>
  <c r="H17" i="40" s="1"/>
  <c r="L25" i="30"/>
  <c r="H13" i="45"/>
  <c r="B9" i="26"/>
  <c r="B9" i="32" s="1"/>
  <c r="H9" i="45"/>
  <c r="J57" i="9"/>
  <c r="I2460" i="9"/>
  <c r="I1431" i="9"/>
  <c r="I1432" i="9" s="1"/>
  <c r="I1434" i="9" s="1"/>
  <c r="H23" i="45"/>
  <c r="G11" i="26" s="1"/>
  <c r="I1772" i="9"/>
  <c r="I1778" i="9" s="1"/>
  <c r="I3152" i="9"/>
  <c r="J2085" i="9"/>
  <c r="J2095" i="9"/>
  <c r="J3366" i="9"/>
  <c r="I1155" i="9"/>
  <c r="J1146" i="9"/>
  <c r="J1155" i="9" s="1"/>
  <c r="G20" i="41"/>
  <c r="P24" i="41" s="1"/>
  <c r="G22" i="45"/>
  <c r="F10" i="26" s="1"/>
  <c r="H1417" i="9"/>
  <c r="H12" i="40" s="1"/>
  <c r="J1994" i="9"/>
  <c r="J2002" i="9" s="1"/>
  <c r="J2004" i="9" s="1"/>
  <c r="J3365" i="9"/>
  <c r="I2170" i="9"/>
  <c r="J2167" i="9"/>
  <c r="H475" i="9"/>
  <c r="J2759" i="9"/>
  <c r="J2769" i="9" s="1"/>
  <c r="I37" i="44" s="1"/>
  <c r="J3119" i="9"/>
  <c r="H20" i="8" s="1"/>
  <c r="J3047" i="9"/>
  <c r="J3343" i="9"/>
  <c r="L9" i="41"/>
  <c r="L17" i="41" s="1"/>
  <c r="G28" i="45"/>
  <c r="F13" i="26" s="1"/>
  <c r="H1885" i="9"/>
  <c r="H15" i="40" s="1"/>
  <c r="J843" i="9"/>
  <c r="J845" i="9" s="1"/>
  <c r="J2969" i="9"/>
  <c r="J2984" i="9" s="1"/>
  <c r="I38" i="45" s="1"/>
  <c r="H20" i="26" s="1"/>
  <c r="J3375" i="9"/>
  <c r="F18" i="26"/>
  <c r="M11" i="65"/>
  <c r="M44" i="65" s="1"/>
  <c r="B44" i="65"/>
  <c r="G11" i="45"/>
  <c r="E3162" i="9"/>
  <c r="D28" i="41" s="1"/>
  <c r="H3135" i="9"/>
  <c r="F24" i="25" s="1"/>
  <c r="F21" i="30" s="1"/>
  <c r="I1874" i="9"/>
  <c r="I1883" i="9" s="1"/>
  <c r="H28" i="45"/>
  <c r="G13" i="26" s="1"/>
  <c r="I1885" i="9"/>
  <c r="O15" i="40" s="1"/>
  <c r="F36" i="8"/>
  <c r="H20" i="41"/>
  <c r="G9" i="41"/>
  <c r="O39" i="65" s="1"/>
  <c r="N39" i="65"/>
  <c r="H1780" i="9"/>
  <c r="H99" i="9"/>
  <c r="H101" i="9" s="1"/>
  <c r="I3358" i="9"/>
  <c r="I80" i="9"/>
  <c r="I25" i="45"/>
  <c r="I399" i="9"/>
  <c r="I475" i="9"/>
  <c r="D64" i="8"/>
  <c r="D11" i="65"/>
  <c r="E11" i="65" s="1"/>
  <c r="J2170" i="9"/>
  <c r="H27" i="45"/>
  <c r="H23" i="44"/>
  <c r="I1463" i="9"/>
  <c r="O13" i="40" s="1"/>
  <c r="H35" i="44"/>
  <c r="I1606" i="9"/>
  <c r="I3131" i="9" s="1"/>
  <c r="G22" i="25" s="1"/>
  <c r="J1766" i="9"/>
  <c r="H27" i="41"/>
  <c r="Q27" i="41"/>
  <c r="J1400" i="9"/>
  <c r="J1402" i="9"/>
  <c r="J1409" i="9" s="1"/>
  <c r="J1415" i="9" s="1"/>
  <c r="H698" i="9"/>
  <c r="D44" i="65"/>
  <c r="J3358" i="9"/>
  <c r="J80" i="9"/>
  <c r="K39" i="65"/>
  <c r="D39" i="65"/>
  <c r="H39" i="65"/>
  <c r="C39" i="65"/>
  <c r="G39" i="65"/>
  <c r="J39" i="65"/>
  <c r="M39" i="65"/>
  <c r="I39" i="65"/>
  <c r="B39" i="65"/>
  <c r="E39" i="65"/>
  <c r="P9" i="41"/>
  <c r="Q24" i="41"/>
  <c r="I1607" i="9"/>
  <c r="I1609" i="9" s="1"/>
  <c r="K11" i="32"/>
  <c r="L11" i="32"/>
  <c r="J1607" i="9"/>
  <c r="G8" i="45"/>
  <c r="G32" i="8"/>
  <c r="G22" i="30"/>
  <c r="P11" i="30" s="1"/>
  <c r="C64" i="63"/>
  <c r="J399" i="9" l="1"/>
  <c r="I11" i="45"/>
  <c r="H20" i="32"/>
  <c r="Q8" i="32" s="1"/>
  <c r="Q22" i="40"/>
  <c r="R22" i="40" s="1"/>
  <c r="C22" i="40"/>
  <c r="D22" i="40" s="1"/>
  <c r="E22" i="40" s="1"/>
  <c r="G22" i="40" s="1"/>
  <c r="F20" i="32"/>
  <c r="O8" i="32" s="1"/>
  <c r="H25" i="44"/>
  <c r="I1653" i="9"/>
  <c r="E44" i="65"/>
  <c r="F11" i="65"/>
  <c r="I30" i="45"/>
  <c r="J1985" i="9"/>
  <c r="I12" i="45"/>
  <c r="J475" i="9"/>
  <c r="J22" i="40"/>
  <c r="K22" i="40" s="1"/>
  <c r="G20" i="32"/>
  <c r="P8" i="32" s="1"/>
  <c r="I22" i="45"/>
  <c r="H10" i="26" s="1"/>
  <c r="J1417" i="9"/>
  <c r="V12" i="40" s="1"/>
  <c r="G34" i="45"/>
  <c r="F16" i="26" s="1"/>
  <c r="O9" i="41"/>
  <c r="J3053" i="9"/>
  <c r="J3059" i="9" s="1"/>
  <c r="H2105" i="9"/>
  <c r="G31" i="45"/>
  <c r="C20" i="65"/>
  <c r="J20" i="65"/>
  <c r="F20" i="65"/>
  <c r="K20" i="65"/>
  <c r="D20" i="65"/>
  <c r="E20" i="65"/>
  <c r="H1606" i="9"/>
  <c r="G25" i="45"/>
  <c r="I3053" i="9"/>
  <c r="I3059" i="9" s="1"/>
  <c r="E35" i="45"/>
  <c r="D17" i="26" s="1"/>
  <c r="D17" i="32" s="1"/>
  <c r="M26" i="32" s="1"/>
  <c r="E2562" i="9"/>
  <c r="E30" i="45"/>
  <c r="E2006" i="9"/>
  <c r="F30" i="45"/>
  <c r="E14" i="26" s="1"/>
  <c r="E14" i="32" s="1"/>
  <c r="N12" i="32" s="1"/>
  <c r="G2006" i="9"/>
  <c r="F25" i="45"/>
  <c r="G1606" i="9"/>
  <c r="C26" i="45"/>
  <c r="C1724" i="9"/>
  <c r="E22" i="45"/>
  <c r="D10" i="26" s="1"/>
  <c r="D10" i="32" s="1"/>
  <c r="M28" i="32" s="1"/>
  <c r="E1417" i="9"/>
  <c r="E10" i="45"/>
  <c r="E306" i="9"/>
  <c r="E26" i="45"/>
  <c r="E1724" i="9"/>
  <c r="I1402" i="9"/>
  <c r="I1409" i="9" s="1"/>
  <c r="I1415" i="9" s="1"/>
  <c r="F17" i="45"/>
  <c r="G955" i="9"/>
  <c r="F10" i="8"/>
  <c r="I819" i="9"/>
  <c r="F7" i="71"/>
  <c r="B8" i="71" s="1"/>
  <c r="D7" i="71"/>
  <c r="E7" i="71" s="1"/>
  <c r="I28" i="44"/>
  <c r="I31" i="44"/>
  <c r="H33" i="44"/>
  <c r="J983" i="9"/>
  <c r="F2687" i="9"/>
  <c r="C20" i="40"/>
  <c r="F18" i="32"/>
  <c r="O27" i="32" s="1"/>
  <c r="J13" i="40"/>
  <c r="G11" i="32"/>
  <c r="P14" i="32" s="1"/>
  <c r="C17" i="40"/>
  <c r="D17" i="40" s="1"/>
  <c r="E17" i="40" s="1"/>
  <c r="G17" i="40" s="1"/>
  <c r="F15" i="32"/>
  <c r="O16" i="32" s="1"/>
  <c r="I2467" i="9"/>
  <c r="H35" i="45"/>
  <c r="G17" i="26" s="1"/>
  <c r="H2308" i="9"/>
  <c r="H2310" i="9" s="1"/>
  <c r="H2388" i="9" s="1"/>
  <c r="H18" i="40" s="1"/>
  <c r="E36" i="45"/>
  <c r="D18" i="26" s="1"/>
  <c r="D18" i="32" s="1"/>
  <c r="M27" i="32" s="1"/>
  <c r="E2687" i="9"/>
  <c r="E21" i="45"/>
  <c r="E1283" i="9"/>
  <c r="E34" i="45"/>
  <c r="D16" i="26" s="1"/>
  <c r="D16" i="32" s="1"/>
  <c r="M25" i="32" s="1"/>
  <c r="M30" i="32" s="1"/>
  <c r="M13" i="32" s="1"/>
  <c r="E2388" i="9"/>
  <c r="C33" i="45"/>
  <c r="B15" i="26" s="1"/>
  <c r="B15" i="32" s="1"/>
  <c r="K16" i="32" s="1"/>
  <c r="C2262" i="9"/>
  <c r="D27" i="45"/>
  <c r="D1780" i="9"/>
  <c r="C1556" i="9"/>
  <c r="C3270" i="9"/>
  <c r="C24" i="45"/>
  <c r="B12" i="26" s="1"/>
  <c r="E14" i="45"/>
  <c r="E704" i="9"/>
  <c r="J780" i="9"/>
  <c r="F58" i="8"/>
  <c r="I58" i="8" s="1"/>
  <c r="H3355" i="9"/>
  <c r="F14" i="41"/>
  <c r="F20" i="45"/>
  <c r="G1166" i="9"/>
  <c r="G13" i="45"/>
  <c r="H561" i="9"/>
  <c r="I821" i="9"/>
  <c r="F14" i="8"/>
  <c r="I14" i="8" s="1"/>
  <c r="J1609" i="9"/>
  <c r="H31" i="44"/>
  <c r="F36" i="44"/>
  <c r="G2687" i="9"/>
  <c r="I1780" i="9"/>
  <c r="H27" i="44"/>
  <c r="D43" i="65"/>
  <c r="L43" i="65"/>
  <c r="J43" i="65"/>
  <c r="B43" i="65"/>
  <c r="E43" i="65"/>
  <c r="K43" i="65"/>
  <c r="C43" i="65"/>
  <c r="G43" i="65"/>
  <c r="F43" i="65"/>
  <c r="H43" i="65"/>
  <c r="M43" i="65"/>
  <c r="I43" i="65"/>
  <c r="K17" i="41"/>
  <c r="G36" i="44"/>
  <c r="H2687" i="9"/>
  <c r="H20" i="40" s="1"/>
  <c r="J15" i="40"/>
  <c r="K15" i="40" s="1"/>
  <c r="L15" i="40" s="1"/>
  <c r="N15" i="40" s="1"/>
  <c r="G13" i="32"/>
  <c r="P17" i="32" s="1"/>
  <c r="C12" i="40"/>
  <c r="D12" i="40" s="1"/>
  <c r="E12" i="40" s="1"/>
  <c r="G12" i="40" s="1"/>
  <c r="F10" i="32"/>
  <c r="O28" i="32" s="1"/>
  <c r="J1772" i="9"/>
  <c r="J1778" i="9" s="1"/>
  <c r="G2920" i="9"/>
  <c r="G2986" i="9" s="1"/>
  <c r="H2006" i="9"/>
  <c r="G30" i="44"/>
  <c r="H3317" i="9"/>
  <c r="J1874" i="9"/>
  <c r="J1883" i="9" s="1"/>
  <c r="I28" i="45" s="1"/>
  <c r="H13" i="26" s="1"/>
  <c r="J2790" i="9"/>
  <c r="J2791" i="9" s="1"/>
  <c r="H12" i="25"/>
  <c r="E32" i="45"/>
  <c r="D15" i="26" s="1"/>
  <c r="D15" i="32" s="1"/>
  <c r="M16" i="32" s="1"/>
  <c r="E2195" i="9"/>
  <c r="E29" i="45"/>
  <c r="D14" i="26" s="1"/>
  <c r="D14" i="32" s="1"/>
  <c r="M12" i="32" s="1"/>
  <c r="E1965" i="9"/>
  <c r="D26" i="45"/>
  <c r="C12" i="26" s="1"/>
  <c r="C12" i="32" s="1"/>
  <c r="L10" i="32" s="1"/>
  <c r="D1724" i="9"/>
  <c r="E23" i="45"/>
  <c r="D11" i="26" s="1"/>
  <c r="D11" i="32" s="1"/>
  <c r="M14" i="32" s="1"/>
  <c r="E1463" i="9"/>
  <c r="F22" i="45"/>
  <c r="E10" i="26" s="1"/>
  <c r="E10" i="32" s="1"/>
  <c r="N28" i="32" s="1"/>
  <c r="G1417" i="9"/>
  <c r="E28" i="45"/>
  <c r="D13" i="26" s="1"/>
  <c r="D13" i="32" s="1"/>
  <c r="M17" i="32" s="1"/>
  <c r="E1885" i="9"/>
  <c r="E25" i="45"/>
  <c r="E1653" i="9"/>
  <c r="G3172" i="9"/>
  <c r="E74" i="8" s="1"/>
  <c r="C27" i="45"/>
  <c r="C1780" i="9"/>
  <c r="J921" i="9"/>
  <c r="J933" i="9" s="1"/>
  <c r="J940" i="9" s="1"/>
  <c r="J953" i="9" s="1"/>
  <c r="I933" i="9"/>
  <c r="I940" i="9" s="1"/>
  <c r="I953" i="9" s="1"/>
  <c r="J2910" i="9"/>
  <c r="G15" i="45"/>
  <c r="H782" i="9"/>
  <c r="D3315" i="9"/>
  <c r="D3317" i="9" s="1"/>
  <c r="N23" i="30"/>
  <c r="M10" i="30"/>
  <c r="H1002" i="9"/>
  <c r="G18" i="44"/>
  <c r="L39" i="65"/>
  <c r="F39" i="65"/>
  <c r="C15" i="40"/>
  <c r="D15" i="40" s="1"/>
  <c r="E15" i="40" s="1"/>
  <c r="G15" i="40" s="1"/>
  <c r="F13" i="32"/>
  <c r="O17" i="32" s="1"/>
  <c r="G54" i="8"/>
  <c r="I3316" i="9"/>
  <c r="I3317" i="9" s="1"/>
  <c r="F19" i="32"/>
  <c r="O9" i="32" s="1"/>
  <c r="C21" i="40"/>
  <c r="D21" i="40" s="1"/>
  <c r="E24" i="45"/>
  <c r="D12" i="26" s="1"/>
  <c r="D12" i="32" s="1"/>
  <c r="M10" i="32" s="1"/>
  <c r="E1556" i="9"/>
  <c r="F24" i="45"/>
  <c r="G1556" i="9"/>
  <c r="E561" i="9"/>
  <c r="E13" i="45"/>
  <c r="F33" i="45"/>
  <c r="G2262" i="9"/>
  <c r="H1431" i="9"/>
  <c r="H1432" i="9" s="1"/>
  <c r="G23" i="45"/>
  <c r="F11" i="26" s="1"/>
  <c r="J306" i="9"/>
  <c r="I10" i="45"/>
  <c r="F101" i="9"/>
  <c r="E37" i="63"/>
  <c r="E64" i="63" s="1"/>
  <c r="E3356" i="9"/>
  <c r="E3377" i="9" s="1"/>
  <c r="E3379" i="9"/>
  <c r="E2865" i="9"/>
  <c r="F1607" i="9"/>
  <c r="F1609" i="9" s="1"/>
  <c r="F1653" i="9" s="1"/>
  <c r="F3145" i="9"/>
  <c r="F3147" i="9" s="1"/>
  <c r="F697" i="9"/>
  <c r="K13" i="30"/>
  <c r="K14" i="30" s="1"/>
  <c r="B30" i="30"/>
  <c r="K21" i="30"/>
  <c r="K26" i="30" s="1"/>
  <c r="C3267" i="9"/>
  <c r="C3199" i="9"/>
  <c r="H72" i="8"/>
  <c r="H13" i="41"/>
  <c r="D9" i="38"/>
  <c r="D11" i="38" s="1"/>
  <c r="D11" i="28"/>
  <c r="D31" i="28" s="1"/>
  <c r="H9" i="38"/>
  <c r="H11" i="38" s="1"/>
  <c r="H11" i="28"/>
  <c r="H31" i="28" s="1"/>
  <c r="B38" i="67"/>
  <c r="B35" i="67" s="1"/>
  <c r="D39" i="46"/>
  <c r="L30" i="35"/>
  <c r="L31" i="35" s="1"/>
  <c r="L13" i="35" s="1"/>
  <c r="L17" i="35" s="1"/>
  <c r="G42" i="46"/>
  <c r="G36" i="46"/>
  <c r="B20" i="40"/>
  <c r="D20" i="40" s="1"/>
  <c r="P12" i="35"/>
  <c r="I18" i="40"/>
  <c r="H23" i="46"/>
  <c r="I13" i="40"/>
  <c r="K13" i="40" s="1"/>
  <c r="L13" i="40" s="1"/>
  <c r="N13" i="40" s="1"/>
  <c r="P25" i="35"/>
  <c r="H18" i="49"/>
  <c r="H41" i="49" s="1"/>
  <c r="F1881" i="9"/>
  <c r="G1877" i="9"/>
  <c r="G1881" i="9" s="1"/>
  <c r="G1883" i="9" s="1"/>
  <c r="N29" i="68"/>
  <c r="O14" i="68"/>
  <c r="P14" i="68" s="1"/>
  <c r="Q14" i="68" s="1"/>
  <c r="H11" i="74"/>
  <c r="E18" i="74"/>
  <c r="H1675" i="9"/>
  <c r="G1676" i="9"/>
  <c r="F2470" i="9"/>
  <c r="F2562" i="9" s="1"/>
  <c r="D2610" i="9"/>
  <c r="D3141" i="9"/>
  <c r="C1059" i="9"/>
  <c r="C19" i="44"/>
  <c r="H17" i="65"/>
  <c r="E17" i="65"/>
  <c r="I2910" i="9"/>
  <c r="D14" i="41"/>
  <c r="M12" i="41" s="1"/>
  <c r="F693" i="9"/>
  <c r="G24" i="41"/>
  <c r="D1417" i="9"/>
  <c r="J2822" i="9"/>
  <c r="J2839" i="9" s="1"/>
  <c r="J2348" i="9"/>
  <c r="J2361" i="9" s="1"/>
  <c r="I2637" i="9"/>
  <c r="J2801" i="9"/>
  <c r="L5038" i="72"/>
  <c r="G3297" i="9"/>
  <c r="G3315" i="9" s="1"/>
  <c r="J54" i="65"/>
  <c r="J57" i="65" s="1"/>
  <c r="G54" i="65"/>
  <c r="G57" i="65" s="1"/>
  <c r="K54" i="65"/>
  <c r="K57" i="65" s="1"/>
  <c r="G13" i="65"/>
  <c r="F14" i="65"/>
  <c r="E13" i="65"/>
  <c r="M14" i="65"/>
  <c r="E14" i="65"/>
  <c r="H20" i="30"/>
  <c r="Q20" i="30" s="1"/>
  <c r="E54" i="65"/>
  <c r="E57" i="65" s="1"/>
  <c r="E20" i="25"/>
  <c r="E20" i="30" s="1"/>
  <c r="N20" i="30" s="1"/>
  <c r="J2217" i="9"/>
  <c r="J2218" i="9" s="1"/>
  <c r="J2220" i="9" s="1"/>
  <c r="Q10" i="41"/>
  <c r="G15" i="41"/>
  <c r="G3133" i="9"/>
  <c r="O44" i="65"/>
  <c r="H157" i="74"/>
  <c r="I157" i="74" s="1"/>
  <c r="D3313" i="9"/>
  <c r="D1283" i="9"/>
  <c r="E10" i="41"/>
  <c r="N28" i="41" s="1"/>
  <c r="N31" i="41" s="1"/>
  <c r="N11" i="41" s="1"/>
  <c r="O15" i="41"/>
  <c r="I981" i="9"/>
  <c r="K5057" i="72"/>
  <c r="K5059" i="72" s="1"/>
  <c r="K5060" i="72" s="1"/>
  <c r="F8" i="67"/>
  <c r="F52" i="67" s="1"/>
  <c r="C21" i="44"/>
  <c r="C1283" i="9"/>
  <c r="B11" i="28"/>
  <c r="B31" i="28" s="1"/>
  <c r="O26" i="35"/>
  <c r="O31" i="35" s="1"/>
  <c r="O13" i="35" s="1"/>
  <c r="B14" i="40"/>
  <c r="D606" i="9"/>
  <c r="D616" i="9" s="1"/>
  <c r="D3129" i="9"/>
  <c r="C35" i="46"/>
  <c r="B14" i="67"/>
  <c r="B8" i="67" s="1"/>
  <c r="B52" i="67" s="1"/>
  <c r="D11" i="67"/>
  <c r="O9" i="35"/>
  <c r="O17" i="35" s="1"/>
  <c r="F13" i="67"/>
  <c r="G38" i="46"/>
  <c r="I16" i="40"/>
  <c r="P15" i="35"/>
  <c r="P27" i="35"/>
  <c r="G43" i="67"/>
  <c r="G35" i="67" s="1"/>
  <c r="H16" i="46"/>
  <c r="G24" i="35"/>
  <c r="I11" i="40"/>
  <c r="I42" i="46"/>
  <c r="B41" i="49"/>
  <c r="F106" i="74"/>
  <c r="H106" i="74"/>
  <c r="I106" i="74" s="1"/>
  <c r="G107" i="74"/>
  <c r="G121" i="74"/>
  <c r="H121" i="74" s="1"/>
  <c r="I121" i="74" s="1"/>
  <c r="H114" i="74"/>
  <c r="I114" i="74" s="1"/>
  <c r="J13" i="65"/>
  <c r="B14" i="65"/>
  <c r="H13" i="65"/>
  <c r="G14" i="65"/>
  <c r="D14" i="65"/>
  <c r="L54" i="65"/>
  <c r="L57" i="65" s="1"/>
  <c r="B60" i="8"/>
  <c r="B68" i="8" s="1"/>
  <c r="B76" i="8" s="1"/>
  <c r="B78" i="8" s="1"/>
  <c r="B86" i="8" s="1"/>
  <c r="C3166" i="9"/>
  <c r="C3174" i="9" s="1"/>
  <c r="C3193" i="9" s="1"/>
  <c r="C3197" i="9" s="1"/>
  <c r="C3271" i="9" s="1"/>
  <c r="D34" i="8"/>
  <c r="D15" i="25"/>
  <c r="F9" i="38"/>
  <c r="F11" i="38" s="1"/>
  <c r="F11" i="28"/>
  <c r="F31" i="28" s="1"/>
  <c r="G14" i="67"/>
  <c r="G8" i="67" s="1"/>
  <c r="G52" i="67" s="1"/>
  <c r="H35" i="46"/>
  <c r="P8" i="35"/>
  <c r="E31" i="49"/>
  <c r="E41" i="49" s="1"/>
  <c r="F23" i="49"/>
  <c r="F31" i="49" s="1"/>
  <c r="F41" i="49" s="1"/>
  <c r="B24" i="63"/>
  <c r="B26" i="63" s="1"/>
  <c r="B64" i="63" s="1"/>
  <c r="C3313" i="9"/>
  <c r="C3315" i="9" s="1"/>
  <c r="C3317" i="9" s="1"/>
  <c r="I2790" i="9"/>
  <c r="I2791" i="9" s="1"/>
  <c r="I2845" i="9" s="1"/>
  <c r="I2759" i="9"/>
  <c r="I2769" i="9" s="1"/>
  <c r="J2855" i="9"/>
  <c r="J3189" i="9" s="1"/>
  <c r="I3189" i="9"/>
  <c r="H2759" i="9"/>
  <c r="H2769" i="9" s="1"/>
  <c r="F12" i="25"/>
  <c r="M5059" i="72"/>
  <c r="O5059" i="72" s="1"/>
  <c r="K13" i="65"/>
  <c r="B13" i="65"/>
  <c r="I14" i="65"/>
  <c r="H14" i="65"/>
  <c r="M13" i="65"/>
  <c r="H14" i="30"/>
  <c r="D11" i="41"/>
  <c r="M23" i="41" s="1"/>
  <c r="G824" i="9"/>
  <c r="G158" i="74"/>
  <c r="G3329" i="9"/>
  <c r="G3330" i="9" s="1"/>
  <c r="D24" i="35"/>
  <c r="M14" i="35"/>
  <c r="Q15" i="35"/>
  <c r="P16" i="40"/>
  <c r="F399" i="9"/>
  <c r="E3135" i="9"/>
  <c r="E832" i="9"/>
  <c r="E834" i="9" s="1"/>
  <c r="D2304" i="9"/>
  <c r="C14" i="25"/>
  <c r="D13" i="67"/>
  <c r="M9" i="35"/>
  <c r="M17" i="35" s="1"/>
  <c r="P10" i="35"/>
  <c r="H36" i="46"/>
  <c r="I20" i="40"/>
  <c r="P30" i="35"/>
  <c r="I23" i="40"/>
  <c r="D22" i="46"/>
  <c r="D42" i="46" s="1"/>
  <c r="C9" i="67"/>
  <c r="C8" i="67" s="1"/>
  <c r="C52" i="67" s="1"/>
  <c r="G27" i="64"/>
  <c r="I157" i="72"/>
  <c r="H820" i="9" s="1"/>
  <c r="H824" i="9" s="1"/>
  <c r="H47" i="73"/>
  <c r="D82" i="9"/>
  <c r="D99" i="9" s="1"/>
  <c r="D3162" i="9"/>
  <c r="N9" i="35"/>
  <c r="N17" i="35" s="1"/>
  <c r="Q8" i="35"/>
  <c r="H140" i="74"/>
  <c r="I140" i="74" s="1"/>
  <c r="G557" i="9"/>
  <c r="G559" i="9" s="1"/>
  <c r="G471" i="9"/>
  <c r="G473" i="9" s="1"/>
  <c r="I998" i="9"/>
  <c r="I1000" i="9" s="1"/>
  <c r="H18" i="45" s="1"/>
  <c r="K29" i="35"/>
  <c r="K31" i="35" s="1"/>
  <c r="K13" i="35" s="1"/>
  <c r="K17" i="35" s="1"/>
  <c r="C8" i="46"/>
  <c r="C42" i="46" s="1"/>
  <c r="H89" i="74"/>
  <c r="I89" i="74" s="1"/>
  <c r="G218" i="9"/>
  <c r="G226" i="9" s="1"/>
  <c r="I1545" i="9"/>
  <c r="I1547" i="9" s="1"/>
  <c r="I1554" i="9" s="1"/>
  <c r="J1539" i="9"/>
  <c r="J1545" i="9" s="1"/>
  <c r="J1939" i="9"/>
  <c r="I1953" i="9"/>
  <c r="I1955" i="9" s="1"/>
  <c r="J2344" i="9"/>
  <c r="J3339" i="9" s="1"/>
  <c r="I3339" i="9"/>
  <c r="I3370" i="9"/>
  <c r="J2502" i="9"/>
  <c r="H2491" i="9"/>
  <c r="H2492" i="9" s="1"/>
  <c r="H2543" i="9" s="1"/>
  <c r="H2560" i="9" s="1"/>
  <c r="G2460" i="9"/>
  <c r="D2863" i="9"/>
  <c r="H69" i="74"/>
  <c r="I69" i="74" s="1"/>
  <c r="H117" i="74"/>
  <c r="I117" i="74" s="1"/>
  <c r="G390" i="9"/>
  <c r="G397" i="9" s="1"/>
  <c r="I1162" i="9"/>
  <c r="J1160" i="9"/>
  <c r="J1162" i="9" s="1"/>
  <c r="G773" i="9"/>
  <c r="G780" i="9" s="1"/>
  <c r="J1715" i="9"/>
  <c r="J1718" i="9" s="1"/>
  <c r="I1718" i="9"/>
  <c r="B14" i="26"/>
  <c r="B14" i="32" s="1"/>
  <c r="K12" i="32" s="1"/>
  <c r="I2000" i="9"/>
  <c r="I2002" i="9" s="1"/>
  <c r="I2004" i="9" s="1"/>
  <c r="G2163" i="9"/>
  <c r="G2185" i="9" s="1"/>
  <c r="G2193" i="9" s="1"/>
  <c r="G2329" i="9"/>
  <c r="G2363" i="9" s="1"/>
  <c r="G2384" i="9" s="1"/>
  <c r="G2386" i="9" s="1"/>
  <c r="H3053" i="9"/>
  <c r="H3059" i="9" s="1"/>
  <c r="F3337" i="9"/>
  <c r="F3354" i="9" s="1"/>
  <c r="H302" i="9"/>
  <c r="H304" i="9" s="1"/>
  <c r="J638" i="9"/>
  <c r="I1237" i="9"/>
  <c r="I758" i="9"/>
  <c r="I773" i="9" s="1"/>
  <c r="I780" i="9" s="1"/>
  <c r="H1279" i="9"/>
  <c r="H1281" i="9" s="1"/>
  <c r="H951" i="9"/>
  <c r="H953" i="9" s="1"/>
  <c r="G1457" i="9"/>
  <c r="I1698" i="9"/>
  <c r="H1718" i="9"/>
  <c r="H3172" i="9" s="1"/>
  <c r="F74" i="8" s="1"/>
  <c r="I74" i="8" s="1"/>
  <c r="G1701" i="9"/>
  <c r="I2100" i="9"/>
  <c r="I1958" i="9"/>
  <c r="H1953" i="9"/>
  <c r="H3162" i="9" s="1"/>
  <c r="I2256" i="9"/>
  <c r="L22" i="65"/>
  <c r="H3339" i="9"/>
  <c r="H3354" i="9" s="1"/>
  <c r="G3338" i="9"/>
  <c r="G3354" i="9" s="1"/>
  <c r="J992" i="9"/>
  <c r="I1279" i="9"/>
  <c r="I2247" i="9"/>
  <c r="I2340" i="9"/>
  <c r="C2460" i="9"/>
  <c r="I1142" i="9"/>
  <c r="I2173" i="9"/>
  <c r="I2674" i="9"/>
  <c r="I2852" i="9"/>
  <c r="H234" i="8"/>
  <c r="I234" i="8" s="1"/>
  <c r="E247" i="8"/>
  <c r="G156" i="8"/>
  <c r="H143" i="8"/>
  <c r="I143" i="8" s="1"/>
  <c r="G158" i="8"/>
  <c r="H158" i="8" s="1"/>
  <c r="I158" i="8" s="1"/>
  <c r="H193" i="8"/>
  <c r="I193" i="8" s="1"/>
  <c r="G203" i="8"/>
  <c r="I305" i="8"/>
  <c r="E160" i="8"/>
  <c r="H190" i="8"/>
  <c r="I190" i="8" s="1"/>
  <c r="E203" i="8"/>
  <c r="G247" i="8"/>
  <c r="B120" i="8"/>
  <c r="I301" i="8"/>
  <c r="I427" i="8"/>
  <c r="I437" i="8" s="1"/>
  <c r="I460" i="8"/>
  <c r="I456" i="8"/>
  <c r="I452" i="8"/>
  <c r="I461" i="8" s="1"/>
  <c r="E33" i="9"/>
  <c r="E3324" i="9" s="1"/>
  <c r="E102" i="8"/>
  <c r="H237" i="8"/>
  <c r="I237" i="8" s="1"/>
  <c r="I289" i="8"/>
  <c r="I414" i="8"/>
  <c r="I423" i="8" s="1"/>
  <c r="I459" i="8"/>
  <c r="I455" i="8"/>
  <c r="J1442" i="9"/>
  <c r="J3283" i="9" s="1"/>
  <c r="I421" i="8"/>
  <c r="I434" i="8"/>
  <c r="I458" i="8"/>
  <c r="I454" i="8"/>
  <c r="I29" i="9"/>
  <c r="E1131" i="9"/>
  <c r="H3356" i="9" l="1"/>
  <c r="H3377" i="9" s="1"/>
  <c r="H3379" i="9"/>
  <c r="H30" i="45"/>
  <c r="I1985" i="9"/>
  <c r="G35" i="45"/>
  <c r="F17" i="26" s="1"/>
  <c r="H2467" i="9"/>
  <c r="H24" i="45"/>
  <c r="G12" i="26" s="1"/>
  <c r="I1556" i="9"/>
  <c r="D42" i="8"/>
  <c r="F28" i="45"/>
  <c r="E13" i="26" s="1"/>
  <c r="E13" i="32" s="1"/>
  <c r="N17" i="32" s="1"/>
  <c r="G1885" i="9"/>
  <c r="H955" i="9"/>
  <c r="G17" i="45"/>
  <c r="H3115" i="9"/>
  <c r="H839" i="9"/>
  <c r="H840" i="9" s="1"/>
  <c r="H827" i="9"/>
  <c r="J29" i="9"/>
  <c r="I36" i="9"/>
  <c r="I3320" i="9"/>
  <c r="H32" i="63"/>
  <c r="H37" i="63" s="1"/>
  <c r="J3297" i="9"/>
  <c r="J3315" i="9" s="1"/>
  <c r="I2183" i="9"/>
  <c r="I2185" i="9" s="1"/>
  <c r="I2193" i="9" s="1"/>
  <c r="J2173" i="9"/>
  <c r="J2183" i="9" s="1"/>
  <c r="J2185" i="9" s="1"/>
  <c r="J2193" i="9" s="1"/>
  <c r="J1958" i="9"/>
  <c r="J1961" i="9" s="1"/>
  <c r="J3172" i="9" s="1"/>
  <c r="H74" i="8" s="1"/>
  <c r="I1961" i="9"/>
  <c r="J1698" i="9"/>
  <c r="I1701" i="9"/>
  <c r="I1712" i="9" s="1"/>
  <c r="I1720" i="9" s="1"/>
  <c r="I1722" i="9" s="1"/>
  <c r="H26" i="45" s="1"/>
  <c r="I3362" i="9"/>
  <c r="H203" i="8"/>
  <c r="I203" i="8" s="1"/>
  <c r="G160" i="8"/>
  <c r="H160" i="8" s="1"/>
  <c r="I160" i="8" s="1"/>
  <c r="H156" i="8"/>
  <c r="I156" i="8" s="1"/>
  <c r="J1142" i="9"/>
  <c r="J1143" i="9" s="1"/>
  <c r="J1157" i="9" s="1"/>
  <c r="J1164" i="9" s="1"/>
  <c r="I1143" i="9"/>
  <c r="I1157" i="9" s="1"/>
  <c r="I1164" i="9" s="1"/>
  <c r="I3338" i="9"/>
  <c r="J2100" i="9"/>
  <c r="J2101" i="9" s="1"/>
  <c r="J2103" i="9" s="1"/>
  <c r="I2101" i="9"/>
  <c r="I2103" i="9" s="1"/>
  <c r="G3162" i="9"/>
  <c r="G1459" i="9"/>
  <c r="G1461" i="9" s="1"/>
  <c r="I1238" i="9"/>
  <c r="J1237" i="9"/>
  <c r="J1238" i="9" s="1"/>
  <c r="J1257" i="9" s="1"/>
  <c r="J1281" i="9" s="1"/>
  <c r="G39" i="45"/>
  <c r="F21" i="26" s="1"/>
  <c r="H3027" i="9"/>
  <c r="H3028" i="9" s="1"/>
  <c r="J3370" i="9"/>
  <c r="J2504" i="9"/>
  <c r="J2543" i="9" s="1"/>
  <c r="J2560" i="9" s="1"/>
  <c r="I1963" i="9"/>
  <c r="F9" i="45"/>
  <c r="G228" i="9"/>
  <c r="Q17" i="35"/>
  <c r="D36" i="8"/>
  <c r="I36" i="8" s="1"/>
  <c r="D24" i="25"/>
  <c r="D21" i="30" s="1"/>
  <c r="G3115" i="9"/>
  <c r="G834" i="9"/>
  <c r="H42" i="46"/>
  <c r="D8" i="67"/>
  <c r="D52" i="67" s="1"/>
  <c r="D14" i="44"/>
  <c r="D3266" i="9"/>
  <c r="D704" i="9"/>
  <c r="E34" i="8"/>
  <c r="E15" i="25"/>
  <c r="E15" i="30" s="1"/>
  <c r="N5038" i="72"/>
  <c r="I831" i="9" s="1"/>
  <c r="L5039" i="72"/>
  <c r="N5039" i="72" s="1"/>
  <c r="J831" i="9" s="1"/>
  <c r="F3195" i="9"/>
  <c r="F700" i="9"/>
  <c r="F702" i="9" s="1"/>
  <c r="D36" i="44"/>
  <c r="D2687" i="9"/>
  <c r="H18" i="74"/>
  <c r="I18" i="74" s="1"/>
  <c r="E22" i="74"/>
  <c r="H22" i="74" s="1"/>
  <c r="I22" i="74" s="1"/>
  <c r="P31" i="35"/>
  <c r="P13" i="35" s="1"/>
  <c r="P17" i="35" s="1"/>
  <c r="Q8" i="38"/>
  <c r="Q12" i="38" s="1"/>
  <c r="H29" i="38"/>
  <c r="J1547" i="9"/>
  <c r="J1554" i="9" s="1"/>
  <c r="F68" i="8"/>
  <c r="I17" i="45"/>
  <c r="J955" i="9"/>
  <c r="I25" i="44"/>
  <c r="J1653" i="9"/>
  <c r="J782" i="9"/>
  <c r="I15" i="45"/>
  <c r="C3272" i="9"/>
  <c r="J19" i="40"/>
  <c r="K19" i="40" s="1"/>
  <c r="G17" i="32"/>
  <c r="P26" i="32" s="1"/>
  <c r="I10" i="8"/>
  <c r="H39" i="45"/>
  <c r="G21" i="26" s="1"/>
  <c r="I3027" i="9"/>
  <c r="I3028" i="9" s="1"/>
  <c r="L22" i="40"/>
  <c r="N22" i="40" s="1"/>
  <c r="F3356" i="9"/>
  <c r="F3377" i="9" s="1"/>
  <c r="F3379" i="9"/>
  <c r="D8" i="45"/>
  <c r="D3270" i="9"/>
  <c r="D101" i="9"/>
  <c r="E3285" i="9"/>
  <c r="E1139" i="9"/>
  <c r="H247" i="8"/>
  <c r="I247" i="8" s="1"/>
  <c r="J1452" i="9"/>
  <c r="I2857" i="9"/>
  <c r="J2852" i="9"/>
  <c r="J2857" i="9" s="1"/>
  <c r="C35" i="44"/>
  <c r="C2470" i="9"/>
  <c r="J996" i="9"/>
  <c r="J998" i="9" s="1"/>
  <c r="J1000" i="9" s="1"/>
  <c r="I18" i="45" s="1"/>
  <c r="H24" i="41"/>
  <c r="Q16" i="41" s="1"/>
  <c r="G1712" i="9"/>
  <c r="G1720" i="9" s="1"/>
  <c r="G1722" i="9" s="1"/>
  <c r="F26" i="45" s="1"/>
  <c r="G3156" i="9"/>
  <c r="J640" i="9"/>
  <c r="J3338" i="9"/>
  <c r="F34" i="45"/>
  <c r="E16" i="26" s="1"/>
  <c r="E16" i="32" s="1"/>
  <c r="N25" i="32" s="1"/>
  <c r="N30" i="32" s="1"/>
  <c r="N13" i="32" s="1"/>
  <c r="G2388" i="9"/>
  <c r="I3172" i="9"/>
  <c r="G74" i="8" s="1"/>
  <c r="D37" i="45"/>
  <c r="C19" i="26" s="1"/>
  <c r="C19" i="32" s="1"/>
  <c r="L9" i="32" s="1"/>
  <c r="D2865" i="9"/>
  <c r="H12" i="41"/>
  <c r="J1953" i="9"/>
  <c r="J1955" i="9" s="1"/>
  <c r="J1963" i="9" s="1"/>
  <c r="F12" i="45"/>
  <c r="G475" i="9"/>
  <c r="C14" i="30"/>
  <c r="N12" i="65"/>
  <c r="B12" i="65" s="1"/>
  <c r="C12" i="65" s="1"/>
  <c r="D12" i="65" s="1"/>
  <c r="E12" i="65" s="1"/>
  <c r="F12" i="65" s="1"/>
  <c r="G12" i="65" s="1"/>
  <c r="H12" i="65" s="1"/>
  <c r="I12" i="65" s="1"/>
  <c r="J12" i="65" s="1"/>
  <c r="K12" i="65" s="1"/>
  <c r="L12" i="65" s="1"/>
  <c r="M12" i="65" s="1"/>
  <c r="F12" i="30"/>
  <c r="O12" i="30" s="1"/>
  <c r="H37" i="44"/>
  <c r="O8" i="38"/>
  <c r="O12" i="38" s="1"/>
  <c r="F29" i="38"/>
  <c r="I983" i="9"/>
  <c r="O43" i="65"/>
  <c r="P15" i="41"/>
  <c r="G3152" i="9"/>
  <c r="C42" i="44"/>
  <c r="E20" i="40"/>
  <c r="G20" i="40" s="1"/>
  <c r="H1720" i="9"/>
  <c r="H1722" i="9" s="1"/>
  <c r="G26" i="45" s="1"/>
  <c r="C42" i="45"/>
  <c r="H13" i="32"/>
  <c r="Q17" i="32" s="1"/>
  <c r="Q15" i="40"/>
  <c r="R15" i="40" s="1"/>
  <c r="F3266" i="9"/>
  <c r="F3268" i="9" s="1"/>
  <c r="O12" i="41"/>
  <c r="N42" i="65"/>
  <c r="I2468" i="9"/>
  <c r="I2470" i="9" s="1"/>
  <c r="I2562" i="9" s="1"/>
  <c r="O19" i="40" s="1"/>
  <c r="I699" i="9"/>
  <c r="E3139" i="9"/>
  <c r="E3143" i="9" s="1"/>
  <c r="E3147" i="9" s="1"/>
  <c r="I1417" i="9"/>
  <c r="O12" i="40" s="1"/>
  <c r="H22" i="45"/>
  <c r="G10" i="26" s="1"/>
  <c r="C18" i="40"/>
  <c r="D18" i="40" s="1"/>
  <c r="E18" i="40" s="1"/>
  <c r="G18" i="40" s="1"/>
  <c r="F16" i="32"/>
  <c r="O25" i="32" s="1"/>
  <c r="F44" i="65"/>
  <c r="G11" i="65"/>
  <c r="E36" i="9"/>
  <c r="I2677" i="9"/>
  <c r="J2674" i="9"/>
  <c r="J2677" i="9" s="1"/>
  <c r="J2340" i="9"/>
  <c r="I3336" i="9"/>
  <c r="I2345" i="9"/>
  <c r="I2363" i="9" s="1"/>
  <c r="I2384" i="9" s="1"/>
  <c r="I2386" i="9" s="1"/>
  <c r="F64" i="8"/>
  <c r="I64" i="8" s="1"/>
  <c r="F28" i="41"/>
  <c r="N47" i="65" s="1"/>
  <c r="H3166" i="9"/>
  <c r="H1283" i="9"/>
  <c r="G21" i="45"/>
  <c r="G10" i="45"/>
  <c r="H306" i="9"/>
  <c r="H10" i="40" s="1"/>
  <c r="G2195" i="9"/>
  <c r="F32" i="45"/>
  <c r="E15" i="26" s="1"/>
  <c r="E15" i="32" s="1"/>
  <c r="N16" i="32" s="1"/>
  <c r="F11" i="45"/>
  <c r="G399" i="9"/>
  <c r="F35" i="44"/>
  <c r="G2470" i="9"/>
  <c r="G2562" i="9" s="1"/>
  <c r="F13" i="45"/>
  <c r="G561" i="9"/>
  <c r="C64" i="8"/>
  <c r="C68" i="8" s="1"/>
  <c r="C76" i="8" s="1"/>
  <c r="C28" i="41"/>
  <c r="C31" i="41" s="1"/>
  <c r="D3166" i="9"/>
  <c r="D3174" i="9" s="1"/>
  <c r="D3193" i="9" s="1"/>
  <c r="D3197" i="9" s="1"/>
  <c r="D3271" i="9" s="1"/>
  <c r="I820" i="9"/>
  <c r="F12" i="8"/>
  <c r="I12" i="8" s="1"/>
  <c r="D34" i="44"/>
  <c r="D2310" i="9"/>
  <c r="D2388" i="9" s="1"/>
  <c r="P25" i="40"/>
  <c r="Q23" i="30"/>
  <c r="H2865" i="9"/>
  <c r="H21" i="40" s="1"/>
  <c r="G37" i="44"/>
  <c r="I2863" i="9"/>
  <c r="H37" i="45" s="1"/>
  <c r="G19" i="26" s="1"/>
  <c r="D15" i="30"/>
  <c r="D27" i="25"/>
  <c r="I25" i="40"/>
  <c r="J2804" i="9"/>
  <c r="J3372" i="9"/>
  <c r="H38" i="44"/>
  <c r="I2920" i="9"/>
  <c r="I2986" i="9" s="1"/>
  <c r="O22" i="40" s="1"/>
  <c r="G1678" i="9"/>
  <c r="G3121" i="9"/>
  <c r="F1883" i="9"/>
  <c r="F1885" i="9" s="1"/>
  <c r="F3172" i="9"/>
  <c r="F3174" i="9" s="1"/>
  <c r="F3193" i="9" s="1"/>
  <c r="F3197" i="9" s="1"/>
  <c r="F3271" i="9" s="1"/>
  <c r="D29" i="38"/>
  <c r="M8" i="38"/>
  <c r="M12" i="38" s="1"/>
  <c r="F3267" i="9"/>
  <c r="F11" i="32"/>
  <c r="O14" i="32" s="1"/>
  <c r="C13" i="40"/>
  <c r="D13" i="40" s="1"/>
  <c r="E13" i="40" s="1"/>
  <c r="G13" i="40" s="1"/>
  <c r="E12" i="26"/>
  <c r="E12" i="32" s="1"/>
  <c r="N10" i="32" s="1"/>
  <c r="E21" i="40"/>
  <c r="G21" i="40" s="1"/>
  <c r="I38" i="44"/>
  <c r="J2920" i="9"/>
  <c r="J2986" i="9" s="1"/>
  <c r="V22" i="40" s="1"/>
  <c r="S22" i="40" s="1"/>
  <c r="U22" i="40" s="1"/>
  <c r="H12" i="30"/>
  <c r="Q12" i="30" s="1"/>
  <c r="P12" i="65"/>
  <c r="I27" i="45"/>
  <c r="J1780" i="9"/>
  <c r="I18" i="44"/>
  <c r="J1885" i="9"/>
  <c r="V15" i="40" s="1"/>
  <c r="D8" i="71"/>
  <c r="E8" i="71" s="1"/>
  <c r="F8" i="71" s="1"/>
  <c r="B10" i="71" s="1"/>
  <c r="F12" i="26"/>
  <c r="I39" i="45"/>
  <c r="H21" i="26" s="1"/>
  <c r="J3027" i="9"/>
  <c r="J3028" i="9" s="1"/>
  <c r="Q12" i="40"/>
  <c r="R12" i="40" s="1"/>
  <c r="S12" i="40" s="1"/>
  <c r="U12" i="40" s="1"/>
  <c r="H10" i="32"/>
  <c r="Q28" i="32" s="1"/>
  <c r="D15" i="63"/>
  <c r="D16" i="63" s="1"/>
  <c r="E3327" i="9"/>
  <c r="G3379" i="9"/>
  <c r="J2247" i="9"/>
  <c r="J2248" i="9" s="1"/>
  <c r="J2250" i="9" s="1"/>
  <c r="J2258" i="9" s="1"/>
  <c r="J2260" i="9" s="1"/>
  <c r="I33" i="45" s="1"/>
  <c r="I2248" i="9"/>
  <c r="I2250" i="9" s="1"/>
  <c r="I2258" i="9" s="1"/>
  <c r="I2260" i="9" s="1"/>
  <c r="I782" i="9"/>
  <c r="H15" i="45"/>
  <c r="F15" i="45"/>
  <c r="G782" i="9"/>
  <c r="E16" i="44"/>
  <c r="E42" i="44" s="1"/>
  <c r="E3266" i="9"/>
  <c r="E855" i="9"/>
  <c r="H158" i="74"/>
  <c r="G159" i="74"/>
  <c r="H1955" i="9"/>
  <c r="H1963" i="9" s="1"/>
  <c r="H107" i="74"/>
  <c r="I107" i="74" s="1"/>
  <c r="F107" i="74"/>
  <c r="C30" i="8"/>
  <c r="C42" i="8" s="1"/>
  <c r="C78" i="8" s="1"/>
  <c r="C86" i="8" s="1"/>
  <c r="C21" i="25"/>
  <c r="C22" i="30" s="1"/>
  <c r="L11" i="30" s="1"/>
  <c r="D3139" i="9"/>
  <c r="D3143" i="9" s="1"/>
  <c r="D3147" i="9" s="1"/>
  <c r="I33" i="44"/>
  <c r="I2639" i="9"/>
  <c r="I2656" i="9" s="1"/>
  <c r="J2637" i="9"/>
  <c r="I3371" i="9"/>
  <c r="P16" i="41"/>
  <c r="I1675" i="9"/>
  <c r="H1676" i="9"/>
  <c r="Q13" i="41"/>
  <c r="C3210" i="9"/>
  <c r="C3275" i="9"/>
  <c r="H1434" i="9"/>
  <c r="H1463" i="9" s="1"/>
  <c r="H13" i="40" s="1"/>
  <c r="G23" i="44"/>
  <c r="I955" i="9"/>
  <c r="H17" i="45"/>
  <c r="J2845" i="9"/>
  <c r="J821" i="9"/>
  <c r="H14" i="8" s="1"/>
  <c r="G14" i="8"/>
  <c r="B12" i="32"/>
  <c r="B24" i="26"/>
  <c r="B25" i="40"/>
  <c r="J819" i="9"/>
  <c r="I824" i="9"/>
  <c r="G10" i="8"/>
  <c r="G697" i="9"/>
  <c r="G1607" i="9"/>
  <c r="G1609" i="9" s="1"/>
  <c r="G3145" i="9"/>
  <c r="H1607" i="9"/>
  <c r="H1609" i="9" s="1"/>
  <c r="H3131" i="9"/>
  <c r="J1986" i="9"/>
  <c r="J1988" i="9" s="1"/>
  <c r="J696" i="9"/>
  <c r="D10" i="71" l="1"/>
  <c r="E10" i="71" s="1"/>
  <c r="F10" i="71" s="1"/>
  <c r="B11" i="71" s="1"/>
  <c r="F32" i="8"/>
  <c r="I32" i="8" s="1"/>
  <c r="F22" i="25"/>
  <c r="G700" i="9"/>
  <c r="G702" i="9" s="1"/>
  <c r="G3195" i="9"/>
  <c r="G29" i="45"/>
  <c r="F14" i="26" s="1"/>
  <c r="H1965" i="9"/>
  <c r="H16" i="40" s="1"/>
  <c r="Q23" i="40"/>
  <c r="R23" i="40" s="1"/>
  <c r="H21" i="32"/>
  <c r="Q29" i="32" s="1"/>
  <c r="E16" i="25"/>
  <c r="E17" i="30" s="1"/>
  <c r="N21" i="30" s="1"/>
  <c r="E22" i="8"/>
  <c r="E42" i="8" s="1"/>
  <c r="G19" i="32"/>
  <c r="P9" i="32" s="1"/>
  <c r="J21" i="40"/>
  <c r="K21" i="40" s="1"/>
  <c r="F8" i="26"/>
  <c r="G47" i="65"/>
  <c r="D47" i="65"/>
  <c r="K47" i="65"/>
  <c r="I47" i="65"/>
  <c r="J47" i="65"/>
  <c r="M47" i="65"/>
  <c r="E47" i="65"/>
  <c r="L47" i="65"/>
  <c r="H47" i="65"/>
  <c r="F47" i="65"/>
  <c r="C47" i="65"/>
  <c r="B47" i="65"/>
  <c r="J2345" i="9"/>
  <c r="J2363" i="9" s="1"/>
  <c r="J2384" i="9" s="1"/>
  <c r="J2386" i="9" s="1"/>
  <c r="J3336" i="9"/>
  <c r="J3354" i="9" s="1"/>
  <c r="E3267" i="9"/>
  <c r="E3268" i="9" s="1"/>
  <c r="H18" i="44"/>
  <c r="I1002" i="9"/>
  <c r="E1157" i="9"/>
  <c r="E1164" i="9" s="1"/>
  <c r="E3152" i="9"/>
  <c r="C8" i="26"/>
  <c r="D42" i="45"/>
  <c r="J3135" i="9"/>
  <c r="J832" i="9"/>
  <c r="G855" i="9"/>
  <c r="F16" i="44"/>
  <c r="G3266" i="9"/>
  <c r="E8" i="26"/>
  <c r="H3030" i="9"/>
  <c r="H3133" i="9"/>
  <c r="F23" i="45"/>
  <c r="E11" i="26" s="1"/>
  <c r="E11" i="32" s="1"/>
  <c r="N14" i="32" s="1"/>
  <c r="G1463" i="9"/>
  <c r="J3362" i="9"/>
  <c r="J1701" i="9"/>
  <c r="J1712" i="9" s="1"/>
  <c r="J1720" i="9" s="1"/>
  <c r="J1722" i="9" s="1"/>
  <c r="I26" i="45" s="1"/>
  <c r="H32" i="45"/>
  <c r="I2195" i="9"/>
  <c r="I3154" i="9"/>
  <c r="I82" i="9"/>
  <c r="I99" i="9" s="1"/>
  <c r="F18" i="8"/>
  <c r="H828" i="9"/>
  <c r="G25" i="44"/>
  <c r="H1653" i="9"/>
  <c r="J2863" i="9"/>
  <c r="H3121" i="9"/>
  <c r="H1678" i="9"/>
  <c r="J2262" i="9"/>
  <c r="H159" i="74"/>
  <c r="I159" i="74" s="1"/>
  <c r="G172" i="74"/>
  <c r="H172" i="74" s="1"/>
  <c r="I172" i="74" s="1"/>
  <c r="C14" i="40"/>
  <c r="D14" i="40" s="1"/>
  <c r="F12" i="32"/>
  <c r="O10" i="32" s="1"/>
  <c r="F26" i="44"/>
  <c r="G1724" i="9"/>
  <c r="G3166" i="9"/>
  <c r="G3174" i="9" s="1"/>
  <c r="G3193" i="9" s="1"/>
  <c r="G3197" i="9" s="1"/>
  <c r="G3271" i="9" s="1"/>
  <c r="E54" i="8"/>
  <c r="E9" i="41"/>
  <c r="G3316" i="9"/>
  <c r="G3317" i="9" s="1"/>
  <c r="I2865" i="9"/>
  <c r="O21" i="40" s="1"/>
  <c r="C27" i="25"/>
  <c r="I29" i="45"/>
  <c r="J1965" i="9"/>
  <c r="J686" i="9"/>
  <c r="E3297" i="9"/>
  <c r="E3315" i="9" s="1"/>
  <c r="D32" i="63"/>
  <c r="D37" i="63" s="1"/>
  <c r="D64" i="63" s="1"/>
  <c r="J1556" i="9"/>
  <c r="I24" i="45"/>
  <c r="H12" i="26" s="1"/>
  <c r="I832" i="9"/>
  <c r="I3135" i="9"/>
  <c r="G3139" i="9"/>
  <c r="G3143" i="9" s="1"/>
  <c r="G3147" i="9" s="1"/>
  <c r="E9" i="25"/>
  <c r="H29" i="45"/>
  <c r="I1965" i="9"/>
  <c r="C23" i="40"/>
  <c r="D23" i="40" s="1"/>
  <c r="F21" i="32"/>
  <c r="O29" i="32" s="1"/>
  <c r="E64" i="8"/>
  <c r="E28" i="41"/>
  <c r="I1166" i="9"/>
  <c r="H20" i="45"/>
  <c r="J36" i="9"/>
  <c r="J3320" i="9"/>
  <c r="H847" i="9"/>
  <c r="H853" i="9" s="1"/>
  <c r="G16" i="45" s="1"/>
  <c r="H3168" i="9"/>
  <c r="K10" i="32"/>
  <c r="K18" i="32" s="1"/>
  <c r="B24" i="32"/>
  <c r="J1675" i="9"/>
  <c r="J1676" i="9" s="1"/>
  <c r="I1676" i="9"/>
  <c r="I3162" i="9"/>
  <c r="J1002" i="9"/>
  <c r="H34" i="45"/>
  <c r="G16" i="26" s="1"/>
  <c r="I2307" i="9"/>
  <c r="I11" i="65"/>
  <c r="H11" i="65"/>
  <c r="H44" i="65" s="1"/>
  <c r="G44" i="65"/>
  <c r="L23" i="30"/>
  <c r="L26" i="30" s="1"/>
  <c r="L13" i="30"/>
  <c r="L14" i="30" s="1"/>
  <c r="C30" i="30"/>
  <c r="Q29" i="41"/>
  <c r="P41" i="65"/>
  <c r="J3152" i="9"/>
  <c r="J1459" i="9"/>
  <c r="J1461" i="9" s="1"/>
  <c r="F704" i="9"/>
  <c r="F3274" i="9" s="1"/>
  <c r="F3270" i="9"/>
  <c r="F3272" i="9" s="1"/>
  <c r="J1283" i="9"/>
  <c r="I21" i="45"/>
  <c r="J1166" i="9"/>
  <c r="I20" i="45"/>
  <c r="J3162" i="9"/>
  <c r="C19" i="40"/>
  <c r="D19" i="40" s="1"/>
  <c r="F17" i="32"/>
  <c r="O26" i="32" s="1"/>
  <c r="O30" i="32" s="1"/>
  <c r="O13" i="32" s="1"/>
  <c r="F25" i="44"/>
  <c r="G1653" i="9"/>
  <c r="H10" i="8"/>
  <c r="I2679" i="9"/>
  <c r="I2685" i="9" s="1"/>
  <c r="D3267" i="9"/>
  <c r="D3199" i="9"/>
  <c r="H33" i="45"/>
  <c r="I2262" i="9"/>
  <c r="J3030" i="9"/>
  <c r="J3133" i="9"/>
  <c r="F3199" i="9"/>
  <c r="M25" i="30"/>
  <c r="M26" i="30" s="1"/>
  <c r="M13" i="30"/>
  <c r="M14" i="30" s="1"/>
  <c r="D30" i="30"/>
  <c r="J820" i="9"/>
  <c r="H12" i="8" s="1"/>
  <c r="G12" i="8"/>
  <c r="H3174" i="9"/>
  <c r="H3193" i="9" s="1"/>
  <c r="I3354" i="9"/>
  <c r="E3154" i="9"/>
  <c r="E82" i="9"/>
  <c r="E99" i="9" s="1"/>
  <c r="L42" i="65"/>
  <c r="D42" i="65"/>
  <c r="D49" i="65" s="1"/>
  <c r="K42" i="65"/>
  <c r="B42" i="65"/>
  <c r="B49" i="65" s="1"/>
  <c r="I42" i="65"/>
  <c r="E42" i="65"/>
  <c r="E49" i="65" s="1"/>
  <c r="C42" i="65"/>
  <c r="C49" i="65" s="1"/>
  <c r="M42" i="65"/>
  <c r="M49" i="65" s="1"/>
  <c r="J42" i="65"/>
  <c r="G42" i="65"/>
  <c r="G49" i="65" s="1"/>
  <c r="H42" i="65"/>
  <c r="H49" i="65" s="1"/>
  <c r="F42" i="65"/>
  <c r="F49" i="65" s="1"/>
  <c r="N49" i="65"/>
  <c r="D3272" i="9"/>
  <c r="J23" i="40"/>
  <c r="K23" i="40" s="1"/>
  <c r="G21" i="32"/>
  <c r="P29" i="32" s="1"/>
  <c r="L19" i="40"/>
  <c r="N19" i="40" s="1"/>
  <c r="N25" i="30"/>
  <c r="N13" i="30"/>
  <c r="D42" i="44"/>
  <c r="I1257" i="9"/>
  <c r="I1281" i="9" s="1"/>
  <c r="I3156" i="9"/>
  <c r="I31" i="45"/>
  <c r="J2105" i="9"/>
  <c r="I32" i="45"/>
  <c r="H15" i="26" s="1"/>
  <c r="J2195" i="9"/>
  <c r="V17" i="40" s="1"/>
  <c r="G13" i="63"/>
  <c r="G16" i="63" s="1"/>
  <c r="G64" i="63" s="1"/>
  <c r="I3327" i="9"/>
  <c r="I696" i="9"/>
  <c r="I1986" i="9"/>
  <c r="I1988" i="9" s="1"/>
  <c r="I3145" i="9"/>
  <c r="G12" i="32"/>
  <c r="P10" i="32" s="1"/>
  <c r="J14" i="40"/>
  <c r="K14" i="40" s="1"/>
  <c r="H2468" i="9"/>
  <c r="H2470" i="9" s="1"/>
  <c r="H2562" i="9" s="1"/>
  <c r="H19" i="40" s="1"/>
  <c r="H699" i="9"/>
  <c r="H3145" i="9"/>
  <c r="J2006" i="9"/>
  <c r="I30" i="44"/>
  <c r="I827" i="9"/>
  <c r="I839" i="9"/>
  <c r="I840" i="9" s="1"/>
  <c r="I3115" i="9"/>
  <c r="J2639" i="9"/>
  <c r="J2656" i="9" s="1"/>
  <c r="J2679" i="9" s="1"/>
  <c r="J2685" i="9" s="1"/>
  <c r="J3371" i="9"/>
  <c r="G10" i="32"/>
  <c r="P28" i="32" s="1"/>
  <c r="J12" i="40"/>
  <c r="K12" i="40" s="1"/>
  <c r="L12" i="40" s="1"/>
  <c r="N12" i="40" s="1"/>
  <c r="S15" i="40"/>
  <c r="U15" i="40" s="1"/>
  <c r="G3355" i="9"/>
  <c r="G3356" i="9" s="1"/>
  <c r="G3377" i="9" s="1"/>
  <c r="E14" i="41"/>
  <c r="N12" i="41" s="1"/>
  <c r="E58" i="8"/>
  <c r="C2562" i="9"/>
  <c r="C3274" i="9" s="1"/>
  <c r="C3276" i="9" s="1"/>
  <c r="C3266" i="9"/>
  <c r="C3268" i="9" s="1"/>
  <c r="D3274" i="9"/>
  <c r="I3030" i="9"/>
  <c r="I3133" i="9"/>
  <c r="D3268" i="9"/>
  <c r="I35" i="45"/>
  <c r="H17" i="26" s="1"/>
  <c r="J2467" i="9"/>
  <c r="H31" i="45"/>
  <c r="I2105" i="9"/>
  <c r="I3376" i="9"/>
  <c r="F9" i="25"/>
  <c r="D11" i="71" l="1"/>
  <c r="E11" i="71" s="1"/>
  <c r="F11" i="71"/>
  <c r="B12" i="71" s="1"/>
  <c r="N9" i="65"/>
  <c r="F9" i="30"/>
  <c r="I36" i="45"/>
  <c r="H18" i="26" s="1"/>
  <c r="J2687" i="9"/>
  <c r="V20" i="40" s="1"/>
  <c r="G18" i="8"/>
  <c r="I828" i="9"/>
  <c r="H700" i="9"/>
  <c r="H702" i="9" s="1"/>
  <c r="H3195" i="9"/>
  <c r="Q17" i="40"/>
  <c r="R17" i="40" s="1"/>
  <c r="S17" i="40" s="1"/>
  <c r="U17" i="40" s="1"/>
  <c r="H15" i="32"/>
  <c r="Q16" i="32" s="1"/>
  <c r="H21" i="45"/>
  <c r="I1283" i="9"/>
  <c r="H3197" i="9"/>
  <c r="H3271" i="9" s="1"/>
  <c r="I2687" i="9"/>
  <c r="O20" i="40" s="1"/>
  <c r="H36" i="45"/>
  <c r="G18" i="26" s="1"/>
  <c r="H54" i="8"/>
  <c r="H9" i="41"/>
  <c r="J3316" i="9"/>
  <c r="J3317" i="9" s="1"/>
  <c r="I44" i="65"/>
  <c r="I49" i="65" s="1"/>
  <c r="J11" i="65"/>
  <c r="G64" i="8"/>
  <c r="G28" i="41"/>
  <c r="O47" i="65" s="1"/>
  <c r="J3327" i="9"/>
  <c r="H13" i="63"/>
  <c r="H16" i="63" s="1"/>
  <c r="H64" i="63" s="1"/>
  <c r="G3267" i="9"/>
  <c r="G3199" i="9"/>
  <c r="H1724" i="9"/>
  <c r="H14" i="40" s="1"/>
  <c r="E14" i="40" s="1"/>
  <c r="G14" i="40" s="1"/>
  <c r="G26" i="44"/>
  <c r="I101" i="9"/>
  <c r="H8" i="45"/>
  <c r="F34" i="8"/>
  <c r="I34" i="8" s="1"/>
  <c r="F15" i="25"/>
  <c r="G3268" i="9"/>
  <c r="H36" i="8"/>
  <c r="H24" i="25"/>
  <c r="H21" i="30" s="1"/>
  <c r="C8" i="32"/>
  <c r="C24" i="26"/>
  <c r="N26" i="30"/>
  <c r="J699" i="9"/>
  <c r="J2468" i="9"/>
  <c r="J2470" i="9" s="1"/>
  <c r="J2562" i="9" s="1"/>
  <c r="V19" i="40" s="1"/>
  <c r="H39" i="44"/>
  <c r="I3061" i="9"/>
  <c r="O23" i="40" s="1"/>
  <c r="E101" i="9"/>
  <c r="E3270" i="9"/>
  <c r="E8" i="45"/>
  <c r="H15" i="25"/>
  <c r="H34" i="8"/>
  <c r="I2308" i="9"/>
  <c r="I2310" i="9" s="1"/>
  <c r="I2388" i="9" s="1"/>
  <c r="O18" i="40" s="1"/>
  <c r="I698" i="9"/>
  <c r="I1678" i="9"/>
  <c r="I3121" i="9"/>
  <c r="J3154" i="9"/>
  <c r="J82" i="9"/>
  <c r="J99" i="9" s="1"/>
  <c r="G24" i="25"/>
  <c r="G36" i="8"/>
  <c r="V16" i="40"/>
  <c r="F22" i="8"/>
  <c r="I22" i="8" s="1"/>
  <c r="F16" i="25"/>
  <c r="G56" i="8"/>
  <c r="G10" i="41"/>
  <c r="I3329" i="9"/>
  <c r="I3166" i="9"/>
  <c r="J3376" i="9"/>
  <c r="G39" i="44"/>
  <c r="H3061" i="9"/>
  <c r="H23" i="40" s="1"/>
  <c r="E23" i="40" s="1"/>
  <c r="G23" i="40" s="1"/>
  <c r="F42" i="44"/>
  <c r="D54" i="8"/>
  <c r="E3166" i="9"/>
  <c r="E3174" i="9" s="1"/>
  <c r="E3193" i="9" s="1"/>
  <c r="E3197" i="9" s="1"/>
  <c r="E3316" i="9"/>
  <c r="D9" i="41"/>
  <c r="J3379" i="9"/>
  <c r="L21" i="40"/>
  <c r="N21" i="40" s="1"/>
  <c r="F14" i="45"/>
  <c r="G704" i="9"/>
  <c r="G3274" i="9" s="1"/>
  <c r="G3270" i="9"/>
  <c r="G3272" i="9" s="1"/>
  <c r="G15" i="25"/>
  <c r="G34" i="8"/>
  <c r="I3330" i="9"/>
  <c r="Q19" i="40"/>
  <c r="R19" i="40" s="1"/>
  <c r="S19" i="40" s="1"/>
  <c r="U19" i="40" s="1"/>
  <c r="H17" i="32"/>
  <c r="Q26" i="32" s="1"/>
  <c r="G9" i="25"/>
  <c r="I2006" i="9"/>
  <c r="O16" i="40" s="1"/>
  <c r="H30" i="44"/>
  <c r="L23" i="40"/>
  <c r="N23" i="40" s="1"/>
  <c r="D56" i="8"/>
  <c r="I56" i="8" s="1"/>
  <c r="E3329" i="9"/>
  <c r="E3330" i="9" s="1"/>
  <c r="D10" i="41"/>
  <c r="M28" i="41" s="1"/>
  <c r="M31" i="41" s="1"/>
  <c r="M11" i="41" s="1"/>
  <c r="J3061" i="9"/>
  <c r="V23" i="40" s="1"/>
  <c r="I39" i="44"/>
  <c r="D3210" i="9"/>
  <c r="D3275" i="9"/>
  <c r="D3276" i="9" s="1"/>
  <c r="J824" i="9"/>
  <c r="E19" i="40"/>
  <c r="G19" i="40" s="1"/>
  <c r="J18" i="40"/>
  <c r="K18" i="40" s="1"/>
  <c r="L18" i="40" s="1"/>
  <c r="N18" i="40" s="1"/>
  <c r="G16" i="32"/>
  <c r="P25" i="32" s="1"/>
  <c r="J1678" i="9"/>
  <c r="J3121" i="9"/>
  <c r="F70" i="8"/>
  <c r="F11" i="41"/>
  <c r="G14" i="26"/>
  <c r="E3317" i="9"/>
  <c r="H14" i="26"/>
  <c r="E31" i="41"/>
  <c r="N9" i="41"/>
  <c r="N17" i="41" s="1"/>
  <c r="I37" i="45"/>
  <c r="H19" i="26" s="1"/>
  <c r="J2865" i="9"/>
  <c r="V21" i="40" s="1"/>
  <c r="H3117" i="9"/>
  <c r="H834" i="9"/>
  <c r="O17" i="40"/>
  <c r="E20" i="45"/>
  <c r="D9" i="26" s="1"/>
  <c r="D9" i="32" s="1"/>
  <c r="M11" i="32" s="1"/>
  <c r="E1166" i="9"/>
  <c r="I34" i="45"/>
  <c r="H16" i="26" s="1"/>
  <c r="J2307" i="9"/>
  <c r="S23" i="40"/>
  <c r="U23" i="40" s="1"/>
  <c r="C16" i="40"/>
  <c r="D16" i="40" s="1"/>
  <c r="E16" i="40" s="1"/>
  <c r="G16" i="40" s="1"/>
  <c r="F14" i="32"/>
  <c r="O12" i="32" s="1"/>
  <c r="F22" i="30"/>
  <c r="O11" i="30" s="1"/>
  <c r="N21" i="65"/>
  <c r="I3168" i="9"/>
  <c r="I847" i="9"/>
  <c r="I853" i="9" s="1"/>
  <c r="H16" i="45" s="1"/>
  <c r="I700" i="9"/>
  <c r="I702" i="9" s="1"/>
  <c r="I3195" i="9"/>
  <c r="I3355" i="9"/>
  <c r="G58" i="8"/>
  <c r="G14" i="41"/>
  <c r="I3356" i="9"/>
  <c r="I3377" i="9" s="1"/>
  <c r="I3379" i="9"/>
  <c r="F3210" i="9"/>
  <c r="F3275" i="9"/>
  <c r="F3276" i="9" s="1"/>
  <c r="H64" i="8"/>
  <c r="H28" i="41"/>
  <c r="P47" i="65" s="1"/>
  <c r="I23" i="45"/>
  <c r="H11" i="26" s="1"/>
  <c r="J1431" i="9"/>
  <c r="J1432" i="9" s="1"/>
  <c r="E27" i="25"/>
  <c r="E9" i="30"/>
  <c r="H12" i="32"/>
  <c r="Q10" i="32" s="1"/>
  <c r="Q14" i="40"/>
  <c r="R14" i="40" s="1"/>
  <c r="J3156" i="9"/>
  <c r="E68" i="8"/>
  <c r="E76" i="8" s="1"/>
  <c r="I18" i="8"/>
  <c r="F42" i="8"/>
  <c r="G15" i="26"/>
  <c r="E8" i="32"/>
  <c r="F8" i="32"/>
  <c r="C10" i="40"/>
  <c r="E78" i="8"/>
  <c r="E86" i="8" s="1"/>
  <c r="N15" i="32" l="1"/>
  <c r="I42" i="8"/>
  <c r="J1434" i="9"/>
  <c r="J1463" i="9" s="1"/>
  <c r="V13" i="40" s="1"/>
  <c r="I23" i="44"/>
  <c r="J3131" i="9"/>
  <c r="P12" i="41"/>
  <c r="O42" i="65"/>
  <c r="H14" i="45"/>
  <c r="G9" i="26" s="1"/>
  <c r="I704" i="9"/>
  <c r="H14" i="32"/>
  <c r="Q12" i="32" s="1"/>
  <c r="Q16" i="40"/>
  <c r="R16" i="40" s="1"/>
  <c r="S16" i="40" s="1"/>
  <c r="U16" i="40" s="1"/>
  <c r="I70" i="8"/>
  <c r="F76" i="8"/>
  <c r="E3271" i="9"/>
  <c r="E3199" i="9"/>
  <c r="P28" i="41"/>
  <c r="O40" i="65"/>
  <c r="O49" i="65" s="1"/>
  <c r="I8" i="45"/>
  <c r="J101" i="9"/>
  <c r="H15" i="30"/>
  <c r="P15" i="65"/>
  <c r="G8" i="26"/>
  <c r="H42" i="45"/>
  <c r="J44" i="65"/>
  <c r="J49" i="65" s="1"/>
  <c r="K11" i="65"/>
  <c r="Q9" i="41"/>
  <c r="P39" i="65"/>
  <c r="D9" i="65"/>
  <c r="I9" i="65"/>
  <c r="E9" i="65"/>
  <c r="G9" i="65"/>
  <c r="F9" i="65"/>
  <c r="H9" i="65"/>
  <c r="C9" i="65"/>
  <c r="J9" i="65"/>
  <c r="B9" i="65"/>
  <c r="J698" i="9"/>
  <c r="J2308" i="9"/>
  <c r="J2310" i="9" s="1"/>
  <c r="J2388" i="9" s="1"/>
  <c r="V18" i="40" s="1"/>
  <c r="J3145" i="9"/>
  <c r="H19" i="32"/>
  <c r="Q9" i="32" s="1"/>
  <c r="Q21" i="40"/>
  <c r="R21" i="40" s="1"/>
  <c r="S21" i="40" s="1"/>
  <c r="U21" i="40" s="1"/>
  <c r="H22" i="8"/>
  <c r="H16" i="25"/>
  <c r="O9" i="65"/>
  <c r="G9" i="30"/>
  <c r="D68" i="8"/>
  <c r="I54" i="8"/>
  <c r="G68" i="8"/>
  <c r="H56" i="8"/>
  <c r="H10" i="41"/>
  <c r="J3329" i="9"/>
  <c r="J3330" i="9" s="1"/>
  <c r="D8" i="26"/>
  <c r="E42" i="45"/>
  <c r="I3270" i="9"/>
  <c r="I3272" i="9" s="1"/>
  <c r="G3275" i="9"/>
  <c r="G3276" i="9" s="1"/>
  <c r="G3210" i="9"/>
  <c r="G14" i="45"/>
  <c r="H3270" i="9"/>
  <c r="H3272" i="9" s="1"/>
  <c r="H704" i="9"/>
  <c r="Q20" i="40"/>
  <c r="R20" i="40" s="1"/>
  <c r="S20" i="40" s="1"/>
  <c r="U20" i="40" s="1"/>
  <c r="H18" i="32"/>
  <c r="Q27" i="32" s="1"/>
  <c r="F12" i="71"/>
  <c r="B13" i="71" s="1"/>
  <c r="D12" i="71"/>
  <c r="E12" i="71" s="1"/>
  <c r="H11" i="32"/>
  <c r="Q14" i="32" s="1"/>
  <c r="Q13" i="40"/>
  <c r="R13" i="40" s="1"/>
  <c r="S13" i="40" s="1"/>
  <c r="U13" i="40" s="1"/>
  <c r="D10" i="40"/>
  <c r="J17" i="40"/>
  <c r="K17" i="40" s="1"/>
  <c r="L17" i="40" s="1"/>
  <c r="N17" i="40" s="1"/>
  <c r="G15" i="32"/>
  <c r="P16" i="32" s="1"/>
  <c r="N10" i="30"/>
  <c r="N14" i="30" s="1"/>
  <c r="E30" i="30"/>
  <c r="G70" i="8"/>
  <c r="G11" i="41"/>
  <c r="P23" i="41" s="1"/>
  <c r="P31" i="41" s="1"/>
  <c r="P11" i="41" s="1"/>
  <c r="P17" i="41" s="1"/>
  <c r="Q18" i="40"/>
  <c r="R18" i="40" s="1"/>
  <c r="S18" i="40" s="1"/>
  <c r="U18" i="40" s="1"/>
  <c r="H16" i="32"/>
  <c r="Q25" i="32" s="1"/>
  <c r="H855" i="9"/>
  <c r="G16" i="44"/>
  <c r="G42" i="44" s="1"/>
  <c r="H3266" i="9"/>
  <c r="J16" i="40"/>
  <c r="K16" i="40" s="1"/>
  <c r="L16" i="40" s="1"/>
  <c r="N16" i="40" s="1"/>
  <c r="G14" i="32"/>
  <c r="P12" i="32" s="1"/>
  <c r="I26" i="44"/>
  <c r="J1724" i="9"/>
  <c r="V14" i="40" s="1"/>
  <c r="S14" i="40" s="1"/>
  <c r="U14" i="40" s="1"/>
  <c r="E9" i="26"/>
  <c r="F42" i="45"/>
  <c r="M9" i="41"/>
  <c r="M17" i="41" s="1"/>
  <c r="D31" i="41"/>
  <c r="I3174" i="9"/>
  <c r="I3193" i="9" s="1"/>
  <c r="I3197" i="9" s="1"/>
  <c r="I3271" i="9" s="1"/>
  <c r="N16" i="65"/>
  <c r="F17" i="30"/>
  <c r="O21" i="30" s="1"/>
  <c r="G21" i="30"/>
  <c r="O21" i="65"/>
  <c r="G22" i="8"/>
  <c r="G42" i="8" s="1"/>
  <c r="G16" i="25"/>
  <c r="E3272" i="9"/>
  <c r="L15" i="32"/>
  <c r="L18" i="32" s="1"/>
  <c r="C24" i="32"/>
  <c r="N15" i="65"/>
  <c r="F15" i="30"/>
  <c r="O10" i="40"/>
  <c r="J3166" i="9"/>
  <c r="G18" i="32"/>
  <c r="P27" i="32" s="1"/>
  <c r="P30" i="32" s="1"/>
  <c r="P13" i="32" s="1"/>
  <c r="J20" i="40"/>
  <c r="K20" i="40" s="1"/>
  <c r="L20" i="40" s="1"/>
  <c r="N20" i="40" s="1"/>
  <c r="I3117" i="9"/>
  <c r="I834" i="9"/>
  <c r="O15" i="32"/>
  <c r="H14" i="41"/>
  <c r="H58" i="8"/>
  <c r="H68" i="8" s="1"/>
  <c r="J3355" i="9"/>
  <c r="J3356" i="9" s="1"/>
  <c r="J3377" i="9" s="1"/>
  <c r="H21" i="65"/>
  <c r="E21" i="65"/>
  <c r="K21" i="65"/>
  <c r="B21" i="65"/>
  <c r="F10" i="25"/>
  <c r="H3139" i="9"/>
  <c r="H3143" i="9" s="1"/>
  <c r="H3147" i="9" s="1"/>
  <c r="O23" i="41"/>
  <c r="O31" i="41" s="1"/>
  <c r="O11" i="41" s="1"/>
  <c r="O17" i="41" s="1"/>
  <c r="F31" i="41"/>
  <c r="J827" i="9"/>
  <c r="J839" i="9"/>
  <c r="J840" i="9" s="1"/>
  <c r="J3115" i="9"/>
  <c r="O15" i="65"/>
  <c r="G15" i="30"/>
  <c r="H26" i="44"/>
  <c r="I1724" i="9"/>
  <c r="O14" i="40" s="1"/>
  <c r="L14" i="40" s="1"/>
  <c r="N14" i="40" s="1"/>
  <c r="E3274" i="9"/>
  <c r="I3266" i="9" l="1"/>
  <c r="H16" i="44"/>
  <c r="H42" i="44" s="1"/>
  <c r="I855" i="9"/>
  <c r="I3274" i="9" s="1"/>
  <c r="J15" i="65"/>
  <c r="I15" i="65"/>
  <c r="F15" i="65"/>
  <c r="M15" i="65"/>
  <c r="L15" i="65"/>
  <c r="H15" i="65"/>
  <c r="C15" i="65"/>
  <c r="E15" i="65"/>
  <c r="G15" i="65"/>
  <c r="K15" i="65"/>
  <c r="D15" i="65"/>
  <c r="B15" i="65"/>
  <c r="F9" i="26"/>
  <c r="G42" i="45"/>
  <c r="V10" i="40"/>
  <c r="H3267" i="9"/>
  <c r="H3199" i="9"/>
  <c r="Q28" i="41"/>
  <c r="P40" i="65"/>
  <c r="G8" i="32"/>
  <c r="J10" i="40"/>
  <c r="G24" i="26"/>
  <c r="O11" i="40"/>
  <c r="H32" i="8"/>
  <c r="H22" i="25"/>
  <c r="H9" i="25"/>
  <c r="F10" i="30"/>
  <c r="N10" i="65"/>
  <c r="F27" i="25"/>
  <c r="O25" i="40"/>
  <c r="E9" i="32"/>
  <c r="E24" i="26"/>
  <c r="Q30" i="32"/>
  <c r="Q13" i="32" s="1"/>
  <c r="E10" i="40"/>
  <c r="H11" i="40"/>
  <c r="H25" i="40" s="1"/>
  <c r="H3274" i="9"/>
  <c r="H17" i="30"/>
  <c r="Q21" i="30" s="1"/>
  <c r="P16" i="65"/>
  <c r="L11" i="65"/>
  <c r="L44" i="65" s="1"/>
  <c r="L49" i="65" s="1"/>
  <c r="K44" i="65"/>
  <c r="K49" i="65" s="1"/>
  <c r="H8" i="26"/>
  <c r="E3275" i="9"/>
  <c r="E3210" i="9"/>
  <c r="G9" i="32"/>
  <c r="P11" i="32" s="1"/>
  <c r="J11" i="40"/>
  <c r="K11" i="40" s="1"/>
  <c r="L11" i="40" s="1"/>
  <c r="N11" i="40" s="1"/>
  <c r="F78" i="8"/>
  <c r="P25" i="30"/>
  <c r="O16" i="65"/>
  <c r="G17" i="30"/>
  <c r="P21" i="30" s="1"/>
  <c r="J700" i="9"/>
  <c r="J702" i="9" s="1"/>
  <c r="J3195" i="9"/>
  <c r="E3276" i="9"/>
  <c r="H18" i="8"/>
  <c r="H42" i="8" s="1"/>
  <c r="J828" i="9"/>
  <c r="Q12" i="41"/>
  <c r="P42" i="65"/>
  <c r="P49" i="65" s="1"/>
  <c r="G10" i="25"/>
  <c r="I3139" i="9"/>
  <c r="I3143" i="9" s="1"/>
  <c r="I3147" i="9" s="1"/>
  <c r="F16" i="65"/>
  <c r="I16" i="65"/>
  <c r="L16" i="65"/>
  <c r="G16" i="65"/>
  <c r="C16" i="65"/>
  <c r="D16" i="65"/>
  <c r="H16" i="65"/>
  <c r="J16" i="65"/>
  <c r="K16" i="65"/>
  <c r="E16" i="65"/>
  <c r="M16" i="65"/>
  <c r="B16" i="65"/>
  <c r="D76" i="8"/>
  <c r="D78" i="8" s="1"/>
  <c r="D86" i="8" s="1"/>
  <c r="I68" i="8"/>
  <c r="J3168" i="9"/>
  <c r="J847" i="9"/>
  <c r="J853" i="9" s="1"/>
  <c r="I16" i="45" s="1"/>
  <c r="O25" i="30"/>
  <c r="O26" i="30" s="1"/>
  <c r="O13" i="30"/>
  <c r="H3268" i="9"/>
  <c r="F13" i="71"/>
  <c r="B14" i="71" s="1"/>
  <c r="D13" i="71"/>
  <c r="E13" i="71" s="1"/>
  <c r="D8" i="32"/>
  <c r="D24" i="26"/>
  <c r="G76" i="8"/>
  <c r="G78" i="8" s="1"/>
  <c r="G86" i="8" s="1"/>
  <c r="Q25" i="30"/>
  <c r="Q13" i="30"/>
  <c r="G31" i="41"/>
  <c r="D14" i="71" l="1"/>
  <c r="E14" i="71" s="1"/>
  <c r="F14" i="71"/>
  <c r="B15" i="71" s="1"/>
  <c r="P9" i="65"/>
  <c r="H9" i="30"/>
  <c r="H11" i="41"/>
  <c r="H70" i="8"/>
  <c r="H76" i="8" s="1"/>
  <c r="H78" i="8" s="1"/>
  <c r="H86" i="8" s="1"/>
  <c r="P26" i="30"/>
  <c r="H10" i="65"/>
  <c r="H27" i="65" s="1"/>
  <c r="H59" i="65" s="1"/>
  <c r="F10" i="65"/>
  <c r="F27" i="65" s="1"/>
  <c r="F59" i="65" s="1"/>
  <c r="B10" i="65"/>
  <c r="B27" i="65" s="1"/>
  <c r="B59" i="65" s="1"/>
  <c r="I10" i="65"/>
  <c r="I27" i="65" s="1"/>
  <c r="I59" i="65" s="1"/>
  <c r="D10" i="65"/>
  <c r="D27" i="65" s="1"/>
  <c r="D59" i="65" s="1"/>
  <c r="G10" i="65"/>
  <c r="G27" i="65" s="1"/>
  <c r="G59" i="65" s="1"/>
  <c r="C10" i="65"/>
  <c r="C27" i="65" s="1"/>
  <c r="C59" i="65" s="1"/>
  <c r="M10" i="65"/>
  <c r="M27" i="65" s="1"/>
  <c r="M59" i="65" s="1"/>
  <c r="L10" i="65"/>
  <c r="L27" i="65" s="1"/>
  <c r="L59" i="65" s="1"/>
  <c r="J10" i="65"/>
  <c r="J27" i="65" s="1"/>
  <c r="J59" i="65" s="1"/>
  <c r="K10" i="65"/>
  <c r="K27" i="65" s="1"/>
  <c r="K59" i="65" s="1"/>
  <c r="E10" i="65"/>
  <c r="E27" i="65" s="1"/>
  <c r="E59" i="65" s="1"/>
  <c r="N27" i="65"/>
  <c r="N59" i="65" s="1"/>
  <c r="P21" i="65"/>
  <c r="H22" i="30"/>
  <c r="Q11" i="30" s="1"/>
  <c r="J25" i="40"/>
  <c r="K10" i="40"/>
  <c r="C11" i="40"/>
  <c r="F9" i="32"/>
  <c r="F24" i="26"/>
  <c r="H3275" i="9"/>
  <c r="H3276" i="9" s="1"/>
  <c r="H3210" i="9"/>
  <c r="P13" i="30"/>
  <c r="M15" i="32"/>
  <c r="M18" i="32" s="1"/>
  <c r="D24" i="32"/>
  <c r="I78" i="8"/>
  <c r="F86" i="8"/>
  <c r="I86" i="8" s="1"/>
  <c r="N11" i="32"/>
  <c r="N18" i="32" s="1"/>
  <c r="E24" i="32"/>
  <c r="O10" i="30"/>
  <c r="O14" i="30" s="1"/>
  <c r="F30" i="30"/>
  <c r="P15" i="32"/>
  <c r="P18" i="32" s="1"/>
  <c r="G24" i="32"/>
  <c r="I76" i="8"/>
  <c r="G10" i="30"/>
  <c r="O10" i="65"/>
  <c r="O27" i="65" s="1"/>
  <c r="O59" i="65" s="1"/>
  <c r="G27" i="25"/>
  <c r="I14" i="45"/>
  <c r="J704" i="9"/>
  <c r="J3270" i="9"/>
  <c r="J3272" i="9" s="1"/>
  <c r="Q10" i="40"/>
  <c r="H8" i="32"/>
  <c r="I3267" i="9"/>
  <c r="I3268" i="9" s="1"/>
  <c r="I3199" i="9"/>
  <c r="J3117" i="9"/>
  <c r="J834" i="9"/>
  <c r="J3174" i="9"/>
  <c r="J3193" i="9" s="1"/>
  <c r="J3197" i="9" s="1"/>
  <c r="J3271" i="9" s="1"/>
  <c r="Q26" i="30"/>
  <c r="G10" i="40"/>
  <c r="I3275" i="9" l="1"/>
  <c r="I3276" i="9" s="1"/>
  <c r="I3210" i="9"/>
  <c r="O11" i="32"/>
  <c r="O18" i="32" s="1"/>
  <c r="F24" i="32"/>
  <c r="D15" i="71"/>
  <c r="E15" i="71" s="1"/>
  <c r="F15" i="71" s="1"/>
  <c r="B16" i="71" s="1"/>
  <c r="L10" i="40"/>
  <c r="K25" i="40"/>
  <c r="J855" i="9"/>
  <c r="V11" i="40" s="1"/>
  <c r="V25" i="40" s="1"/>
  <c r="I16" i="44"/>
  <c r="I42" i="44" s="1"/>
  <c r="J3266" i="9"/>
  <c r="J3274" i="9"/>
  <c r="G30" i="30"/>
  <c r="P10" i="30"/>
  <c r="P14" i="30" s="1"/>
  <c r="H10" i="25"/>
  <c r="J3139" i="9"/>
  <c r="J3143" i="9" s="1"/>
  <c r="J3147" i="9" s="1"/>
  <c r="Q15" i="32"/>
  <c r="H9" i="26"/>
  <c r="I42" i="45"/>
  <c r="R10" i="40"/>
  <c r="D11" i="40"/>
  <c r="C25" i="40"/>
  <c r="Q23" i="41"/>
  <c r="Q31" i="41" s="1"/>
  <c r="Q11" i="41" s="1"/>
  <c r="Q17" i="41" s="1"/>
  <c r="H31" i="41"/>
  <c r="D16" i="71" l="1"/>
  <c r="E16" i="71" s="1"/>
  <c r="F16" i="71" s="1"/>
  <c r="B17" i="71" s="1"/>
  <c r="N10" i="40"/>
  <c r="N25" i="40" s="1"/>
  <c r="L25" i="40"/>
  <c r="E11" i="40"/>
  <c r="D25" i="40"/>
  <c r="J3199" i="9"/>
  <c r="J3267" i="9"/>
  <c r="J3268" i="9" s="1"/>
  <c r="S10" i="40"/>
  <c r="H9" i="32"/>
  <c r="Q11" i="40"/>
  <c r="H24" i="26"/>
  <c r="H10" i="30"/>
  <c r="P10" i="65"/>
  <c r="P27" i="65" s="1"/>
  <c r="P59" i="65" s="1"/>
  <c r="H27" i="25"/>
  <c r="D17" i="71" l="1"/>
  <c r="E17" i="71" s="1"/>
  <c r="F17" i="71" s="1"/>
  <c r="B18" i="71" s="1"/>
  <c r="R11" i="40"/>
  <c r="Q25" i="40"/>
  <c r="H30" i="30"/>
  <c r="Q10" i="30"/>
  <c r="Q14" i="30" s="1"/>
  <c r="J3275" i="9"/>
  <c r="J3276" i="9" s="1"/>
  <c r="J3210" i="9"/>
  <c r="U10" i="40"/>
  <c r="G11" i="40"/>
  <c r="G25" i="40" s="1"/>
  <c r="E25" i="40"/>
  <c r="Q11" i="32"/>
  <c r="Q18" i="32" s="1"/>
  <c r="H24" i="32"/>
  <c r="D18" i="71" l="1"/>
  <c r="E18" i="71" s="1"/>
  <c r="F18" i="71" s="1"/>
  <c r="B19" i="71" s="1"/>
  <c r="S11" i="40"/>
  <c r="R25" i="40"/>
  <c r="D19" i="71" l="1"/>
  <c r="E19" i="71" s="1"/>
  <c r="F19" i="71" s="1"/>
  <c r="B20" i="71" s="1"/>
  <c r="U11" i="40"/>
  <c r="U25" i="40" s="1"/>
  <c r="S25" i="40"/>
  <c r="D20" i="71" l="1"/>
  <c r="E20" i="71" s="1"/>
  <c r="F20" i="71" s="1"/>
  <c r="B21" i="71" s="1"/>
  <c r="D21" i="71" l="1"/>
  <c r="E21" i="71" s="1"/>
  <c r="F21" i="71" s="1"/>
  <c r="B22" i="71" s="1"/>
  <c r="D22" i="71" l="1"/>
  <c r="E22" i="71" s="1"/>
  <c r="F22" i="71" s="1"/>
  <c r="B23" i="71" s="1"/>
  <c r="D23" i="71" l="1"/>
  <c r="E23" i="71" s="1"/>
  <c r="F23" i="71" s="1"/>
  <c r="B24" i="71" s="1"/>
  <c r="D24" i="71" l="1"/>
  <c r="E24" i="71" s="1"/>
  <c r="F24" i="71" s="1"/>
  <c r="B25" i="71" s="1"/>
  <c r="D25" i="71" l="1"/>
  <c r="E25" i="71" s="1"/>
  <c r="F25" i="71" s="1"/>
  <c r="B26" i="71" s="1"/>
  <c r="D26" i="71" l="1"/>
  <c r="E26" i="71" s="1"/>
  <c r="F26" i="71" s="1"/>
  <c r="B27" i="71" s="1"/>
  <c r="D27" i="71" l="1"/>
  <c r="E27" i="71" s="1"/>
  <c r="F27" i="71" s="1"/>
  <c r="B28" i="71" s="1"/>
  <c r="D28" i="71" l="1"/>
  <c r="E28" i="71" s="1"/>
  <c r="F28" i="71" s="1"/>
  <c r="B29" i="71" s="1"/>
  <c r="D29" i="71" l="1"/>
  <c r="E29" i="71" s="1"/>
  <c r="F29" i="71" s="1"/>
  <c r="B30" i="71" s="1"/>
  <c r="D30" i="71" l="1"/>
  <c r="E30" i="71" s="1"/>
  <c r="F30" i="71" s="1"/>
  <c r="B31" i="71" s="1"/>
  <c r="D31" i="71" l="1"/>
  <c r="E31" i="71" s="1"/>
  <c r="F31" i="71" s="1"/>
  <c r="B32" i="71" s="1"/>
  <c r="D32" i="71" l="1"/>
  <c r="E32" i="71" s="1"/>
  <c r="F32" i="71" s="1"/>
  <c r="B33" i="71" s="1"/>
  <c r="D33" i="71" l="1"/>
  <c r="E33" i="71" s="1"/>
  <c r="F33" i="71" s="1"/>
  <c r="B34" i="71" s="1"/>
  <c r="D34" i="71" l="1"/>
  <c r="E34" i="71" s="1"/>
  <c r="F34" i="71" s="1"/>
  <c r="B35" i="71" s="1"/>
  <c r="D35" i="71" l="1"/>
  <c r="E35" i="71" s="1"/>
  <c r="F35" i="71" s="1"/>
  <c r="B36" i="71" s="1"/>
  <c r="D36" i="71" l="1"/>
  <c r="E36" i="71" s="1"/>
  <c r="F36" i="71" s="1"/>
  <c r="B37" i="71" s="1"/>
  <c r="D37" i="71" l="1"/>
  <c r="E37" i="71" s="1"/>
  <c r="F37" i="71" s="1"/>
  <c r="B38" i="71" s="1"/>
  <c r="D38" i="71" l="1"/>
  <c r="E38" i="71" s="1"/>
  <c r="F38" i="71" s="1"/>
  <c r="B39" i="71" s="1"/>
  <c r="D39" i="71" l="1"/>
  <c r="E39" i="71" s="1"/>
  <c r="F39" i="71" s="1"/>
  <c r="B40" i="71" s="1"/>
  <c r="D40" i="71" l="1"/>
  <c r="E40" i="71" s="1"/>
  <c r="F40" i="71" s="1"/>
  <c r="B41" i="71" s="1"/>
  <c r="D41" i="71" l="1"/>
  <c r="E41" i="71" s="1"/>
  <c r="F41" i="71" s="1"/>
  <c r="B42" i="71" s="1"/>
  <c r="D42" i="71" l="1"/>
  <c r="E42" i="71" s="1"/>
  <c r="F42" i="71" s="1"/>
  <c r="B43" i="71" s="1"/>
  <c r="D43" i="71" l="1"/>
  <c r="E43" i="71" s="1"/>
  <c r="F43" i="71" s="1"/>
  <c r="B44" i="71" s="1"/>
  <c r="D44" i="71" l="1"/>
  <c r="E44" i="71" s="1"/>
  <c r="F44" i="71" s="1"/>
  <c r="B45" i="71" s="1"/>
  <c r="D45" i="71" l="1"/>
  <c r="E45" i="71" s="1"/>
  <c r="F45" i="71" s="1"/>
</calcChain>
</file>

<file path=xl/sharedStrings.xml><?xml version="1.0" encoding="utf-8"?>
<sst xmlns="http://schemas.openxmlformats.org/spreadsheetml/2006/main" count="17695" uniqueCount="4969">
  <si>
    <t>7G1075</t>
  </si>
  <si>
    <t>7G1076</t>
  </si>
  <si>
    <t>7G1078</t>
  </si>
  <si>
    <t>7G1080</t>
  </si>
  <si>
    <t>RJnl3328</t>
  </si>
  <si>
    <t>7G1081</t>
  </si>
  <si>
    <t>7G1082</t>
  </si>
  <si>
    <t>7G1083</t>
  </si>
  <si>
    <t>7G1084</t>
  </si>
  <si>
    <t>7G1085</t>
  </si>
  <si>
    <t>RJnl3329</t>
  </si>
  <si>
    <t>7G1086</t>
  </si>
  <si>
    <t>7G1087</t>
  </si>
  <si>
    <t>7G1088</t>
  </si>
  <si>
    <t>7G1089</t>
  </si>
  <si>
    <t>7G1090</t>
  </si>
  <si>
    <t>7G1091</t>
  </si>
  <si>
    <t>7G1094</t>
  </si>
  <si>
    <t>7G1095</t>
  </si>
  <si>
    <t>ADMINISTRATION (CORPORATE SERVICES)</t>
  </si>
  <si>
    <t>DBSA</t>
  </si>
  <si>
    <t xml:space="preserve">Printing &amp; Stationery </t>
  </si>
  <si>
    <t>Legal Costs</t>
  </si>
  <si>
    <t>Rental - Equipment</t>
  </si>
  <si>
    <t>IDP&amp; LED</t>
  </si>
  <si>
    <t>COMMUNITY SERVICES</t>
  </si>
  <si>
    <t>LIBRARIES</t>
  </si>
  <si>
    <t>Industrial Council levy</t>
  </si>
  <si>
    <t>Bonus</t>
  </si>
  <si>
    <t>COMMUNITY HALLS</t>
  </si>
  <si>
    <t>Electricity Purchases</t>
  </si>
  <si>
    <t>Materials &amp; Consumables</t>
  </si>
  <si>
    <t>CEMETERIES</t>
  </si>
  <si>
    <t>Fences</t>
  </si>
  <si>
    <t>PUBLIC &amp; PERSONNEL HOUSING</t>
  </si>
  <si>
    <t>TRAFFIC</t>
  </si>
  <si>
    <t>Housing Subsidy</t>
  </si>
  <si>
    <t>Traffic &amp; Road Signs</t>
  </si>
  <si>
    <t>FIRE FIGHTING</t>
  </si>
  <si>
    <t>Tools &amp; Equipment</t>
  </si>
  <si>
    <t>POUND</t>
  </si>
  <si>
    <t>PARKS</t>
  </si>
  <si>
    <t>Vehicles &amp; Equipment</t>
  </si>
  <si>
    <t>SPORT GROUNDS</t>
  </si>
  <si>
    <t>SANITATION</t>
  </si>
  <si>
    <t>Connection Fees</t>
  </si>
  <si>
    <t>ROADS &amp; STREETS</t>
  </si>
  <si>
    <t>WATER DISTRIBUTION &amp; STORAGE</t>
  </si>
  <si>
    <t>ELECTRICITY DISTRIBUTION</t>
  </si>
  <si>
    <t>FBE</t>
  </si>
  <si>
    <t>BUDGET RELATED RESOLUTIONS</t>
  </si>
  <si>
    <t>Page 6</t>
  </si>
  <si>
    <t>MOHOKARE  LOCAL MUNICIPALITY</t>
  </si>
  <si>
    <t>EXECUTIVE SUMMARY</t>
  </si>
  <si>
    <t>AUDITED</t>
  </si>
  <si>
    <t>ACTUAL</t>
  </si>
  <si>
    <t>VARIANCE</t>
  </si>
  <si>
    <t>2008/2009</t>
  </si>
  <si>
    <t>2010/2011</t>
  </si>
  <si>
    <t>2011/2012</t>
  </si>
  <si>
    <t>%</t>
  </si>
  <si>
    <t>REVENUE</t>
  </si>
  <si>
    <t>PROPERTY RATES - BUSINESS</t>
  </si>
  <si>
    <t>PROPERTY RATES - GOVERNMENT</t>
  </si>
  <si>
    <t xml:space="preserve">PROPERTY RATES PENALTIES </t>
  </si>
  <si>
    <t>SERVICE CHARGES</t>
  </si>
  <si>
    <t>RENTAL OF FACILITIES &amp; EQUIPMENT</t>
  </si>
  <si>
    <t>7G1217</t>
  </si>
  <si>
    <t>7G1218</t>
  </si>
  <si>
    <t>7G1219</t>
  </si>
  <si>
    <t>7G1220</t>
  </si>
  <si>
    <t>7G1221</t>
  </si>
  <si>
    <t>RJnl3354</t>
  </si>
  <si>
    <t>7G1222</t>
  </si>
  <si>
    <t>7G1223</t>
  </si>
  <si>
    <t>7G1224</t>
  </si>
  <si>
    <t>7G1225</t>
  </si>
  <si>
    <t>7G1226</t>
  </si>
  <si>
    <t>RJnl3355</t>
  </si>
  <si>
    <t>7G1227</t>
  </si>
  <si>
    <t>7G1228</t>
  </si>
  <si>
    <t>7G1229</t>
  </si>
  <si>
    <t>7G1230</t>
  </si>
  <si>
    <t>7G1231</t>
  </si>
  <si>
    <t>RJnl3356</t>
  </si>
  <si>
    <t>7G1232</t>
  </si>
  <si>
    <t>7G1233</t>
  </si>
  <si>
    <t>7G1234</t>
  </si>
  <si>
    <t>7G1235</t>
  </si>
  <si>
    <t>7G1237</t>
  </si>
  <si>
    <t>RJnl3357</t>
  </si>
  <si>
    <t>7G1238</t>
  </si>
  <si>
    <t>7G1239</t>
  </si>
  <si>
    <t>7G1240</t>
  </si>
  <si>
    <t>7G1241</t>
  </si>
  <si>
    <t>7G1242</t>
  </si>
  <si>
    <t>RJnl3358</t>
  </si>
  <si>
    <t>7G1244</t>
  </si>
  <si>
    <t>7G1245</t>
  </si>
  <si>
    <t>7G1246</t>
  </si>
  <si>
    <t>7G1247</t>
  </si>
  <si>
    <t>7G1248</t>
  </si>
  <si>
    <t>RJnl3359</t>
  </si>
  <si>
    <t>7G1249</t>
  </si>
  <si>
    <t>7G1250</t>
  </si>
  <si>
    <t>7G1251</t>
  </si>
  <si>
    <t>7G1252</t>
  </si>
  <si>
    <t>7G1253</t>
  </si>
  <si>
    <t>RJnl3360</t>
  </si>
  <si>
    <t>7G1254</t>
  </si>
  <si>
    <t>7G1255</t>
  </si>
  <si>
    <t>7G1256</t>
  </si>
  <si>
    <t>7G1257</t>
  </si>
  <si>
    <t>7G1258</t>
  </si>
  <si>
    <t>RJnl3361</t>
  </si>
  <si>
    <t>7G1259</t>
  </si>
  <si>
    <t>7G1260</t>
  </si>
  <si>
    <t>7G1263</t>
  </si>
  <si>
    <t>7G1264</t>
  </si>
  <si>
    <t>7G1265</t>
  </si>
  <si>
    <t>RJnl3362</t>
  </si>
  <si>
    <t>7G1266</t>
  </si>
  <si>
    <t>7G1267</t>
  </si>
  <si>
    <t>7G1268</t>
  </si>
  <si>
    <t>7G1269</t>
  </si>
  <si>
    <t>7G1270</t>
  </si>
  <si>
    <t>RJnl3363</t>
  </si>
  <si>
    <t>7G1271</t>
  </si>
  <si>
    <t>7G1272</t>
  </si>
  <si>
    <t>7G1273</t>
  </si>
  <si>
    <t>7G1274</t>
  </si>
  <si>
    <t>7G1275</t>
  </si>
  <si>
    <t>RJnl3364</t>
  </si>
  <si>
    <t>7G1276</t>
  </si>
  <si>
    <t>7G1277</t>
  </si>
  <si>
    <t>7G1278</t>
  </si>
  <si>
    <t>7G1279</t>
  </si>
  <si>
    <t>7G1280</t>
  </si>
  <si>
    <t>RJnl3365</t>
  </si>
  <si>
    <t>7G1281</t>
  </si>
  <si>
    <t>7G1282</t>
  </si>
  <si>
    <t>7G1283</t>
  </si>
  <si>
    <t>7G1284</t>
  </si>
  <si>
    <t>7G1285</t>
  </si>
  <si>
    <t>RJnl3366</t>
  </si>
  <si>
    <t>7G1286</t>
  </si>
  <si>
    <t>7G1287</t>
  </si>
  <si>
    <t>7G1288</t>
  </si>
  <si>
    <t>7G1290</t>
  </si>
  <si>
    <t>7G1291</t>
  </si>
  <si>
    <t>RJnl3367</t>
  </si>
  <si>
    <t>7G1292</t>
  </si>
  <si>
    <t>7G1293</t>
  </si>
  <si>
    <t>7G1294</t>
  </si>
  <si>
    <t>7G1295</t>
  </si>
  <si>
    <t>7G1296</t>
  </si>
  <si>
    <t>RJnl3368</t>
  </si>
  <si>
    <t>7G1297</t>
  </si>
  <si>
    <t>7G1298</t>
  </si>
  <si>
    <t>7G1299</t>
  </si>
  <si>
    <t>7G1300</t>
  </si>
  <si>
    <t>7G1301</t>
  </si>
  <si>
    <t>RJnl3369</t>
  </si>
  <si>
    <t>7G1302</t>
  </si>
  <si>
    <t>7G1303</t>
  </si>
  <si>
    <t>7G1304</t>
  </si>
  <si>
    <t>7G1305</t>
  </si>
  <si>
    <t>7G1306</t>
  </si>
  <si>
    <t>RJnl3370</t>
  </si>
  <si>
    <t>7G1307</t>
  </si>
  <si>
    <t>7G1308</t>
  </si>
  <si>
    <t>7G1309</t>
  </si>
  <si>
    <t>7G1310</t>
  </si>
  <si>
    <t>7G1311</t>
  </si>
  <si>
    <t>RJnl3371</t>
  </si>
  <si>
    <t>7G1312</t>
  </si>
  <si>
    <t>7G1313</t>
  </si>
  <si>
    <t>7G1314</t>
  </si>
  <si>
    <t>7G1315</t>
  </si>
  <si>
    <t>7G1317</t>
  </si>
  <si>
    <t>7G1318</t>
  </si>
  <si>
    <t>7G1319</t>
  </si>
  <si>
    <t>7G1320</t>
  </si>
  <si>
    <t>7G1321</t>
  </si>
  <si>
    <t>RJnl3373</t>
  </si>
  <si>
    <t>7G1322</t>
  </si>
  <si>
    <t>7G1323</t>
  </si>
  <si>
    <t>7G1324</t>
  </si>
  <si>
    <t>7G1325</t>
  </si>
  <si>
    <t>7G1326</t>
  </si>
  <si>
    <t>RJnl3374</t>
  </si>
  <si>
    <t>7G1327</t>
  </si>
  <si>
    <t>7G1328</t>
  </si>
  <si>
    <t>7G1329</t>
  </si>
  <si>
    <t>7G1330</t>
  </si>
  <si>
    <t>7G1331</t>
  </si>
  <si>
    <t>RJnl3375</t>
  </si>
  <si>
    <t>7G1332</t>
  </si>
  <si>
    <t>Equitable share - Administration</t>
  </si>
  <si>
    <t>Equitable share - Water</t>
  </si>
  <si>
    <t>Equitable share - Fire Fighting</t>
  </si>
  <si>
    <t>Equitable share - Libraries</t>
  </si>
  <si>
    <t>Equitable share - Refuse Removal</t>
  </si>
  <si>
    <t>Equitable share - Sewerage</t>
  </si>
  <si>
    <t xml:space="preserve">Membership Fees </t>
  </si>
  <si>
    <t>Audit Committee</t>
  </si>
  <si>
    <t>Property rates: Government</t>
  </si>
  <si>
    <t>Property rates: Businesses</t>
  </si>
  <si>
    <t>HP</t>
  </si>
  <si>
    <t>Computer Software</t>
  </si>
  <si>
    <t>Computer Costs</t>
  </si>
  <si>
    <t>PROPERTY SERVICES</t>
  </si>
  <si>
    <t>COUNCIL PROPERTIES</t>
  </si>
  <si>
    <t>Security Services</t>
  </si>
  <si>
    <t xml:space="preserve">CAMPS </t>
  </si>
  <si>
    <t>Camps</t>
  </si>
  <si>
    <t>MSIG</t>
  </si>
  <si>
    <t>Legal Fees</t>
  </si>
  <si>
    <t>Medical Fund - PJS Vorster</t>
  </si>
  <si>
    <t>PMS</t>
  </si>
  <si>
    <t>MSIG - Expenses</t>
  </si>
  <si>
    <t>ADMINISTRATION (CORPORATE SERVICES)(continued)</t>
  </si>
  <si>
    <t>Pro-rata Bonus</t>
  </si>
  <si>
    <t>PLANNING &amp; DEVELOPMENT</t>
  </si>
  <si>
    <t>Provincial Gov: Human Settlement Grant</t>
  </si>
  <si>
    <t>Youth Development</t>
  </si>
  <si>
    <t>IDP</t>
  </si>
  <si>
    <t xml:space="preserve">LED </t>
  </si>
  <si>
    <t>Agricultural Development</t>
  </si>
  <si>
    <t>LED Strategy</t>
  </si>
  <si>
    <t>LED Youth</t>
  </si>
  <si>
    <t>HEALTH</t>
  </si>
  <si>
    <t>ENVIRONMENTAL HEALTH</t>
  </si>
  <si>
    <t>COMMUNITY &amp; SOCIAL SERVICES</t>
  </si>
  <si>
    <t>Books</t>
  </si>
  <si>
    <t xml:space="preserve">SUB-TOTAL OPERATING REVENUE </t>
  </si>
  <si>
    <t>Lost Books</t>
  </si>
  <si>
    <t>Capital Development Fund</t>
  </si>
  <si>
    <t>Town Hall</t>
  </si>
  <si>
    <t>Crockery</t>
  </si>
  <si>
    <t>General</t>
  </si>
  <si>
    <t>Operating License</t>
  </si>
  <si>
    <t>Temporary Workers</t>
  </si>
  <si>
    <t>Pauper Burials</t>
  </si>
  <si>
    <t>HOUSING</t>
  </si>
  <si>
    <t>Rental - Personnel Houses</t>
  </si>
  <si>
    <t>Building Plan &amp; Inspection Fees</t>
  </si>
  <si>
    <t>PUBLIC SAFETY</t>
  </si>
  <si>
    <t>Traffic</t>
  </si>
  <si>
    <t>Campaigns</t>
  </si>
  <si>
    <t xml:space="preserve">Sales </t>
  </si>
  <si>
    <t>Pound Fees</t>
  </si>
  <si>
    <t>Health Services</t>
  </si>
  <si>
    <t>SPORT &amp; RECREATION</t>
  </si>
  <si>
    <t>Sport Grounds</t>
  </si>
  <si>
    <t>Caravan Park</t>
  </si>
  <si>
    <t>Sport Fields</t>
  </si>
  <si>
    <t>WASTE MANAGEMENT</t>
  </si>
  <si>
    <t>Refuse Removal Levies</t>
  </si>
  <si>
    <t>7M0141</t>
  </si>
  <si>
    <t>7M0142</t>
  </si>
  <si>
    <t>7M0143</t>
  </si>
  <si>
    <t>RJnl3402</t>
  </si>
  <si>
    <t>7M0144</t>
  </si>
  <si>
    <t>7M0145</t>
  </si>
  <si>
    <t>7M0146</t>
  </si>
  <si>
    <t>7M0147</t>
  </si>
  <si>
    <t>7M0148</t>
  </si>
  <si>
    <t>RJnl3403</t>
  </si>
  <si>
    <t>7M0150</t>
  </si>
  <si>
    <t>7M0151</t>
  </si>
  <si>
    <t>7M0152</t>
  </si>
  <si>
    <t>7M0153</t>
  </si>
  <si>
    <t>7M0154</t>
  </si>
  <si>
    <t>RJnl3404</t>
  </si>
  <si>
    <t>7M0155</t>
  </si>
  <si>
    <t>7M0157</t>
  </si>
  <si>
    <t>7M0158</t>
  </si>
  <si>
    <t>7M0160</t>
  </si>
  <si>
    <t>7M0161</t>
  </si>
  <si>
    <t>RJnl3405</t>
  </si>
  <si>
    <t>7M0162</t>
  </si>
  <si>
    <t>7M0163</t>
  </si>
  <si>
    <t>7M0164</t>
  </si>
  <si>
    <t>7M0165</t>
  </si>
  <si>
    <t>7M0166</t>
  </si>
  <si>
    <t>RJnl3406</t>
  </si>
  <si>
    <t>7M0167</t>
  </si>
  <si>
    <t>7M0169</t>
  </si>
  <si>
    <t>7M0170</t>
  </si>
  <si>
    <t>7M0171</t>
  </si>
  <si>
    <t>7M0172</t>
  </si>
  <si>
    <t>RJnl3407</t>
  </si>
  <si>
    <t>7M0173</t>
  </si>
  <si>
    <t>7M0174</t>
  </si>
  <si>
    <t>7M0175</t>
  </si>
  <si>
    <t>7M0176</t>
  </si>
  <si>
    <t>7M0177</t>
  </si>
  <si>
    <t>RJnl3408</t>
  </si>
  <si>
    <t>7M0178</t>
  </si>
  <si>
    <t>7M0179</t>
  </si>
  <si>
    <t>7M0180</t>
  </si>
  <si>
    <t>7M0181</t>
  </si>
  <si>
    <t>7M0182</t>
  </si>
  <si>
    <t>RJnl3409</t>
  </si>
  <si>
    <t>7M0183</t>
  </si>
  <si>
    <t>7M0184</t>
  </si>
  <si>
    <t>7M0185</t>
  </si>
  <si>
    <t>7M0186</t>
  </si>
  <si>
    <t>7M0187</t>
  </si>
  <si>
    <t>RJnl3410</t>
  </si>
  <si>
    <t>7M0188</t>
  </si>
  <si>
    <t>7M0189</t>
  </si>
  <si>
    <t>7M0190</t>
  </si>
  <si>
    <t>7M0191</t>
  </si>
  <si>
    <t>7M0192</t>
  </si>
  <si>
    <t>RJnl3411</t>
  </si>
  <si>
    <t>7M0193</t>
  </si>
  <si>
    <t>7M0200</t>
  </si>
  <si>
    <t>7M0202</t>
  </si>
  <si>
    <t>7M0205</t>
  </si>
  <si>
    <t>7M0207</t>
  </si>
  <si>
    <t>RJnl3412</t>
  </si>
  <si>
    <t>7M0209</t>
  </si>
  <si>
    <t>7M0210</t>
  </si>
  <si>
    <t>7M0211</t>
  </si>
  <si>
    <t>7M0212</t>
  </si>
  <si>
    <t>7M0213</t>
  </si>
  <si>
    <t>RJnl3413</t>
  </si>
  <si>
    <t>7M0222</t>
  </si>
  <si>
    <t>7M0223</t>
  </si>
  <si>
    <t>7M0225</t>
  </si>
  <si>
    <t>7M0227</t>
  </si>
  <si>
    <t>7M0228</t>
  </si>
  <si>
    <t>RJnl3414</t>
  </si>
  <si>
    <t>7M0231</t>
  </si>
  <si>
    <t>7M0233</t>
  </si>
  <si>
    <t>7M0234</t>
  </si>
  <si>
    <t>7M0238</t>
  </si>
  <si>
    <t>7M0242</t>
  </si>
  <si>
    <t>RJnl3415</t>
  </si>
  <si>
    <t>7M0244</t>
  </si>
  <si>
    <t>7M0246</t>
  </si>
  <si>
    <t>7M0247</t>
  </si>
  <si>
    <t>7M0249</t>
  </si>
  <si>
    <t>7M0250</t>
  </si>
  <si>
    <t>RJnl3416</t>
  </si>
  <si>
    <t>7M0253</t>
  </si>
  <si>
    <t>7M0255</t>
  </si>
  <si>
    <t>7M0258</t>
  </si>
  <si>
    <t>7M0259</t>
  </si>
  <si>
    <t>7M0260</t>
  </si>
  <si>
    <t>RJnl3417</t>
  </si>
  <si>
    <t>7M0261</t>
  </si>
  <si>
    <t>7M0262</t>
  </si>
  <si>
    <t>7M0264</t>
  </si>
  <si>
    <t>7M0265</t>
  </si>
  <si>
    <t>7M0266</t>
  </si>
  <si>
    <t>RJnl3418</t>
  </si>
  <si>
    <t>7M0267</t>
  </si>
  <si>
    <t>7M0268</t>
  </si>
  <si>
    <t>7M0270</t>
  </si>
  <si>
    <t>7M0271</t>
  </si>
  <si>
    <t>7M0272</t>
  </si>
  <si>
    <t>RJnl3419</t>
  </si>
  <si>
    <t>7M0273</t>
  </si>
  <si>
    <t>7M0274</t>
  </si>
  <si>
    <t>7M0276</t>
  </si>
  <si>
    <t>7M0281</t>
  </si>
  <si>
    <t>7M0282</t>
  </si>
  <si>
    <t>RJnl3420</t>
  </si>
  <si>
    <t>7M0283</t>
  </si>
  <si>
    <t>7M0284</t>
  </si>
  <si>
    <t>7M0286</t>
  </si>
  <si>
    <t>7M0289</t>
  </si>
  <si>
    <t>7M0290</t>
  </si>
  <si>
    <t>RJnl3421</t>
  </si>
  <si>
    <t>7M0291</t>
  </si>
  <si>
    <t>7M0294</t>
  </si>
  <si>
    <t>7M0299</t>
  </si>
  <si>
    <t>7M0300</t>
  </si>
  <si>
    <t>7M0301</t>
  </si>
  <si>
    <t>7M0303</t>
  </si>
  <si>
    <t>7M0306</t>
  </si>
  <si>
    <t>7M0307</t>
  </si>
  <si>
    <t>7M0309</t>
  </si>
  <si>
    <t>RJnl3423</t>
  </si>
  <si>
    <t>7M0312</t>
  </si>
  <si>
    <t>7M0314</t>
  </si>
  <si>
    <t>7M0315</t>
  </si>
  <si>
    <t>7M0318</t>
  </si>
  <si>
    <t>7M0322</t>
  </si>
  <si>
    <t>RJnl3424</t>
  </si>
  <si>
    <t>7M0329</t>
  </si>
  <si>
    <t>Telephone Charges</t>
  </si>
  <si>
    <t>1. Spatial Development</t>
  </si>
  <si>
    <t>2. Draught Relief</t>
  </si>
  <si>
    <t>3. Managers Salaries</t>
  </si>
  <si>
    <t>4. Electricity</t>
  </si>
  <si>
    <t>5. Water Project - Rouxville</t>
  </si>
  <si>
    <t>6. Audit Fees</t>
  </si>
  <si>
    <t>7. Salaries - Temporary Workers</t>
  </si>
  <si>
    <t>8. Grant</t>
  </si>
  <si>
    <t>CURRENT YEAR 2009/10</t>
  </si>
  <si>
    <t xml:space="preserve">2010/11 MEDIUM TERM REVEMUE &amp; 
EXPENDITURE FRAMEWORK
</t>
  </si>
  <si>
    <t>AUDITED
OUTCOME</t>
  </si>
  <si>
    <t>ORIGINAL
BUDGET</t>
  </si>
  <si>
    <t>ADJUSTED
BUDGET</t>
  </si>
  <si>
    <t>YTD
ACTUAL</t>
  </si>
  <si>
    <t>FULL YEAR
FORECAST</t>
  </si>
  <si>
    <t>BUDGET 
YEAR
2010/11</t>
  </si>
  <si>
    <t>BUDGET 
YEAR +1
2011/12</t>
  </si>
  <si>
    <t>BUDGET
YEAR +2
2012/13</t>
  </si>
  <si>
    <t>TRANSFERS RECOGNISED - OPERATIONAL</t>
  </si>
  <si>
    <t>TOTAL TRANSFERS RECOGNISED - OPERATIONAL</t>
  </si>
  <si>
    <t xml:space="preserve">TOTAL REMUNERATION OF COUNCILLORS </t>
  </si>
  <si>
    <t>TOTAL EMPLOYEE RELATED COSTS</t>
  </si>
  <si>
    <t>TOTAL REPAIRS AND MAINTENANCE</t>
  </si>
  <si>
    <t>TRANSFERS &amp; GRANTS</t>
  </si>
  <si>
    <t>TOTAL TRANSFERS &amp; GRANTS</t>
  </si>
  <si>
    <t>INTEREST EARNED - EXTERNAL INVESTMENTS</t>
  </si>
  <si>
    <t>TOTAL INTEREST EARNED - EXTERNAL INVESTMENTS</t>
  </si>
  <si>
    <t>TOTAL DIVIDENDS RECEIVED</t>
  </si>
  <si>
    <t>OTHER REVENUE</t>
  </si>
  <si>
    <t>TOTAL OTHER REVENUE</t>
  </si>
  <si>
    <t>FINANCE CHARGES</t>
  </si>
  <si>
    <t>TOTAL FINANCE CHARGES</t>
  </si>
  <si>
    <t>TOTAL PROPERTY RATES</t>
  </si>
  <si>
    <t xml:space="preserve">TOTAL PROPERTY RATES PENALTIES </t>
  </si>
  <si>
    <t>TOTAL INCOME FOREGONE</t>
  </si>
  <si>
    <t>DEBT IMPAIRMENT</t>
  </si>
  <si>
    <t>Provision for Bad Debts</t>
  </si>
  <si>
    <t>TOTAL DEBT IMPAIRMENT</t>
  </si>
  <si>
    <t>TOTAL DEPRECIATION</t>
  </si>
  <si>
    <t>TOTAL RENTAL OF FACILITIES &amp; EQUIPMENT</t>
  </si>
  <si>
    <t>OTHER EXPENDITURE</t>
  </si>
  <si>
    <t>TOTAL OTHER EXPENDITURE</t>
  </si>
  <si>
    <t>TOTAL FINES</t>
  </si>
  <si>
    <t>SOLID WASTE</t>
  </si>
  <si>
    <t xml:space="preserve">Council take notice that the SDBIP will be tabled for approval within 28 days after </t>
  </si>
  <si>
    <t>approval of the budget, its related schedules and annexures.</t>
  </si>
  <si>
    <t>None</t>
  </si>
  <si>
    <t>Tourism</t>
  </si>
  <si>
    <t>Sewerage</t>
  </si>
  <si>
    <t>Water</t>
  </si>
  <si>
    <t>Overtime</t>
  </si>
  <si>
    <t>Buildings</t>
  </si>
  <si>
    <t>Plant &amp; equipment</t>
  </si>
  <si>
    <t>Inventory</t>
  </si>
  <si>
    <t>Total</t>
  </si>
  <si>
    <t>2008/9</t>
  </si>
  <si>
    <t>MOHOKARE LOCAL MUNICIPALITY</t>
  </si>
  <si>
    <t>TABLE OF CONTENTS</t>
  </si>
  <si>
    <t>Page</t>
  </si>
  <si>
    <t>1.</t>
  </si>
  <si>
    <t>2.</t>
  </si>
  <si>
    <t>3.</t>
  </si>
  <si>
    <t>Budget Related Resolutions</t>
  </si>
  <si>
    <t>4.</t>
  </si>
  <si>
    <t>The budget</t>
  </si>
  <si>
    <t>4.1</t>
  </si>
  <si>
    <t>Executive Summary</t>
  </si>
  <si>
    <t>4.2</t>
  </si>
  <si>
    <t>Budget Related Schedules</t>
  </si>
  <si>
    <t>5.</t>
  </si>
  <si>
    <t>Supporting Documents</t>
  </si>
  <si>
    <t>Alignment of Budget with Integrated Development Plan (IDP)</t>
  </si>
  <si>
    <t>Funding the Budget</t>
  </si>
  <si>
    <t>BUDGET</t>
  </si>
  <si>
    <t>G/L NO</t>
  </si>
  <si>
    <t>DESCRIPTION</t>
  </si>
  <si>
    <t>2009/2010</t>
  </si>
  <si>
    <t>Salaries</t>
  </si>
  <si>
    <t>Contributions Medical Aid</t>
  </si>
  <si>
    <t>Contributions Pension Fund</t>
  </si>
  <si>
    <t>Allowance - Other</t>
  </si>
  <si>
    <t>Entertainment Mayor</t>
  </si>
  <si>
    <t>License &amp; Internet Fees</t>
  </si>
  <si>
    <t>Entertainment</t>
  </si>
  <si>
    <t>Subsistence &amp; Travelling</t>
  </si>
  <si>
    <t>MUNICIPAL MANAGER</t>
  </si>
  <si>
    <t>UIF</t>
  </si>
  <si>
    <t>Industrial Council Levy</t>
  </si>
  <si>
    <t>CHIEF FINANCIAL OFFICER</t>
  </si>
  <si>
    <t>MANAGER COMMUNITY SERVICES</t>
  </si>
  <si>
    <t>MANAGER TECHNICAL SERVICES</t>
  </si>
  <si>
    <t>FINANCE</t>
  </si>
  <si>
    <t>Audit Fees</t>
  </si>
  <si>
    <t>Postage</t>
  </si>
  <si>
    <t>FINANCE (continued)</t>
  </si>
  <si>
    <t>INTERNAL AUDIT</t>
  </si>
  <si>
    <t>Allowance - Vehicle (Fixed)</t>
  </si>
  <si>
    <t>PROPERTY RATES</t>
  </si>
  <si>
    <t>Rebates</t>
  </si>
  <si>
    <t>INFORMATION TECHNOLOGY</t>
  </si>
  <si>
    <t>HUMAN RESOURCES</t>
  </si>
  <si>
    <t>Advertisements</t>
  </si>
  <si>
    <t>Training</t>
  </si>
  <si>
    <t>Workstudy Investigation</t>
  </si>
  <si>
    <t>RJnl3455</t>
  </si>
  <si>
    <t>7M0613</t>
  </si>
  <si>
    <t>7M0614</t>
  </si>
  <si>
    <t>7M0615</t>
  </si>
  <si>
    <t>7M0616</t>
  </si>
  <si>
    <t>7M0617</t>
  </si>
  <si>
    <t>RJnl3456</t>
  </si>
  <si>
    <t>7M0619</t>
  </si>
  <si>
    <t>7M0620</t>
  </si>
  <si>
    <t>7M0621</t>
  </si>
  <si>
    <t>7M0622</t>
  </si>
  <si>
    <t>7M0623</t>
  </si>
  <si>
    <t>RJnl3457</t>
  </si>
  <si>
    <t>7M0624</t>
  </si>
  <si>
    <t>7M0625</t>
  </si>
  <si>
    <t>7M0626</t>
  </si>
  <si>
    <t>7M0629</t>
  </si>
  <si>
    <t>7M0630</t>
  </si>
  <si>
    <t>RJnl3458</t>
  </si>
  <si>
    <t>7M0632</t>
  </si>
  <si>
    <t>7M0633</t>
  </si>
  <si>
    <t>7M0634</t>
  </si>
  <si>
    <t>7M0635</t>
  </si>
  <si>
    <t>7M0637</t>
  </si>
  <si>
    <t>RJnl3459</t>
  </si>
  <si>
    <t>7M0638</t>
  </si>
  <si>
    <t>7M0639</t>
  </si>
  <si>
    <t>7M0640</t>
  </si>
  <si>
    <t>7M0642</t>
  </si>
  <si>
    <t>7M0643</t>
  </si>
  <si>
    <t>RJnl3460</t>
  </si>
  <si>
    <t>7M0644</t>
  </si>
  <si>
    <t>7M0645</t>
  </si>
  <si>
    <t>7M0647</t>
  </si>
  <si>
    <t>7M0648</t>
  </si>
  <si>
    <t>7M0649</t>
  </si>
  <si>
    <t>RJnl3461</t>
  </si>
  <si>
    <t>7M0650</t>
  </si>
  <si>
    <t>7M0652</t>
  </si>
  <si>
    <t>7M0656</t>
  </si>
  <si>
    <t>7M0657</t>
  </si>
  <si>
    <t>7M0658</t>
  </si>
  <si>
    <t>RJnl3462</t>
  </si>
  <si>
    <t>7M0659</t>
  </si>
  <si>
    <t>7M0660</t>
  </si>
  <si>
    <t>7M0661</t>
  </si>
  <si>
    <t>7M0662</t>
  </si>
  <si>
    <t>7M0663</t>
  </si>
  <si>
    <t>RJnl3463</t>
  </si>
  <si>
    <t>7M0664</t>
  </si>
  <si>
    <t>7M0665</t>
  </si>
  <si>
    <t>7M0666</t>
  </si>
  <si>
    <t>7M0667</t>
  </si>
  <si>
    <t>7M0668</t>
  </si>
  <si>
    <t>RJnl3464</t>
  </si>
  <si>
    <t>7M0669</t>
  </si>
  <si>
    <t>7M0670</t>
  </si>
  <si>
    <t>7M0671</t>
  </si>
  <si>
    <t>7M0674</t>
  </si>
  <si>
    <t>7M0675</t>
  </si>
  <si>
    <t>RJnl3465</t>
  </si>
  <si>
    <t>7M0676</t>
  </si>
  <si>
    <t>7M0677</t>
  </si>
  <si>
    <t>7M0678</t>
  </si>
  <si>
    <t>7M0679</t>
  </si>
  <si>
    <t>7M0680</t>
  </si>
  <si>
    <t>RJnl3466</t>
  </si>
  <si>
    <t>7M0681</t>
  </si>
  <si>
    <t>7M0683</t>
  </si>
  <si>
    <t>7M0684</t>
  </si>
  <si>
    <t>7M0685</t>
  </si>
  <si>
    <t>7M0686</t>
  </si>
  <si>
    <t>RJnl3467</t>
  </si>
  <si>
    <t>7M0687</t>
  </si>
  <si>
    <t>7M0688</t>
  </si>
  <si>
    <t>7M0690</t>
  </si>
  <si>
    <t>7M0691</t>
  </si>
  <si>
    <t>7M0692</t>
  </si>
  <si>
    <t>RJnl3468</t>
  </si>
  <si>
    <t>7M0694</t>
  </si>
  <si>
    <t>7M0696</t>
  </si>
  <si>
    <t>7M0698</t>
  </si>
  <si>
    <t>7M0699</t>
  </si>
  <si>
    <t>7M0701</t>
  </si>
  <si>
    <t>RJnl3469</t>
  </si>
  <si>
    <t>7M0706</t>
  </si>
  <si>
    <t>7M0707</t>
  </si>
  <si>
    <t>7M0708</t>
  </si>
  <si>
    <t>7M0710</t>
  </si>
  <si>
    <t>7M0711</t>
  </si>
  <si>
    <t>RJnl3470</t>
  </si>
  <si>
    <t>7M0712</t>
  </si>
  <si>
    <t>7M0713</t>
  </si>
  <si>
    <t>7M0714</t>
  </si>
  <si>
    <t>7M0715</t>
  </si>
  <si>
    <t>7M0716</t>
  </si>
  <si>
    <t>RJnl3471</t>
  </si>
  <si>
    <t>7M0717</t>
  </si>
  <si>
    <t>7M0718</t>
  </si>
  <si>
    <t>7M0719</t>
  </si>
  <si>
    <t>7M0721</t>
  </si>
  <si>
    <t xml:space="preserve">Capital expenditure by vote reflected in Table A5; </t>
  </si>
  <si>
    <t>SCHEDULE 4</t>
  </si>
  <si>
    <t>National Government</t>
  </si>
  <si>
    <t>Amounts allocated / gazetted for that year</t>
  </si>
  <si>
    <t>Amounts carried over from previous years</t>
  </si>
  <si>
    <t>Total Grants &amp; Subsidies - National Government</t>
  </si>
  <si>
    <t>Provincial Government</t>
  </si>
  <si>
    <t>Total Grants &amp; Subsidies - Provincial Government</t>
  </si>
  <si>
    <t>District Municipality</t>
  </si>
  <si>
    <t>Amounts allocated for that year</t>
  </si>
  <si>
    <t>Total Grants &amp; Subsidies - District Municipalities</t>
  </si>
  <si>
    <t>Public Contributions &amp; Donations</t>
  </si>
  <si>
    <t>Accumulated Surplus (Own Funds)</t>
  </si>
  <si>
    <t>External Loans</t>
  </si>
  <si>
    <t>1. All municipalities must follow the format above for standardisation.</t>
  </si>
  <si>
    <t>2. Use Zero (0) where no amount is applicable.</t>
  </si>
  <si>
    <t>3. Total Capital Expenditure agrees to Total Funding</t>
  </si>
  <si>
    <t>4. See example tables and charts provided in Annexure 3 (Table 4 and related charts - pages 29 &amp; 30)</t>
  </si>
  <si>
    <r>
      <t>TOTAL FUNDING OF CAPITAL EXPENDITURE</t>
    </r>
    <r>
      <rPr>
        <b/>
        <vertAlign val="superscript"/>
        <sz val="10"/>
        <rFont val="Arial"/>
        <family val="2"/>
      </rPr>
      <t>3</t>
    </r>
  </si>
  <si>
    <t>EXAMPLE TABLE 1</t>
  </si>
  <si>
    <t>Chart Data (grouped for best chart result, sorted by 06/07 Bud)</t>
  </si>
  <si>
    <t>Revenue by Source</t>
  </si>
  <si>
    <t>Revenue by Major Source</t>
  </si>
  <si>
    <t>NOTES</t>
  </si>
  <si>
    <t>Electricity tariffs</t>
  </si>
  <si>
    <t>Includes penalties</t>
  </si>
  <si>
    <t>Erven Trust Fund</t>
  </si>
  <si>
    <t>Draught Relief</t>
  </si>
  <si>
    <t>Funding - DWAF</t>
  </si>
  <si>
    <t>Valuation Roll</t>
  </si>
  <si>
    <t>Funding - DBSA</t>
  </si>
  <si>
    <t>Funding - Own Funds (Income &amp; ETF)</t>
  </si>
  <si>
    <t>Spatial Development</t>
  </si>
  <si>
    <t>SERVICE CHARGES - REFUSE REVENUE</t>
  </si>
  <si>
    <t>TOTAL SERVICE CHARGES - REFUSE REVENUE</t>
  </si>
  <si>
    <t>SOLID WASTE (continued)</t>
  </si>
  <si>
    <t>SERVICE CHARGES - SANITATION REVENUE</t>
  </si>
  <si>
    <t>TOTAL SERVICE CHARGES - SANITATION REVENUE</t>
  </si>
  <si>
    <t>TOTAL CAPITAL EXPENDITURE - PROJECTS</t>
  </si>
  <si>
    <t>SERVICE CHARGES - WATER REVENUE</t>
  </si>
  <si>
    <t>TOTAL SERVICE CHARGES - WATER REVENUE</t>
  </si>
  <si>
    <t xml:space="preserve">TRANSFERS RECOGNISED - OPERATIONAL </t>
  </si>
  <si>
    <t>7M0498</t>
  </si>
  <si>
    <t>7M0499</t>
  </si>
  <si>
    <t>7M0500</t>
  </si>
  <si>
    <t>RJnl3444</t>
  </si>
  <si>
    <t>7M0501</t>
  </si>
  <si>
    <t>7M0502</t>
  </si>
  <si>
    <t>7M0503</t>
  </si>
  <si>
    <t>7M0504</t>
  </si>
  <si>
    <t>7M0505</t>
  </si>
  <si>
    <t>RJnl3445</t>
  </si>
  <si>
    <t>7M0506</t>
  </si>
  <si>
    <t>7M0507</t>
  </si>
  <si>
    <t>7M0508</t>
  </si>
  <si>
    <t>7M0510</t>
  </si>
  <si>
    <t>7M0513</t>
  </si>
  <si>
    <t>RJnl3446</t>
  </si>
  <si>
    <t>7M0514</t>
  </si>
  <si>
    <t>7M0517</t>
  </si>
  <si>
    <t>7M0519</t>
  </si>
  <si>
    <t>7M0521</t>
  </si>
  <si>
    <t>7M0522</t>
  </si>
  <si>
    <t>7M0524</t>
  </si>
  <si>
    <t>7M0525</t>
  </si>
  <si>
    <t>7M0530</t>
  </si>
  <si>
    <t>7M0532</t>
  </si>
  <si>
    <t>7M0536</t>
  </si>
  <si>
    <t>RJnl3448</t>
  </si>
  <si>
    <t>7M0537</t>
  </si>
  <si>
    <t>7M0538</t>
  </si>
  <si>
    <t>7M0539</t>
  </si>
  <si>
    <t>7M0541</t>
  </si>
  <si>
    <t>7M0543</t>
  </si>
  <si>
    <t>RJnl3449</t>
  </si>
  <si>
    <t>7M0544</t>
  </si>
  <si>
    <t>7M0546</t>
  </si>
  <si>
    <t>7M0550</t>
  </si>
  <si>
    <t>7M0551</t>
  </si>
  <si>
    <t>7M0552</t>
  </si>
  <si>
    <t>RJnl3450</t>
  </si>
  <si>
    <t>7M0555</t>
  </si>
  <si>
    <t>7M0558</t>
  </si>
  <si>
    <t>7M0560</t>
  </si>
  <si>
    <t>7M0565</t>
  </si>
  <si>
    <t>7M0576</t>
  </si>
  <si>
    <t>7M0577</t>
  </si>
  <si>
    <t>7M0581</t>
  </si>
  <si>
    <t>7M0584</t>
  </si>
  <si>
    <t>7M0588</t>
  </si>
  <si>
    <t>7M0589</t>
  </si>
  <si>
    <t>7M0591</t>
  </si>
  <si>
    <t>7M0592</t>
  </si>
  <si>
    <t>7M0599</t>
  </si>
  <si>
    <t>7M0600</t>
  </si>
  <si>
    <t>RJnl3453</t>
  </si>
  <si>
    <t>7M0602</t>
  </si>
  <si>
    <t>7M0603</t>
  </si>
  <si>
    <t>7M0604</t>
  </si>
  <si>
    <t>7M0605</t>
  </si>
  <si>
    <t>7M0606</t>
  </si>
  <si>
    <t>RJnl3454</t>
  </si>
  <si>
    <t>7M0607</t>
  </si>
  <si>
    <t>7M0608</t>
  </si>
  <si>
    <t>7M0610</t>
  </si>
  <si>
    <t>7M0611</t>
  </si>
  <si>
    <t>7M0612</t>
  </si>
  <si>
    <r>
      <t>WATER Kl (USAGE)</t>
    </r>
    <r>
      <rPr>
        <b/>
        <sz val="10"/>
        <rFont val="Arial Narrow"/>
        <family val="2"/>
      </rPr>
      <t xml:space="preserve"> N2</t>
    </r>
  </si>
  <si>
    <t>N2</t>
  </si>
  <si>
    <t>Over 50 Kl pay as per sliding scale - Above = an average</t>
  </si>
  <si>
    <t xml:space="preserve"> MONTHLY ACCOUNT (Property Value of R 940 000)</t>
  </si>
  <si>
    <r>
      <t>WATER Kl (USAGE)</t>
    </r>
    <r>
      <rPr>
        <b/>
        <sz val="10"/>
        <rFont val="Arial Narrow"/>
        <family val="2"/>
      </rPr>
      <t xml:space="preserve"> </t>
    </r>
  </si>
  <si>
    <t xml:space="preserve"> MONTHLY ACCOUNT - BUSINESS</t>
  </si>
  <si>
    <t>OPERATING AND CAPITAL BUDGET 2010/2011</t>
  </si>
  <si>
    <t>6. The example charts displayed show the relevant data tables ranked in order from highest to lowest (bottom to top) in the same way the chart displays the stacked columns from highest to lowest.</t>
  </si>
  <si>
    <r>
      <t xml:space="preserve">3. All budgeted amounts must be classified under a particular vote. </t>
    </r>
    <r>
      <rPr>
        <b/>
        <sz val="10"/>
        <rFont val="Arial"/>
        <family val="2"/>
      </rPr>
      <t>Do not use "other"</t>
    </r>
    <r>
      <rPr>
        <sz val="10"/>
        <rFont val="Arial"/>
        <family val="2"/>
      </rPr>
      <t>. Where the function falls within the GFS function "Other", Use the GFS sub-function classification.</t>
    </r>
  </si>
  <si>
    <t>Other - Catlle farming</t>
  </si>
  <si>
    <t>EXAMPLE TABLE 3</t>
  </si>
  <si>
    <t>Major Capex by Vote</t>
  </si>
  <si>
    <t>Other Capex by Vote</t>
  </si>
  <si>
    <t>2. The votes listed here are the GFS functions (i.e. in this example the municipality has elected to show the GFS functions as its votes and is therefore not required to complete and approve schedule 3(a).</t>
  </si>
  <si>
    <t xml:space="preserve">4. Refer Charts (Capex by Major Vote and Capex by Minor Vote - pages 27 &amp; 28). This example split shows smaller amounts on a separate chart to ensure that all classifications are explained without distorting the main chart. </t>
  </si>
  <si>
    <t>5. Note that totals agree to totals on Annexure 4, Table 3 reconciling the IDP and Budget for Capital Expenditure (page 37)</t>
  </si>
  <si>
    <t>EXAMPLE TABLE 4</t>
  </si>
  <si>
    <t>Chart Data</t>
  </si>
  <si>
    <t>Capital Funding by Source</t>
  </si>
  <si>
    <t>Grants - National Government</t>
  </si>
  <si>
    <t>Grants - Provincial Government</t>
  </si>
  <si>
    <t>Accumulated Surplus</t>
  </si>
  <si>
    <t>TOTAL FUNDING OF CAPITAL EXPENDITURE</t>
  </si>
  <si>
    <t>2. The figures and resulting chart on page 30 are examples only.</t>
  </si>
  <si>
    <t>3. Note the use of zeros where no amounts applicable.</t>
  </si>
  <si>
    <t>4. Total Capital Expenditure agrees to Total Funding (see page 26)</t>
  </si>
  <si>
    <t>5. The example charts displayed show the relevant data tables ranked in order from highest to lowest (bottom to top) in the same way the chart displays the stacked columns from highest to lowest.</t>
  </si>
  <si>
    <t>EXAMPLE TABLE 5</t>
  </si>
  <si>
    <t>Surplus /</t>
  </si>
  <si>
    <t>SUMMARY OF REV &amp; EXP</t>
  </si>
  <si>
    <t>Capital</t>
  </si>
  <si>
    <t>Operating</t>
  </si>
  <si>
    <t>Own Source</t>
  </si>
  <si>
    <t>BY VOTE</t>
  </si>
  <si>
    <t xml:space="preserve">Executive &amp; Council </t>
  </si>
  <si>
    <t>Planning and Development</t>
  </si>
  <si>
    <t>Sport &amp; Recreation</t>
  </si>
  <si>
    <t xml:space="preserve">TOTAL </t>
  </si>
  <si>
    <t>1. The votes listed here are the GFS functions (i.e. in this example the municipality has elected to show the GFS functions as its votes and is therefore not required to complete and approve schedule 2(a) and 3(a).</t>
  </si>
  <si>
    <t>3. Capital appropriations must agree to Table 3 (Capex by Vote - page 26)</t>
  </si>
  <si>
    <t>4. Operating appropriations must agree to Table 2 (Opex by Vote- page 23)</t>
  </si>
  <si>
    <t xml:space="preserve">5. Funding by vote will depend upon the particular responsibilities within each municipality. While some votes will operate with deficits, others will operate with surpluses. </t>
  </si>
  <si>
    <t>6. In terms of an overall funded budget (balanced budget) the municipality must comply with section 18(1) of MFMA. Provide a note to that effect.</t>
  </si>
  <si>
    <t>BT</t>
  </si>
  <si>
    <t>CE</t>
  </si>
  <si>
    <t>DebitAcc</t>
  </si>
  <si>
    <t>CreditAcc</t>
  </si>
  <si>
    <t>Unit</t>
  </si>
  <si>
    <t>Acc</t>
  </si>
  <si>
    <t>Document</t>
  </si>
  <si>
    <t>Date</t>
  </si>
  <si>
    <t>Amount</t>
  </si>
  <si>
    <t>Description</t>
  </si>
  <si>
    <t>7300/5204/0000</t>
  </si>
  <si>
    <t>Government Rebate</t>
  </si>
  <si>
    <t>0000/0000/0000</t>
  </si>
  <si>
    <t>RJnl2673</t>
  </si>
  <si>
    <t>STAAT afslag</t>
  </si>
  <si>
    <t>RJnl2674</t>
  </si>
  <si>
    <t>RJnl2675</t>
  </si>
  <si>
    <t>SKOLE afslag</t>
  </si>
  <si>
    <t>RJnl2676</t>
  </si>
  <si>
    <t>RJnl2677</t>
  </si>
  <si>
    <t>RJnl2995</t>
  </si>
  <si>
    <t>RJnl2996</t>
  </si>
  <si>
    <t>33330A</t>
  </si>
  <si>
    <t>5H0142</t>
  </si>
  <si>
    <t>RJnl3035</t>
  </si>
  <si>
    <t>SCHOOLS rebate</t>
  </si>
  <si>
    <t>5N0401</t>
  </si>
  <si>
    <t>RJnl3075</t>
  </si>
  <si>
    <t>5R0188</t>
  </si>
  <si>
    <t>RJnl3245</t>
  </si>
  <si>
    <t>5R0189</t>
  </si>
  <si>
    <t>GOVERNMENT rebate</t>
  </si>
  <si>
    <t>5R0190</t>
  </si>
  <si>
    <t>5R0191</t>
  </si>
  <si>
    <t>5R0231</t>
  </si>
  <si>
    <t>RJnl3250</t>
  </si>
  <si>
    <t>5R0232</t>
  </si>
  <si>
    <t>5R0233</t>
  </si>
  <si>
    <t>5R0266</t>
  </si>
  <si>
    <t>RJnl3255</t>
  </si>
  <si>
    <t>5R0267</t>
  </si>
  <si>
    <t>5R0269</t>
  </si>
  <si>
    <t>RJnl3256</t>
  </si>
  <si>
    <t>5R0272</t>
  </si>
  <si>
    <t>5R0273</t>
  </si>
  <si>
    <t>5R0275</t>
  </si>
  <si>
    <t>RJnl3257</t>
  </si>
  <si>
    <t>5R0276</t>
  </si>
  <si>
    <t>5R0277</t>
  </si>
  <si>
    <t>5R0278</t>
  </si>
  <si>
    <t>5R0294</t>
  </si>
  <si>
    <t>RJnl3259</t>
  </si>
  <si>
    <t>5R0295</t>
  </si>
  <si>
    <t>5R0338</t>
  </si>
  <si>
    <t>RJnl3265</t>
  </si>
  <si>
    <t>5R0339</t>
  </si>
  <si>
    <t>5R0340</t>
  </si>
  <si>
    <t>5R0352</t>
  </si>
  <si>
    <t>RJnl3267</t>
  </si>
  <si>
    <t>5R0371</t>
  </si>
  <si>
    <t>RJnl3268</t>
  </si>
  <si>
    <t>5R349C</t>
  </si>
  <si>
    <t>RJnl3292</t>
  </si>
  <si>
    <t>5R357A</t>
  </si>
  <si>
    <t>5R357B</t>
  </si>
  <si>
    <t>5U0013</t>
  </si>
  <si>
    <t>RJnl3293</t>
  </si>
  <si>
    <t>7M0474</t>
  </si>
  <si>
    <t>RJnl3440</t>
  </si>
  <si>
    <t>7S0003</t>
  </si>
  <si>
    <t>RJnl3494</t>
  </si>
  <si>
    <t>7S0094</t>
  </si>
  <si>
    <t>RJnl3504</t>
  </si>
  <si>
    <t>7S0199</t>
  </si>
  <si>
    <t>RJnl3515</t>
  </si>
  <si>
    <t>7S0209</t>
  </si>
  <si>
    <t>RJnl3516</t>
  </si>
  <si>
    <t>7S0240</t>
  </si>
  <si>
    <t>RJnl3521</t>
  </si>
  <si>
    <t>7S0241</t>
  </si>
  <si>
    <t>7S0242</t>
  </si>
  <si>
    <t>7S0248</t>
  </si>
  <si>
    <t>RJnl3522</t>
  </si>
  <si>
    <t>7S0282</t>
  </si>
  <si>
    <t>RJnl3529</t>
  </si>
  <si>
    <t>7S0284</t>
  </si>
  <si>
    <t>7S0286</t>
  </si>
  <si>
    <t>7S0287</t>
  </si>
  <si>
    <t>7S0288</t>
  </si>
  <si>
    <t>RJnl3530</t>
  </si>
  <si>
    <t>7S0289</t>
  </si>
  <si>
    <t>7S0290</t>
  </si>
  <si>
    <t>7S0311</t>
  </si>
  <si>
    <t>RJnl3533</t>
  </si>
  <si>
    <t>7S0545</t>
  </si>
  <si>
    <t>RJnl3550</t>
  </si>
  <si>
    <t>7S0547</t>
  </si>
  <si>
    <t>RJnl3551</t>
  </si>
  <si>
    <t>7S190A</t>
  </si>
  <si>
    <t>RJnl3556</t>
  </si>
  <si>
    <t>7S190B</t>
  </si>
  <si>
    <t>RJnl3557</t>
  </si>
  <si>
    <t>7S190R</t>
  </si>
  <si>
    <t>7S522A</t>
  </si>
  <si>
    <t>RJnl3563</t>
  </si>
  <si>
    <t>7S523A</t>
  </si>
  <si>
    <t>7S528B</t>
  </si>
  <si>
    <t>RJnl3564</t>
  </si>
  <si>
    <t>7S528C</t>
  </si>
  <si>
    <t>Property Rates -Government</t>
  </si>
  <si>
    <t>1112/5609/0000</t>
  </si>
  <si>
    <t>STAAT</t>
  </si>
  <si>
    <t>GOVERNMENT</t>
  </si>
  <si>
    <t>INCREASE</t>
  </si>
  <si>
    <t>Property Rates Business</t>
  </si>
  <si>
    <t>VOP(Old)</t>
  </si>
  <si>
    <t>3.9c/R</t>
  </si>
  <si>
    <t>1112/5610/0000</t>
  </si>
  <si>
    <t>RJnl2551</t>
  </si>
  <si>
    <t>BESIGHEDE</t>
  </si>
  <si>
    <t>RJnl2555</t>
  </si>
  <si>
    <t>RJnl2581</t>
  </si>
  <si>
    <t>RJnl2582</t>
  </si>
  <si>
    <t>RJnl2664</t>
  </si>
  <si>
    <t>RJnl2665</t>
  </si>
  <si>
    <t>RJnl2666</t>
  </si>
  <si>
    <t>RJnl2667</t>
  </si>
  <si>
    <t>RJnl2668</t>
  </si>
  <si>
    <t>RJnl2669</t>
  </si>
  <si>
    <t>RJnl2670</t>
  </si>
  <si>
    <t>RJnl2671</t>
  </si>
  <si>
    <t>RJnl2672</t>
  </si>
  <si>
    <t>12102A</t>
  </si>
  <si>
    <t>RJnl2678</t>
  </si>
  <si>
    <t>RJnl2679</t>
  </si>
  <si>
    <t>RJnl2680</t>
  </si>
  <si>
    <t>5R0014</t>
  </si>
  <si>
    <t>RJnl3223</t>
  </si>
  <si>
    <t>5R0017</t>
  </si>
  <si>
    <t>RJnl3224</t>
  </si>
  <si>
    <t>5R0018</t>
  </si>
  <si>
    <t>5R0019</t>
  </si>
  <si>
    <t>5R001B</t>
  </si>
  <si>
    <t>5R001C</t>
  </si>
  <si>
    <t>5R003A</t>
  </si>
  <si>
    <t>RJnl3228</t>
  </si>
  <si>
    <t>5R003C</t>
  </si>
  <si>
    <t>5R003R</t>
  </si>
  <si>
    <t>5R004R</t>
  </si>
  <si>
    <t>RJnl3229</t>
  </si>
  <si>
    <t>5R005C</t>
  </si>
  <si>
    <t>RJnl3230</t>
  </si>
  <si>
    <t>5R0174</t>
  </si>
  <si>
    <t>RJnl3243</t>
  </si>
  <si>
    <t>5R0175</t>
  </si>
  <si>
    <t>5R0270</t>
  </si>
  <si>
    <t>5R0271</t>
  </si>
  <si>
    <t>5R0288</t>
  </si>
  <si>
    <t>RJnl3258</t>
  </si>
  <si>
    <t>5R0290</t>
  </si>
  <si>
    <t>5R0297</t>
  </si>
  <si>
    <t>5R0361</t>
  </si>
  <si>
    <t>5R0368</t>
  </si>
  <si>
    <t>5R038R</t>
  </si>
  <si>
    <t>RJnl3271</t>
  </si>
  <si>
    <t>5R0395</t>
  </si>
  <si>
    <t>RJnl3272</t>
  </si>
  <si>
    <t>5R041A</t>
  </si>
  <si>
    <t>RJnl3273</t>
  </si>
  <si>
    <t>5R05AB</t>
  </si>
  <si>
    <t>RJnl3274</t>
  </si>
  <si>
    <t>5R113B</t>
  </si>
  <si>
    <t>RJnl3276</t>
  </si>
  <si>
    <t>5R113R</t>
  </si>
  <si>
    <t>5R241A</t>
  </si>
  <si>
    <t>RJnl3286</t>
  </si>
  <si>
    <t>5R243S</t>
  </si>
  <si>
    <t>RJnl3289</t>
  </si>
  <si>
    <t>5R287A</t>
  </si>
  <si>
    <t>RJnl3290</t>
  </si>
  <si>
    <t>5R299B</t>
  </si>
  <si>
    <t>RJnl3291</t>
  </si>
  <si>
    <t>5R304C</t>
  </si>
  <si>
    <t>7S0041</t>
  </si>
  <si>
    <t>RJnl3499</t>
  </si>
  <si>
    <t>7S0051</t>
  </si>
  <si>
    <t>RJnl3500</t>
  </si>
  <si>
    <t>7S0052</t>
  </si>
  <si>
    <t>7S0053</t>
  </si>
  <si>
    <t>7S0054</t>
  </si>
  <si>
    <t>7S0055</t>
  </si>
  <si>
    <t>7S0056</t>
  </si>
  <si>
    <t>7S0058</t>
  </si>
  <si>
    <t>RJnl3501</t>
  </si>
  <si>
    <t>7S0103</t>
  </si>
  <si>
    <t>RJnl3506</t>
  </si>
  <si>
    <t>7S0112</t>
  </si>
  <si>
    <t>RJnl3507</t>
  </si>
  <si>
    <t>7S0113</t>
  </si>
  <si>
    <t>7S0213</t>
  </si>
  <si>
    <t>RJnl3517</t>
  </si>
  <si>
    <t>7S0550</t>
  </si>
  <si>
    <t>RJnl2564</t>
  </si>
  <si>
    <t>BUSINESS</t>
  </si>
  <si>
    <t>RJnl2565</t>
  </si>
  <si>
    <t>RJnl2650</t>
  </si>
  <si>
    <t>RJnl2821</t>
  </si>
  <si>
    <t>5N0411</t>
  </si>
  <si>
    <t>5N0412</t>
  </si>
  <si>
    <t>5O0161</t>
  </si>
  <si>
    <t>RJnl3197</t>
  </si>
  <si>
    <t>5R0008</t>
  </si>
  <si>
    <t>5R0012</t>
  </si>
  <si>
    <t>5R0025</t>
  </si>
  <si>
    <t>RJnl3225</t>
  </si>
  <si>
    <t>5R0026</t>
  </si>
  <si>
    <t>RJnl3226</t>
  </si>
  <si>
    <t>5R0027</t>
  </si>
  <si>
    <t>5R0028</t>
  </si>
  <si>
    <t>5R002F</t>
  </si>
  <si>
    <t>RJnl3227</t>
  </si>
  <si>
    <t>5R0139</t>
  </si>
  <si>
    <t>RJnl3238</t>
  </si>
  <si>
    <t>5R0300</t>
  </si>
  <si>
    <t>RJnl3260</t>
  </si>
  <si>
    <t>5R0362</t>
  </si>
  <si>
    <t>5R04AA</t>
  </si>
  <si>
    <t>5R059A</t>
  </si>
  <si>
    <t>5R05RB</t>
  </si>
  <si>
    <t>5R287R</t>
  </si>
  <si>
    <t>7M0034</t>
  </si>
  <si>
    <t>RJnl3390</t>
  </si>
  <si>
    <t>7M0347</t>
  </si>
  <si>
    <t>RJnl3426</t>
  </si>
  <si>
    <t>7M0460</t>
  </si>
  <si>
    <t>RJnl3438</t>
  </si>
  <si>
    <t>7M0528</t>
  </si>
  <si>
    <t>RJnl3447</t>
  </si>
  <si>
    <t>7M0580</t>
  </si>
  <si>
    <t>RJnl3451</t>
  </si>
  <si>
    <t>7M0585</t>
  </si>
  <si>
    <t>RJnl3452</t>
  </si>
  <si>
    <t>7S0001</t>
  </si>
  <si>
    <t>RJnl3493</t>
  </si>
  <si>
    <t>7S0005</t>
  </si>
  <si>
    <t>7S0015</t>
  </si>
  <si>
    <t>RJnl3495</t>
  </si>
  <si>
    <t>7S0017</t>
  </si>
  <si>
    <t>RJnl3496</t>
  </si>
  <si>
    <t>7S0024</t>
  </si>
  <si>
    <t>RJnl3497</t>
  </si>
  <si>
    <t>7S0029</t>
  </si>
  <si>
    <t>RJnl3498</t>
  </si>
  <si>
    <t>7S0043</t>
  </si>
  <si>
    <t>7S0048</t>
  </si>
  <si>
    <t>7S0050</t>
  </si>
  <si>
    <t>7S0064</t>
  </si>
  <si>
    <t>7S0066</t>
  </si>
  <si>
    <t>7S0071</t>
  </si>
  <si>
    <t>RJnl3502</t>
  </si>
  <si>
    <t>7S0072</t>
  </si>
  <si>
    <t>7S0073</t>
  </si>
  <si>
    <t>7S0074</t>
  </si>
  <si>
    <t>7S0091</t>
  </si>
  <si>
    <t>7S0105</t>
  </si>
  <si>
    <t>7S0107</t>
  </si>
  <si>
    <t>7S0108</t>
  </si>
  <si>
    <t>7S0111</t>
  </si>
  <si>
    <t>7S0159</t>
  </si>
  <si>
    <t>RJnl3509</t>
  </si>
  <si>
    <t>7S0200</t>
  </si>
  <si>
    <t>7S0207</t>
  </si>
  <si>
    <t>7S0500</t>
  </si>
  <si>
    <t>RJnl3547</t>
  </si>
  <si>
    <t>7S0554</t>
  </si>
  <si>
    <t>7S0555</t>
  </si>
  <si>
    <t>RJnl3552</t>
  </si>
  <si>
    <t>7S057A</t>
  </si>
  <si>
    <t>7S088A</t>
  </si>
  <si>
    <t>RJnl3553</t>
  </si>
  <si>
    <t>7S0954</t>
  </si>
  <si>
    <t>7S528H</t>
  </si>
  <si>
    <t>7S551R</t>
  </si>
  <si>
    <t>RJnl3565</t>
  </si>
  <si>
    <t>C*10%</t>
  </si>
  <si>
    <t>A*10%</t>
  </si>
  <si>
    <t>Property Rates - Residential</t>
  </si>
  <si>
    <t>Amt exl Disc</t>
  </si>
  <si>
    <t>Disc</t>
  </si>
  <si>
    <t>Amt  incl Disc</t>
  </si>
  <si>
    <t>RJnl2547</t>
  </si>
  <si>
    <t>RJnl2548</t>
  </si>
  <si>
    <t>RJnl2549</t>
  </si>
  <si>
    <t>RJnl2550</t>
  </si>
  <si>
    <t>RJnl2552</t>
  </si>
  <si>
    <t>RJnl2553</t>
  </si>
  <si>
    <t>RJnl2554</t>
  </si>
  <si>
    <t>RJnl2556</t>
  </si>
  <si>
    <t>RJnl2557</t>
  </si>
  <si>
    <t>RJnl2558</t>
  </si>
  <si>
    <t>RJnl2559</t>
  </si>
  <si>
    <t>RJnl2561</t>
  </si>
  <si>
    <t>RJnl2562</t>
  </si>
  <si>
    <t>RJnl2563</t>
  </si>
  <si>
    <t>RJnl2566</t>
  </si>
  <si>
    <t xml:space="preserve">4. Refer Charts (Opex by Major vote and Opex by Minor Vote - pages 24 &amp; 25). This example split shows smaller amounts on a separate chart to ensure that all classifications are explained without distorting the main chart. </t>
  </si>
  <si>
    <t>5. Note that totals agree to totals on Annexure 4, Table 2 reconciling the IDP and Budget for Operating Expenditure (page 36)</t>
  </si>
  <si>
    <t xml:space="preserve">TOTAL TRANSFERS RECOGNISED - OPERATIONAL </t>
  </si>
  <si>
    <t>TOTAL BULK PURCHASES</t>
  </si>
  <si>
    <t>TRANSFERS RECOGNISED - EQUITABLE SHARE</t>
  </si>
  <si>
    <t>Grant Expenditure</t>
  </si>
  <si>
    <t>Ex Income</t>
  </si>
  <si>
    <t>CDF</t>
  </si>
  <si>
    <t>NT Grant</t>
  </si>
  <si>
    <t>NT Grant - MSIG</t>
  </si>
  <si>
    <t>Compensation Commissioner</t>
  </si>
  <si>
    <t>Contr - CDF</t>
  </si>
  <si>
    <t>Project - FMG</t>
  </si>
  <si>
    <t>Discount Received</t>
  </si>
  <si>
    <t>Equitable Share - Indigent Share</t>
  </si>
  <si>
    <t>CCA - Furniture &amp; Office Equipment</t>
  </si>
  <si>
    <t>Sundry Income</t>
  </si>
  <si>
    <t>Permits</t>
  </si>
  <si>
    <t>Prov Grant - Sal Temp Worker</t>
  </si>
  <si>
    <t>Consumables</t>
  </si>
  <si>
    <t>Indigent Subsidies - Equitable Share</t>
  </si>
  <si>
    <t xml:space="preserve">National Government - FMG </t>
  </si>
  <si>
    <t>Provide Training Program</t>
  </si>
  <si>
    <t>Do not increase</t>
  </si>
  <si>
    <t>Funds from DM</t>
  </si>
  <si>
    <t>Budget but get funds from Health</t>
  </si>
  <si>
    <t xml:space="preserve">Property rates: Farms </t>
  </si>
  <si>
    <t>Property rates: Residential &amp; Other</t>
  </si>
  <si>
    <t>2012</t>
  </si>
  <si>
    <t>2011</t>
  </si>
  <si>
    <t>2013</t>
  </si>
  <si>
    <t>Property rates: Silo's</t>
  </si>
  <si>
    <t>TRANSFERS RECOGNISED - CAPITAL</t>
  </si>
  <si>
    <t>TOTAL TRANSFERS RECOGNISED - CAPITAL</t>
  </si>
  <si>
    <t>TRANSFERS &amp; GRANTS - PROJECTS</t>
  </si>
  <si>
    <t>TOTAL TRANSFERS &amp; GRANTS - PROJECTS</t>
  </si>
  <si>
    <t>Equitable share - Council</t>
  </si>
  <si>
    <t>TRANSFERS RECOGNISED - INT RECOVERIES</t>
  </si>
  <si>
    <t>TRANSFERS &amp; GRANTS - EQUITABLE SHARE</t>
  </si>
  <si>
    <t>TRANSFERS &amp; GRANTS - ASSETS</t>
  </si>
  <si>
    <t>TRANSFERS &amp; GRANTS - PROVISIONS</t>
  </si>
  <si>
    <t>Preceding Year</t>
  </si>
  <si>
    <t>Current Year</t>
  </si>
  <si>
    <t>Medium Term Revenue and Expenditure Framework</t>
  </si>
  <si>
    <t>SCHEDULE 1</t>
  </si>
  <si>
    <t>Budget Year</t>
  </si>
  <si>
    <t>Budget Year +1</t>
  </si>
  <si>
    <t>Budget Year +2</t>
  </si>
  <si>
    <t>2008/09</t>
  </si>
  <si>
    <t>Audited Actual</t>
  </si>
  <si>
    <t>Approved Budget</t>
  </si>
  <si>
    <t>Adjusted Budget</t>
  </si>
  <si>
    <t>Full Year Forecast</t>
  </si>
  <si>
    <t>Budget</t>
  </si>
  <si>
    <t>R'000</t>
  </si>
  <si>
    <t>A</t>
  </si>
  <si>
    <t>B</t>
  </si>
  <si>
    <t>C</t>
  </si>
  <si>
    <t>D</t>
  </si>
  <si>
    <t>E</t>
  </si>
  <si>
    <t>F</t>
  </si>
  <si>
    <t>G</t>
  </si>
  <si>
    <t>Operating Revenue by Source</t>
  </si>
  <si>
    <t>Property rates</t>
  </si>
  <si>
    <t xml:space="preserve">Property rates - penalties imposed and collection charges </t>
  </si>
  <si>
    <t>Service charges - electricity revenue from tariff billings</t>
  </si>
  <si>
    <t>Service charges - water revenue from tariff billings</t>
  </si>
  <si>
    <t>Service charges - sanitation revenue from tariff billings</t>
  </si>
  <si>
    <t>Service charges - refuse removal from tariff billings</t>
  </si>
  <si>
    <t>Rental of facilities and equipment</t>
  </si>
  <si>
    <t>Interest earned - external investments</t>
  </si>
  <si>
    <t>Interest earned - outstanding debtors</t>
  </si>
  <si>
    <t>Dividends received</t>
  </si>
  <si>
    <t>Fines</t>
  </si>
  <si>
    <t>Gain on disposal of property plant and equipment</t>
  </si>
  <si>
    <t>Total Revenue By Source</t>
  </si>
  <si>
    <t>Column Definitions:</t>
  </si>
  <si>
    <t>Notes:</t>
  </si>
  <si>
    <t>5N0017</t>
  </si>
  <si>
    <t>5N0018</t>
  </si>
  <si>
    <t>5N0019</t>
  </si>
  <si>
    <t>RJnl3038</t>
  </si>
  <si>
    <t>5N0020</t>
  </si>
  <si>
    <t>5N0021</t>
  </si>
  <si>
    <t>5N0022</t>
  </si>
  <si>
    <t>5N0025</t>
  </si>
  <si>
    <t>5N0026</t>
  </si>
  <si>
    <t>RJnl3039</t>
  </si>
  <si>
    <t>5N0028</t>
  </si>
  <si>
    <t>5N0029</t>
  </si>
  <si>
    <t>5N0032</t>
  </si>
  <si>
    <t>5N0033</t>
  </si>
  <si>
    <t>5N0034</t>
  </si>
  <si>
    <t>RJnl3040</t>
  </si>
  <si>
    <t>5N0040</t>
  </si>
  <si>
    <t>5N0044</t>
  </si>
  <si>
    <t>5N0045</t>
  </si>
  <si>
    <t>5N0046</t>
  </si>
  <si>
    <t>5N0047</t>
  </si>
  <si>
    <t>RJnl3041</t>
  </si>
  <si>
    <t>5N0048</t>
  </si>
  <si>
    <t>5N0049</t>
  </si>
  <si>
    <t>5N0050</t>
  </si>
  <si>
    <t>5N0051</t>
  </si>
  <si>
    <t>5N0052</t>
  </si>
  <si>
    <t>RJnl3042</t>
  </si>
  <si>
    <t>5N0053</t>
  </si>
  <si>
    <t>5N0057</t>
  </si>
  <si>
    <t>5N0058</t>
  </si>
  <si>
    <t>5N0061</t>
  </si>
  <si>
    <t>5N0067</t>
  </si>
  <si>
    <t>RJnl3043</t>
  </si>
  <si>
    <t>5N0070</t>
  </si>
  <si>
    <t>5N0074</t>
  </si>
  <si>
    <t>5N0077</t>
  </si>
  <si>
    <t>5N0078</t>
  </si>
  <si>
    <t>More vacancies are being filled.</t>
  </si>
  <si>
    <t>In line with NT guidelines.</t>
  </si>
  <si>
    <t>If the operating lease is included the</t>
  </si>
  <si>
    <t>increase = 51%</t>
  </si>
  <si>
    <t>Includes interest on Finance Lease.</t>
  </si>
  <si>
    <t>Electricity is taken over by the MLM.</t>
  </si>
  <si>
    <t>Maitenance lease on new vehicles.</t>
  </si>
  <si>
    <t>Includes redemption of Finance Lease.</t>
  </si>
  <si>
    <t>Due to general salary increase.</t>
  </si>
  <si>
    <t>Page 2</t>
  </si>
  <si>
    <t>RJnl3152</t>
  </si>
  <si>
    <t>5N1010</t>
  </si>
  <si>
    <t>5N1011</t>
  </si>
  <si>
    <t>5N1012</t>
  </si>
  <si>
    <t>5N1013</t>
  </si>
  <si>
    <t>5N1014</t>
  </si>
  <si>
    <t>RJnl3153</t>
  </si>
  <si>
    <t>5N1015</t>
  </si>
  <si>
    <t>5N1016</t>
  </si>
  <si>
    <t>5N1017</t>
  </si>
  <si>
    <t>5N1018</t>
  </si>
  <si>
    <t>5N1019</t>
  </si>
  <si>
    <t>RJnl3154</t>
  </si>
  <si>
    <t>5N1020</t>
  </si>
  <si>
    <t>5N1021</t>
  </si>
  <si>
    <t>5N1022</t>
  </si>
  <si>
    <t>5N1023</t>
  </si>
  <si>
    <t>5N1024</t>
  </si>
  <si>
    <t>RJnl3155</t>
  </si>
  <si>
    <t>5N1025</t>
  </si>
  <si>
    <t>5N1026</t>
  </si>
  <si>
    <t>5N1027</t>
  </si>
  <si>
    <t>5N1028</t>
  </si>
  <si>
    <t>5N1029</t>
  </si>
  <si>
    <t>RJnl3156</t>
  </si>
  <si>
    <t>5N1030</t>
  </si>
  <si>
    <t>5N1031</t>
  </si>
  <si>
    <t>5N1032</t>
  </si>
  <si>
    <t>5N1033</t>
  </si>
  <si>
    <t>5N1034</t>
  </si>
  <si>
    <t>RJnl3157</t>
  </si>
  <si>
    <t>5N1035</t>
  </si>
  <si>
    <t>5N1036</t>
  </si>
  <si>
    <t>5N1037</t>
  </si>
  <si>
    <t>5N1038</t>
  </si>
  <si>
    <t>5N1039</t>
  </si>
  <si>
    <t>RJnl3158</t>
  </si>
  <si>
    <t>5N1040</t>
  </si>
  <si>
    <t>5N1041</t>
  </si>
  <si>
    <t>5N1042</t>
  </si>
  <si>
    <t>5N1043</t>
  </si>
  <si>
    <t>5N1044</t>
  </si>
  <si>
    <t>RJnl3159</t>
  </si>
  <si>
    <t>5N1045</t>
  </si>
  <si>
    <t>5N1046</t>
  </si>
  <si>
    <t>5N1047</t>
  </si>
  <si>
    <t>5N1048</t>
  </si>
  <si>
    <t>5N1049</t>
  </si>
  <si>
    <t>RJnl3160</t>
  </si>
  <si>
    <t>5N1050</t>
  </si>
  <si>
    <t>5N1051</t>
  </si>
  <si>
    <t>5N1052</t>
  </si>
  <si>
    <t>5N1053</t>
  </si>
  <si>
    <t>5N1054</t>
  </si>
  <si>
    <t>RJnl3161</t>
  </si>
  <si>
    <t>5N1055</t>
  </si>
  <si>
    <t>5N1056</t>
  </si>
  <si>
    <t>5N1057</t>
  </si>
  <si>
    <t>5N1058</t>
  </si>
  <si>
    <t>5N1059</t>
  </si>
  <si>
    <t>RJnl3162</t>
  </si>
  <si>
    <t>5N1060</t>
  </si>
  <si>
    <t>5N1061</t>
  </si>
  <si>
    <t>5N1062</t>
  </si>
  <si>
    <t>5N1063</t>
  </si>
  <si>
    <t>5N1064</t>
  </si>
  <si>
    <t>RJnl3163</t>
  </si>
  <si>
    <t>5N1065</t>
  </si>
  <si>
    <t>5N1066</t>
  </si>
  <si>
    <t>5N1067</t>
  </si>
  <si>
    <t>5N1068</t>
  </si>
  <si>
    <t>5N1069</t>
  </si>
  <si>
    <t>RJnl3164</t>
  </si>
  <si>
    <t>5N1070</t>
  </si>
  <si>
    <t>5N1071</t>
  </si>
  <si>
    <t>5N1072</t>
  </si>
  <si>
    <t>5N1073</t>
  </si>
  <si>
    <t>5N1074</t>
  </si>
  <si>
    <t>RJnl3165</t>
  </si>
  <si>
    <t>5N1075</t>
  </si>
  <si>
    <t>5N1076</t>
  </si>
  <si>
    <t>5N1077</t>
  </si>
  <si>
    <t>5N1078</t>
  </si>
  <si>
    <t>5N1079</t>
  </si>
  <si>
    <t>RJnl3166</t>
  </si>
  <si>
    <t>5N1080</t>
  </si>
  <si>
    <t>5N1081</t>
  </si>
  <si>
    <t>5N1082</t>
  </si>
  <si>
    <t>5N1083</t>
  </si>
  <si>
    <t>5N1084</t>
  </si>
  <si>
    <t>RJnl3167</t>
  </si>
  <si>
    <t>5N1085</t>
  </si>
  <si>
    <t>5N1086</t>
  </si>
  <si>
    <t>5N1087</t>
  </si>
  <si>
    <t>5N1088</t>
  </si>
  <si>
    <t>5N1089</t>
  </si>
  <si>
    <t>RJnl3168</t>
  </si>
  <si>
    <t>5N1090</t>
  </si>
  <si>
    <t>5N1091</t>
  </si>
  <si>
    <t>5N1092</t>
  </si>
  <si>
    <t>5N1093</t>
  </si>
  <si>
    <t>5N1094</t>
  </si>
  <si>
    <t>RJnl3169</t>
  </si>
  <si>
    <t>5N1095</t>
  </si>
  <si>
    <t>5N1096</t>
  </si>
  <si>
    <t>5N1097</t>
  </si>
  <si>
    <t>5N1098</t>
  </si>
  <si>
    <t>5N1099</t>
  </si>
  <si>
    <t>RJnl3170</t>
  </si>
  <si>
    <t>5N1100</t>
  </si>
  <si>
    <t>5N1101</t>
  </si>
  <si>
    <t>5N1102</t>
  </si>
  <si>
    <t>5N1103</t>
  </si>
  <si>
    <t>5N1104</t>
  </si>
  <si>
    <t>RJnl3171</t>
  </si>
  <si>
    <t>5N1105</t>
  </si>
  <si>
    <t>5N1106</t>
  </si>
  <si>
    <t>5N1107</t>
  </si>
  <si>
    <t>5N1108</t>
  </si>
  <si>
    <t>5N1109</t>
  </si>
  <si>
    <t>RJnl3172</t>
  </si>
  <si>
    <t>5N1110</t>
  </si>
  <si>
    <t>5N1111</t>
  </si>
  <si>
    <t>5N1112</t>
  </si>
  <si>
    <t>5N1113</t>
  </si>
  <si>
    <t>5N1114</t>
  </si>
  <si>
    <t>RJnl3173</t>
  </si>
  <si>
    <t>5N1115</t>
  </si>
  <si>
    <t>5N1116</t>
  </si>
  <si>
    <t>5N1117</t>
  </si>
  <si>
    <t>5N1118</t>
  </si>
  <si>
    <t>5N1119</t>
  </si>
  <si>
    <t>RJnl3174</t>
  </si>
  <si>
    <t>5N1120</t>
  </si>
  <si>
    <t>5N1121</t>
  </si>
  <si>
    <t>5N1122</t>
  </si>
  <si>
    <t>5N1123</t>
  </si>
  <si>
    <t>5N1124</t>
  </si>
  <si>
    <t>RJnl3175</t>
  </si>
  <si>
    <t>5N1125</t>
  </si>
  <si>
    <t>5N1126</t>
  </si>
  <si>
    <t>5N1127</t>
  </si>
  <si>
    <t>5N1128</t>
  </si>
  <si>
    <t>5N1129</t>
  </si>
  <si>
    <t>RJnl3176</t>
  </si>
  <si>
    <t>5N1130</t>
  </si>
  <si>
    <t>5N1131</t>
  </si>
  <si>
    <t>5N1132</t>
  </si>
  <si>
    <t>5N1133</t>
  </si>
  <si>
    <t>5N1134</t>
  </si>
  <si>
    <t>RJnl3177</t>
  </si>
  <si>
    <t>5N1135</t>
  </si>
  <si>
    <t>5N1136</t>
  </si>
  <si>
    <t>5N1137</t>
  </si>
  <si>
    <t>5N1138</t>
  </si>
  <si>
    <t>5N1139</t>
  </si>
  <si>
    <t>RJnl3178</t>
  </si>
  <si>
    <t>5N1141</t>
  </si>
  <si>
    <t>5N1142</t>
  </si>
  <si>
    <t>5N1143</t>
  </si>
  <si>
    <t>5N1144</t>
  </si>
  <si>
    <t>5N1145</t>
  </si>
  <si>
    <t>RJnl3179</t>
  </si>
  <si>
    <t>5N1146</t>
  </si>
  <si>
    <t>5N1147</t>
  </si>
  <si>
    <t>5N1148</t>
  </si>
  <si>
    <t>5N1149</t>
  </si>
  <si>
    <t>5N1150</t>
  </si>
  <si>
    <t>RJnl3180</t>
  </si>
  <si>
    <t>5N1151</t>
  </si>
  <si>
    <t>5N1152</t>
  </si>
  <si>
    <t>5N1153</t>
  </si>
  <si>
    <t>5N1154</t>
  </si>
  <si>
    <t>5N1155</t>
  </si>
  <si>
    <t>RJnl3181</t>
  </si>
  <si>
    <t>5N1156</t>
  </si>
  <si>
    <t>5N1157</t>
  </si>
  <si>
    <t>5N1158</t>
  </si>
  <si>
    <t>5N1159</t>
  </si>
  <si>
    <t>5N1160</t>
  </si>
  <si>
    <t>RJnl3182</t>
  </si>
  <si>
    <t>5N1161</t>
  </si>
  <si>
    <t>5N1162</t>
  </si>
  <si>
    <t>5N1163</t>
  </si>
  <si>
    <t>5N1164</t>
  </si>
  <si>
    <t>5N1165</t>
  </si>
  <si>
    <t>RJnl3183</t>
  </si>
  <si>
    <t>5N1166</t>
  </si>
  <si>
    <t>5N1167</t>
  </si>
  <si>
    <t>5N1168</t>
  </si>
  <si>
    <t>5N1170</t>
  </si>
  <si>
    <t>5O0003</t>
  </si>
  <si>
    <t>RJnl3184</t>
  </si>
  <si>
    <t>5O0006</t>
  </si>
  <si>
    <t>5O0007</t>
  </si>
  <si>
    <t>5O0010</t>
  </si>
  <si>
    <t>5O0012</t>
  </si>
  <si>
    <t>5O0015</t>
  </si>
  <si>
    <t>RJnl3185</t>
  </si>
  <si>
    <t>5O0016</t>
  </si>
  <si>
    <t>5O0017</t>
  </si>
  <si>
    <t>5O0022</t>
  </si>
  <si>
    <t>5O0024</t>
  </si>
  <si>
    <t>5O0026</t>
  </si>
  <si>
    <t>RJnl3186</t>
  </si>
  <si>
    <t>5O0032</t>
  </si>
  <si>
    <t>5O0034</t>
  </si>
  <si>
    <t>5O0035</t>
  </si>
  <si>
    <t>5O0037</t>
  </si>
  <si>
    <t>5O0039</t>
  </si>
  <si>
    <t>RJnl3187</t>
  </si>
  <si>
    <t>5O0040</t>
  </si>
  <si>
    <t>5O0041</t>
  </si>
  <si>
    <t>5O0042</t>
  </si>
  <si>
    <t>5O0045</t>
  </si>
  <si>
    <t>5O0046</t>
  </si>
  <si>
    <t>RJnl3188</t>
  </si>
  <si>
    <t>5O0047</t>
  </si>
  <si>
    <t>5O0051</t>
  </si>
  <si>
    <t>5O0052</t>
  </si>
  <si>
    <t>5O0053</t>
  </si>
  <si>
    <t>5O0054</t>
  </si>
  <si>
    <t>RJnl3189</t>
  </si>
  <si>
    <t>5O0055</t>
  </si>
  <si>
    <t>5O0059</t>
  </si>
  <si>
    <t>5O0060</t>
  </si>
  <si>
    <t>5O0062</t>
  </si>
  <si>
    <t>5O0071</t>
  </si>
  <si>
    <t>RJnl3190</t>
  </si>
  <si>
    <t>5O0072</t>
  </si>
  <si>
    <t>5O0075</t>
  </si>
  <si>
    <t>5O0076</t>
  </si>
  <si>
    <t>5O0078</t>
  </si>
  <si>
    <t>5O0080</t>
  </si>
  <si>
    <t>RJnl3191</t>
  </si>
  <si>
    <t>5O0083</t>
  </si>
  <si>
    <t>5O0086</t>
  </si>
  <si>
    <t>5O0087</t>
  </si>
  <si>
    <t>5O0096</t>
  </si>
  <si>
    <t>5O0101</t>
  </si>
  <si>
    <t>RJnl3192</t>
  </si>
  <si>
    <t>5O0102</t>
  </si>
  <si>
    <t>5O0103</t>
  </si>
  <si>
    <t>5O0105</t>
  </si>
  <si>
    <t>5O0107</t>
  </si>
  <si>
    <t>5O0110</t>
  </si>
  <si>
    <t>RJnl3193</t>
  </si>
  <si>
    <t>5O0113</t>
  </si>
  <si>
    <t>5O0121</t>
  </si>
  <si>
    <t>5O0123</t>
  </si>
  <si>
    <t>5O0124</t>
  </si>
  <si>
    <t>5O0125</t>
  </si>
  <si>
    <t>RJnl3194</t>
  </si>
  <si>
    <t>5O0129</t>
  </si>
  <si>
    <t>5O0130</t>
  </si>
  <si>
    <t>5O0133</t>
  </si>
  <si>
    <t>5O0134</t>
  </si>
  <si>
    <t>5O0135</t>
  </si>
  <si>
    <t>RJnl3195</t>
  </si>
  <si>
    <t>5O0136</t>
  </si>
  <si>
    <t>5O0138</t>
  </si>
  <si>
    <t>5O0139</t>
  </si>
  <si>
    <t>5O0143</t>
  </si>
  <si>
    <t>5O0147</t>
  </si>
  <si>
    <t>RJnl3196</t>
  </si>
  <si>
    <t>5O0150</t>
  </si>
  <si>
    <t>5O0154</t>
  </si>
  <si>
    <t>5O0155</t>
  </si>
  <si>
    <t>5O0156</t>
  </si>
  <si>
    <t>5O0157</t>
  </si>
  <si>
    <t>5O0163</t>
  </si>
  <si>
    <t>5O0164</t>
  </si>
  <si>
    <t>5O0168</t>
  </si>
  <si>
    <t>5O0174</t>
  </si>
  <si>
    <t>5O0176</t>
  </si>
  <si>
    <t>RJnl3198</t>
  </si>
  <si>
    <t>5O0178</t>
  </si>
  <si>
    <t>5O0185</t>
  </si>
  <si>
    <t>5O0187</t>
  </si>
  <si>
    <t>5O0188</t>
  </si>
  <si>
    <t>5N0348</t>
  </si>
  <si>
    <t>RJnl3070</t>
  </si>
  <si>
    <t>5N0351</t>
  </si>
  <si>
    <t>5N0353</t>
  </si>
  <si>
    <t>5N0358</t>
  </si>
  <si>
    <t>5N0361</t>
  </si>
  <si>
    <t>5N0362</t>
  </si>
  <si>
    <t>RJnl3071</t>
  </si>
  <si>
    <t>5N0363</t>
  </si>
  <si>
    <t>5N0364</t>
  </si>
  <si>
    <t>5N0365</t>
  </si>
  <si>
    <t>5N0366</t>
  </si>
  <si>
    <t>5N0368</t>
  </si>
  <si>
    <t>RJnl3072</t>
  </si>
  <si>
    <t>5N0369</t>
  </si>
  <si>
    <t>5N0373</t>
  </si>
  <si>
    <t>5N0376</t>
  </si>
  <si>
    <t>5N0377</t>
  </si>
  <si>
    <t>5N0379</t>
  </si>
  <si>
    <t>RJnl3073</t>
  </si>
  <si>
    <t>5N0381</t>
  </si>
  <si>
    <t>5N0382</t>
  </si>
  <si>
    <t>5N0384</t>
  </si>
  <si>
    <t>5N0385</t>
  </si>
  <si>
    <t>5N0394</t>
  </si>
  <si>
    <t>RJnl3074</t>
  </si>
  <si>
    <t>5N0395</t>
  </si>
  <si>
    <t>5N0396</t>
  </si>
  <si>
    <t>5N0397</t>
  </si>
  <si>
    <t>5N0398</t>
  </si>
  <si>
    <t>5N0514</t>
  </si>
  <si>
    <t>5N0516</t>
  </si>
  <si>
    <t>5N0519</t>
  </si>
  <si>
    <t>5N0521</t>
  </si>
  <si>
    <t>RJnl3076</t>
  </si>
  <si>
    <t>5N0523</t>
  </si>
  <si>
    <t>5N0525</t>
  </si>
  <si>
    <t>5N0526</t>
  </si>
  <si>
    <t>5N0528</t>
  </si>
  <si>
    <t>5N0531</t>
  </si>
  <si>
    <t>RJnl3077</t>
  </si>
  <si>
    <t>5N0532</t>
  </si>
  <si>
    <t>5N0533</t>
  </si>
  <si>
    <t>5N0535</t>
  </si>
  <si>
    <t>5N0538</t>
  </si>
  <si>
    <t>5N0541</t>
  </si>
  <si>
    <t>RJnl3078</t>
  </si>
  <si>
    <t>5N0542</t>
  </si>
  <si>
    <t>5N0543</t>
  </si>
  <si>
    <t>5N0548</t>
  </si>
  <si>
    <t>5N0549</t>
  </si>
  <si>
    <t>5N0550</t>
  </si>
  <si>
    <t>RJnl3079</t>
  </si>
  <si>
    <t>5N0555</t>
  </si>
  <si>
    <t>5N0556</t>
  </si>
  <si>
    <t>5N0563</t>
  </si>
  <si>
    <t>5N0564</t>
  </si>
  <si>
    <t>5N0565</t>
  </si>
  <si>
    <t>RJnl3080</t>
  </si>
  <si>
    <t>5N0568</t>
  </si>
  <si>
    <t>5N0569</t>
  </si>
  <si>
    <t>5N0570</t>
  </si>
  <si>
    <t>5N0571</t>
  </si>
  <si>
    <t>5N0575</t>
  </si>
  <si>
    <t>RJnl3081</t>
  </si>
  <si>
    <t>5N0577</t>
  </si>
  <si>
    <t>5N0578</t>
  </si>
  <si>
    <t>5N0579</t>
  </si>
  <si>
    <t>5N0580</t>
  </si>
  <si>
    <t>5N0581</t>
  </si>
  <si>
    <t>RJnl3082</t>
  </si>
  <si>
    <t>5N0582</t>
  </si>
  <si>
    <t>5N0583</t>
  </si>
  <si>
    <t>5N0587</t>
  </si>
  <si>
    <t>5N0591</t>
  </si>
  <si>
    <t>5N0592</t>
  </si>
  <si>
    <t>RJnl3083</t>
  </si>
  <si>
    <t>5N0593</t>
  </si>
  <si>
    <t>5N0594</t>
  </si>
  <si>
    <t>5N0595</t>
  </si>
  <si>
    <t>5N0597</t>
  </si>
  <si>
    <t>5N0599</t>
  </si>
  <si>
    <t>RJnl3084</t>
  </si>
  <si>
    <t>5N0600</t>
  </si>
  <si>
    <t>5N0604</t>
  </si>
  <si>
    <t>5N0605</t>
  </si>
  <si>
    <t>5N0606</t>
  </si>
  <si>
    <t>5N0607</t>
  </si>
  <si>
    <t>RJnl3085</t>
  </si>
  <si>
    <t>5N0616</t>
  </si>
  <si>
    <t>5N0617</t>
  </si>
  <si>
    <t>5N0618</t>
  </si>
  <si>
    <t>5N0619</t>
  </si>
  <si>
    <t>5N0622</t>
  </si>
  <si>
    <t>RJnl3086</t>
  </si>
  <si>
    <t>5N0623</t>
  </si>
  <si>
    <t>5N0625</t>
  </si>
  <si>
    <t>5N0629</t>
  </si>
  <si>
    <t>5N0630</t>
  </si>
  <si>
    <t>5N0633</t>
  </si>
  <si>
    <t>RJnl3087</t>
  </si>
  <si>
    <t>5N0634</t>
  </si>
  <si>
    <t>5N0635</t>
  </si>
  <si>
    <t>5N0638</t>
  </si>
  <si>
    <t>5N0640</t>
  </si>
  <si>
    <t>5N0641</t>
  </si>
  <si>
    <t>RJnl3088</t>
  </si>
  <si>
    <t>5O0501</t>
  </si>
  <si>
    <t>5O0504</t>
  </si>
  <si>
    <t>5O0505</t>
  </si>
  <si>
    <t>5O0507</t>
  </si>
  <si>
    <t>5O0509</t>
  </si>
  <si>
    <t>5R001A</t>
  </si>
  <si>
    <t>5R0022</t>
  </si>
  <si>
    <t>5R002A</t>
  </si>
  <si>
    <t>5R002B</t>
  </si>
  <si>
    <t>5R002C</t>
  </si>
  <si>
    <t>5R002D</t>
  </si>
  <si>
    <t>5R002E</t>
  </si>
  <si>
    <t>5R0033</t>
  </si>
  <si>
    <t>5R0034</t>
  </si>
  <si>
    <t>5R0039</t>
  </si>
  <si>
    <t>5R0044</t>
  </si>
  <si>
    <t>5R0045</t>
  </si>
  <si>
    <t>5R0055</t>
  </si>
  <si>
    <t>5R0061</t>
  </si>
  <si>
    <t>5R0069</t>
  </si>
  <si>
    <t>5R0070</t>
  </si>
  <si>
    <t>5R0074</t>
  </si>
  <si>
    <t>5R0080</t>
  </si>
  <si>
    <t>5R0104</t>
  </si>
  <si>
    <t>5R0110</t>
  </si>
  <si>
    <t>5R0121</t>
  </si>
  <si>
    <t>5R0124</t>
  </si>
  <si>
    <t>5R0132</t>
  </si>
  <si>
    <t>5R0135</t>
  </si>
  <si>
    <t>5R0137</t>
  </si>
  <si>
    <t>5R0141</t>
  </si>
  <si>
    <t>5R0142</t>
  </si>
  <si>
    <t>5R0143</t>
  </si>
  <si>
    <t>5R0144</t>
  </si>
  <si>
    <t>5R0145</t>
  </si>
  <si>
    <t>5R0151</t>
  </si>
  <si>
    <t>5R0160</t>
  </si>
  <si>
    <t>5R0176</t>
  </si>
  <si>
    <t>5R0182</t>
  </si>
  <si>
    <t>5R0183</t>
  </si>
  <si>
    <t>5R0185</t>
  </si>
  <si>
    <t>5R0187</t>
  </si>
  <si>
    <t>5R0194</t>
  </si>
  <si>
    <t>5R0200</t>
  </si>
  <si>
    <t>5R0217</t>
  </si>
  <si>
    <t>5R0221</t>
  </si>
  <si>
    <t>5R0222</t>
  </si>
  <si>
    <t>5R0227</t>
  </si>
  <si>
    <t>5R0228</t>
  </si>
  <si>
    <t>5R0239</t>
  </si>
  <si>
    <t>5R023A</t>
  </si>
  <si>
    <t>5R023R</t>
  </si>
  <si>
    <t>5R0244</t>
  </si>
  <si>
    <t>5R0246</t>
  </si>
  <si>
    <t>5R0247</t>
  </si>
  <si>
    <t>5R024A</t>
  </si>
  <si>
    <t>5R024R</t>
  </si>
  <si>
    <t>5R0260</t>
  </si>
  <si>
    <t>5R0262</t>
  </si>
  <si>
    <t>5R0264</t>
  </si>
  <si>
    <t>5R0292</t>
  </si>
  <si>
    <t>5R0296</t>
  </si>
  <si>
    <t>5R030R</t>
  </si>
  <si>
    <t>5R0312</t>
  </si>
  <si>
    <t>5R0313</t>
  </si>
  <si>
    <t>5R0321</t>
  </si>
  <si>
    <t>5R0322</t>
  </si>
  <si>
    <t>5R0323</t>
  </si>
  <si>
    <t>5R0324</t>
  </si>
  <si>
    <t>5R0327</t>
  </si>
  <si>
    <t>5R0328</t>
  </si>
  <si>
    <t>5R0331</t>
  </si>
  <si>
    <t>5R0333</t>
  </si>
  <si>
    <t>5R0334</t>
  </si>
  <si>
    <t>5R0335</t>
  </si>
  <si>
    <t>5R0343</t>
  </si>
  <si>
    <t>5R0346</t>
  </si>
  <si>
    <t>5R0347</t>
  </si>
  <si>
    <t>5R0348</t>
  </si>
  <si>
    <t>5R036B</t>
  </si>
  <si>
    <t>5R0375</t>
  </si>
  <si>
    <t>5R0376</t>
  </si>
  <si>
    <t>5R037A</t>
  </si>
  <si>
    <t>5R037B</t>
  </si>
  <si>
    <t>5R037C</t>
  </si>
  <si>
    <t>5R0382</t>
  </si>
  <si>
    <t>5R038A</t>
  </si>
  <si>
    <t>5R0393</t>
  </si>
  <si>
    <t>5R048A</t>
  </si>
  <si>
    <t>5R048B</t>
  </si>
  <si>
    <t>5R04RA</t>
  </si>
  <si>
    <t>5R059R</t>
  </si>
  <si>
    <t>5R068C</t>
  </si>
  <si>
    <t>5R125A</t>
  </si>
  <si>
    <t>5R125R</t>
  </si>
  <si>
    <t>5R126A</t>
  </si>
  <si>
    <t>5R126R</t>
  </si>
  <si>
    <t>RJnl3277</t>
  </si>
  <si>
    <t>5R128A</t>
  </si>
  <si>
    <t>5R129A</t>
  </si>
  <si>
    <t>5R129R</t>
  </si>
  <si>
    <t>5R133A</t>
  </si>
  <si>
    <t>5R133B</t>
  </si>
  <si>
    <t>RJnl3278</t>
  </si>
  <si>
    <t>5R140A</t>
  </si>
  <si>
    <t>5R140R</t>
  </si>
  <si>
    <t>5R168R</t>
  </si>
  <si>
    <t>5R180R</t>
  </si>
  <si>
    <t>5R181A</t>
  </si>
  <si>
    <t>RJnl3279</t>
  </si>
  <si>
    <t>5R181R</t>
  </si>
  <si>
    <t>5R192A</t>
  </si>
  <si>
    <t>5R192R</t>
  </si>
  <si>
    <t>5R193A</t>
  </si>
  <si>
    <t>5R193R</t>
  </si>
  <si>
    <t>5R207A</t>
  </si>
  <si>
    <t>5R207R</t>
  </si>
  <si>
    <t>5R211A</t>
  </si>
  <si>
    <t>5R212A</t>
  </si>
  <si>
    <t>5R213R</t>
  </si>
  <si>
    <t>5R214A</t>
  </si>
  <si>
    <t>5R218A</t>
  </si>
  <si>
    <t>5R218R</t>
  </si>
  <si>
    <t>5R219R</t>
  </si>
  <si>
    <t>5R223R</t>
  </si>
  <si>
    <t>5R226A</t>
  </si>
  <si>
    <t>5R236A</t>
  </si>
  <si>
    <t>5R236B</t>
  </si>
  <si>
    <t>5R237D</t>
  </si>
  <si>
    <t>5R238A</t>
  </si>
  <si>
    <t>5R238C</t>
  </si>
  <si>
    <t>5R238E</t>
  </si>
  <si>
    <t>5R238J</t>
  </si>
  <si>
    <t>5N0799</t>
  </si>
  <si>
    <t>RJnl3110</t>
  </si>
  <si>
    <t>5N0800</t>
  </si>
  <si>
    <t>5N0801</t>
  </si>
  <si>
    <t>5N0802</t>
  </si>
  <si>
    <t>5N0803</t>
  </si>
  <si>
    <t>5N0804</t>
  </si>
  <si>
    <t>RJnl3111</t>
  </si>
  <si>
    <t>5N0805</t>
  </si>
  <si>
    <t>5N0806</t>
  </si>
  <si>
    <t>5N0807</t>
  </si>
  <si>
    <t>5N0808</t>
  </si>
  <si>
    <t>5N0809</t>
  </si>
  <si>
    <t>RJnl3112</t>
  </si>
  <si>
    <t>5N0810</t>
  </si>
  <si>
    <t>5N0811</t>
  </si>
  <si>
    <t>5N0812</t>
  </si>
  <si>
    <t>5N0813</t>
  </si>
  <si>
    <t>5N0814</t>
  </si>
  <si>
    <t>RJnl3113</t>
  </si>
  <si>
    <t>5N0815</t>
  </si>
  <si>
    <t>5N0816</t>
  </si>
  <si>
    <t>5N0817</t>
  </si>
  <si>
    <t>5N0818</t>
  </si>
  <si>
    <t>5N0819</t>
  </si>
  <si>
    <t>RJnl3114</t>
  </si>
  <si>
    <t>5N0820</t>
  </si>
  <si>
    <t>5N0821</t>
  </si>
  <si>
    <t>5N0822</t>
  </si>
  <si>
    <t>5N0823</t>
  </si>
  <si>
    <t>5N0824</t>
  </si>
  <si>
    <t>RJnl3115</t>
  </si>
  <si>
    <t>5N0825</t>
  </si>
  <si>
    <t>5N0826</t>
  </si>
  <si>
    <t>5N0827</t>
  </si>
  <si>
    <t>5N0828</t>
  </si>
  <si>
    <t>5N0829</t>
  </si>
  <si>
    <t>RJnl3116</t>
  </si>
  <si>
    <t>5N0830</t>
  </si>
  <si>
    <t>5N0831</t>
  </si>
  <si>
    <t>5N0832</t>
  </si>
  <si>
    <t>5N0833</t>
  </si>
  <si>
    <t>5N0834</t>
  </si>
  <si>
    <t>RJnl3117</t>
  </si>
  <si>
    <t>5N0835</t>
  </si>
  <si>
    <t>5N0836</t>
  </si>
  <si>
    <t>5N0837</t>
  </si>
  <si>
    <t>5N0838</t>
  </si>
  <si>
    <t>5N0839</t>
  </si>
  <si>
    <t>RJnl3118</t>
  </si>
  <si>
    <t>5N0840</t>
  </si>
  <si>
    <t>5N0841</t>
  </si>
  <si>
    <t>5N0842</t>
  </si>
  <si>
    <t>5N0843</t>
  </si>
  <si>
    <t>5N0844</t>
  </si>
  <si>
    <t>RJnl3119</t>
  </si>
  <si>
    <t>5N0845</t>
  </si>
  <si>
    <t>5N0846</t>
  </si>
  <si>
    <t>5N0847</t>
  </si>
  <si>
    <t>5N0848</t>
  </si>
  <si>
    <t>5N0849</t>
  </si>
  <si>
    <t>RJnl3120</t>
  </si>
  <si>
    <t>5N0850</t>
  </si>
  <si>
    <t>5N0851</t>
  </si>
  <si>
    <t>5N0852</t>
  </si>
  <si>
    <t>5N0853</t>
  </si>
  <si>
    <t>5N0854</t>
  </si>
  <si>
    <t>RJnl3121</t>
  </si>
  <si>
    <t>5N0855</t>
  </si>
  <si>
    <t>5N0856</t>
  </si>
  <si>
    <t>5N0857</t>
  </si>
  <si>
    <t>5N0858</t>
  </si>
  <si>
    <t>5N0859</t>
  </si>
  <si>
    <t>RJnl3122</t>
  </si>
  <si>
    <t>5N0860</t>
  </si>
  <si>
    <t>5N0861</t>
  </si>
  <si>
    <t>5N0862</t>
  </si>
  <si>
    <t>5N0863</t>
  </si>
  <si>
    <t>5N0864</t>
  </si>
  <si>
    <t>RJnl3123</t>
  </si>
  <si>
    <t>5N0865</t>
  </si>
  <si>
    <t>5N0866</t>
  </si>
  <si>
    <t>5N0867</t>
  </si>
  <si>
    <t>5N0868</t>
  </si>
  <si>
    <t>5N0869</t>
  </si>
  <si>
    <t>RJnl3124</t>
  </si>
  <si>
    <t>5N0870</t>
  </si>
  <si>
    <t>5N0871</t>
  </si>
  <si>
    <t>5N0872</t>
  </si>
  <si>
    <t>5N0873</t>
  </si>
  <si>
    <t>5N0874</t>
  </si>
  <si>
    <t>RJnl3125</t>
  </si>
  <si>
    <t>5N0875</t>
  </si>
  <si>
    <t>5N0876</t>
  </si>
  <si>
    <t>5N0877</t>
  </si>
  <si>
    <t>5N0878</t>
  </si>
  <si>
    <t>5N0879</t>
  </si>
  <si>
    <t>RJnl3126</t>
  </si>
  <si>
    <t>5N0880</t>
  </si>
  <si>
    <t>5N0881</t>
  </si>
  <si>
    <t>5N0882</t>
  </si>
  <si>
    <t>5N0883</t>
  </si>
  <si>
    <t>5N0884</t>
  </si>
  <si>
    <t>RJnl3127</t>
  </si>
  <si>
    <t>5N0885</t>
  </si>
  <si>
    <t>5N0886</t>
  </si>
  <si>
    <t>5N0887</t>
  </si>
  <si>
    <t>5N0888</t>
  </si>
  <si>
    <t>5N0889</t>
  </si>
  <si>
    <t>RJnl3128</t>
  </si>
  <si>
    <t>5N0890</t>
  </si>
  <si>
    <t>5N0891</t>
  </si>
  <si>
    <t>5N0892</t>
  </si>
  <si>
    <t>5N0893</t>
  </si>
  <si>
    <t>5N0894</t>
  </si>
  <si>
    <t>RJnl3129</t>
  </si>
  <si>
    <t>5N0895</t>
  </si>
  <si>
    <t>5N0896</t>
  </si>
  <si>
    <t>5N0897</t>
  </si>
  <si>
    <t>5N0898</t>
  </si>
  <si>
    <t>5N0899</t>
  </si>
  <si>
    <t>RJnl3130</t>
  </si>
  <si>
    <t>5N0900</t>
  </si>
  <si>
    <r>
      <t xml:space="preserve">1. The line items are as per the specimen financial statements. However, for useful information to be provided </t>
    </r>
    <r>
      <rPr>
        <b/>
        <sz val="10"/>
        <rFont val="Arial"/>
        <family val="2"/>
      </rPr>
      <t>"general expenses"</t>
    </r>
    <r>
      <rPr>
        <sz val="10"/>
        <rFont val="Arial"/>
        <family val="2"/>
      </rPr>
      <t xml:space="preserve"> must be broken down further. This example shows example items comprising "general expenses".</t>
    </r>
  </si>
  <si>
    <t>Cattle Farming</t>
  </si>
  <si>
    <t>Other Expenses</t>
  </si>
  <si>
    <t>SUPPORTING TABLE 1</t>
  </si>
  <si>
    <t>RECONCILIATION OF IDP &amp; BUDGET - REV</t>
  </si>
  <si>
    <t>Strategic Objective</t>
  </si>
  <si>
    <t>Sanitation</t>
  </si>
  <si>
    <t>Cemeteries</t>
  </si>
  <si>
    <t>Good Governance</t>
  </si>
  <si>
    <t>1. The strategic objectives and action plans listed here are an example only. Each municipality must list their own as per their IDP.</t>
  </si>
  <si>
    <t>2. Totals agree to totals of Revenue by Source (see Annexure 3, Table 1 - Revenue by Source on page 20)</t>
  </si>
  <si>
    <t>3. Zeros are used where no amount is applicable</t>
  </si>
  <si>
    <t>SUPPORTING TABLE 2</t>
  </si>
  <si>
    <t>5R0241</t>
  </si>
  <si>
    <t>RJnl3251</t>
  </si>
  <si>
    <t>5R0245</t>
  </si>
  <si>
    <t>5R0248</t>
  </si>
  <si>
    <t>RJnl3252</t>
  </si>
  <si>
    <t>5R0249</t>
  </si>
  <si>
    <t>5R0250</t>
  </si>
  <si>
    <t>RJnl3253</t>
  </si>
  <si>
    <t>5R0251</t>
  </si>
  <si>
    <t>5R0252</t>
  </si>
  <si>
    <t>5R0254</t>
  </si>
  <si>
    <t>5R0258</t>
  </si>
  <si>
    <t>RJnl3254</t>
  </si>
  <si>
    <t>5R0259</t>
  </si>
  <si>
    <t>5R0261</t>
  </si>
  <si>
    <t>5R0263</t>
  </si>
  <si>
    <t>5R0265</t>
  </si>
  <si>
    <t>5R0268</t>
  </si>
  <si>
    <t>5R0274</t>
  </si>
  <si>
    <t>5R0284</t>
  </si>
  <si>
    <t>5R0285</t>
  </si>
  <si>
    <t>5R0286</t>
  </si>
  <si>
    <t>5R0291</t>
  </si>
  <si>
    <t>5R0298</t>
  </si>
  <si>
    <t>5R0301</t>
  </si>
  <si>
    <t>5R030A</t>
  </si>
  <si>
    <t>5R0311</t>
  </si>
  <si>
    <t>5R0314</t>
  </si>
  <si>
    <t>RJnl3261</t>
  </si>
  <si>
    <t>5R0315</t>
  </si>
  <si>
    <t>5R031A</t>
  </si>
  <si>
    <t>5R0325</t>
  </si>
  <si>
    <t>RJnl3262</t>
  </si>
  <si>
    <t>5R0326</t>
  </si>
  <si>
    <t>RJnl3263</t>
  </si>
  <si>
    <t>5R0330</t>
  </si>
  <si>
    <t>RJnl3264</t>
  </si>
  <si>
    <t>5R0332</t>
  </si>
  <si>
    <t>5R0341</t>
  </si>
  <si>
    <t>5R0344</t>
  </si>
  <si>
    <t>RJnl3266</t>
  </si>
  <si>
    <t>5R0345</t>
  </si>
  <si>
    <t>5R0364</t>
  </si>
  <si>
    <t>5R0369</t>
  </si>
  <si>
    <t>5R0370</t>
  </si>
  <si>
    <t>5R0372</t>
  </si>
  <si>
    <t>5R0373</t>
  </si>
  <si>
    <t>5R0374</t>
  </si>
  <si>
    <t>RJnl3269</t>
  </si>
  <si>
    <t>5R0377</t>
  </si>
  <si>
    <t>5R0378</t>
  </si>
  <si>
    <t>5R0379</t>
  </si>
  <si>
    <t>RJnl3270</t>
  </si>
  <si>
    <t>5R0383</t>
  </si>
  <si>
    <t>5R0386</t>
  </si>
  <si>
    <t>5R0392</t>
  </si>
  <si>
    <t>5R0394</t>
  </si>
  <si>
    <t>5R0396</t>
  </si>
  <si>
    <t>5R0397</t>
  </si>
  <si>
    <t>5R0398</t>
  </si>
  <si>
    <t>5R047A</t>
  </si>
  <si>
    <t>5R047R</t>
  </si>
  <si>
    <t>5R068A</t>
  </si>
  <si>
    <t>5R068B</t>
  </si>
  <si>
    <t>RJnl3275</t>
  </si>
  <si>
    <t>5R068F</t>
  </si>
  <si>
    <t>5R068G</t>
  </si>
  <si>
    <t>5R109A</t>
  </si>
  <si>
    <t>5R109R</t>
  </si>
  <si>
    <t>5R196A</t>
  </si>
  <si>
    <t>RJnl3280</t>
  </si>
  <si>
    <t>5R196R</t>
  </si>
  <si>
    <t>5R211R</t>
  </si>
  <si>
    <t>RJnl3281</t>
  </si>
  <si>
    <t>5R212R</t>
  </si>
  <si>
    <t>5R213A</t>
  </si>
  <si>
    <t>5R214R</t>
  </si>
  <si>
    <t>RJnl3282</t>
  </si>
  <si>
    <t>5R219A</t>
  </si>
  <si>
    <t>RJnl3283</t>
  </si>
  <si>
    <t>5R226R</t>
  </si>
  <si>
    <t>5R237A</t>
  </si>
  <si>
    <t>RJnl3284</t>
  </si>
  <si>
    <t>5R237C</t>
  </si>
  <si>
    <t>5R238G</t>
  </si>
  <si>
    <t>RJnl3285</t>
  </si>
  <si>
    <t>5R238H</t>
  </si>
  <si>
    <t>5R238R</t>
  </si>
  <si>
    <t>5R241B</t>
  </si>
  <si>
    <t>5R241C</t>
  </si>
  <si>
    <t>5R241D</t>
  </si>
  <si>
    <t>5R241E</t>
  </si>
  <si>
    <t>RJnl3287</t>
  </si>
  <si>
    <t>5R241G</t>
  </si>
  <si>
    <t>5R241H</t>
  </si>
  <si>
    <t>5R243A</t>
  </si>
  <si>
    <t>5R243C</t>
  </si>
  <si>
    <t>5R243D</t>
  </si>
  <si>
    <t>RJnl3288</t>
  </si>
  <si>
    <t>5R243E</t>
  </si>
  <si>
    <t>5R243R</t>
  </si>
  <si>
    <t>5R255R</t>
  </si>
  <si>
    <t>5R283A</t>
  </si>
  <si>
    <t>5R283B</t>
  </si>
  <si>
    <t>5R299A</t>
  </si>
  <si>
    <t>5R304A</t>
  </si>
  <si>
    <t>5R304B</t>
  </si>
  <si>
    <t>5R305A</t>
  </si>
  <si>
    <t>5R349B</t>
  </si>
  <si>
    <t>5R349R</t>
  </si>
  <si>
    <t>5R371A</t>
  </si>
  <si>
    <t>5R371B</t>
  </si>
  <si>
    <t>5U0085</t>
  </si>
  <si>
    <t>RJnl3302</t>
  </si>
  <si>
    <t>7G1047</t>
  </si>
  <si>
    <t>RJnl3321</t>
  </si>
  <si>
    <t>7G1050</t>
  </si>
  <si>
    <t>RJnl3322</t>
  </si>
  <si>
    <t>7G1072</t>
  </si>
  <si>
    <t>RJnl3326</t>
  </si>
  <si>
    <t>7G1073</t>
  </si>
  <si>
    <t>7G1077</t>
  </si>
  <si>
    <t>RJnl3327</t>
  </si>
  <si>
    <t>7G1079</t>
  </si>
  <si>
    <t>7G1092</t>
  </si>
  <si>
    <t>RJnl3330</t>
  </si>
  <si>
    <t>7G1093</t>
  </si>
  <si>
    <t>7G1103</t>
  </si>
  <si>
    <t>RJnl3332</t>
  </si>
  <si>
    <t>7G1105</t>
  </si>
  <si>
    <t>7G1160</t>
  </si>
  <si>
    <t>RJnl3343</t>
  </si>
  <si>
    <t>7G1190</t>
  </si>
  <si>
    <t>RJnl3349</t>
  </si>
  <si>
    <t>7G1316</t>
  </si>
  <si>
    <t>RJnl3372</t>
  </si>
  <si>
    <t>7G1337</t>
  </si>
  <si>
    <t>RJnl3376</t>
  </si>
  <si>
    <t>7M0119</t>
  </si>
  <si>
    <t>RJnl3399</t>
  </si>
  <si>
    <t>7M0308</t>
  </si>
  <si>
    <t>RJnl3422</t>
  </si>
  <si>
    <t>7M0884</t>
  </si>
  <si>
    <t>RJnl3489</t>
  </si>
  <si>
    <t>7M0907</t>
  </si>
  <si>
    <t>RJnl3490</t>
  </si>
  <si>
    <t>7S0010</t>
  </si>
  <si>
    <t>7S0036</t>
  </si>
  <si>
    <t>7S0045</t>
  </si>
  <si>
    <t>7S0062</t>
  </si>
  <si>
    <t>7S0075</t>
  </si>
  <si>
    <t>7S0077</t>
  </si>
  <si>
    <t>RJnl3503</t>
  </si>
  <si>
    <t>7S0086</t>
  </si>
  <si>
    <t>7S0087</t>
  </si>
  <si>
    <t>7S0090</t>
  </si>
  <si>
    <t>7S0093</t>
  </si>
  <si>
    <t>7S009A</t>
  </si>
  <si>
    <t>RJnl3505</t>
  </si>
  <si>
    <t>7S0146</t>
  </si>
  <si>
    <t>7S0147</t>
  </si>
  <si>
    <t>RJnl3508</t>
  </si>
  <si>
    <t>7S0148</t>
  </si>
  <si>
    <t>7S0149</t>
  </si>
  <si>
    <t>7S0150</t>
  </si>
  <si>
    <t>7S0151</t>
  </si>
  <si>
    <t>7S0168</t>
  </si>
  <si>
    <t>RJnl3510</t>
  </si>
  <si>
    <t>7S0169</t>
  </si>
  <si>
    <t>RJnl3511</t>
  </si>
  <si>
    <t>7S0174</t>
  </si>
  <si>
    <t>7S0189</t>
  </si>
  <si>
    <t>RJnl3513</t>
  </si>
  <si>
    <t>7S0197</t>
  </si>
  <si>
    <t>RJnl3514</t>
  </si>
  <si>
    <t>7S0205</t>
  </si>
  <si>
    <t>7S0206</t>
  </si>
  <si>
    <t>7S0210</t>
  </si>
  <si>
    <t>7S0228</t>
  </si>
  <si>
    <t>RJnl3518</t>
  </si>
  <si>
    <t>7S0229</t>
  </si>
  <si>
    <t>RJnl3519</t>
  </si>
  <si>
    <t>7S0234</t>
  </si>
  <si>
    <t>7S0236</t>
  </si>
  <si>
    <t>RJnl3520</t>
  </si>
  <si>
    <t>7S0239</t>
  </si>
  <si>
    <t>7S0257</t>
  </si>
  <si>
    <t>RJnl3524</t>
  </si>
  <si>
    <t>7S0258</t>
  </si>
  <si>
    <t>7S0260</t>
  </si>
  <si>
    <t>RJnl3525</t>
  </si>
  <si>
    <t>7S0291</t>
  </si>
  <si>
    <t>7S0292</t>
  </si>
  <si>
    <t>7S0293</t>
  </si>
  <si>
    <t>7S0297</t>
  </si>
  <si>
    <t>RJnl3531</t>
  </si>
  <si>
    <t>7S0305</t>
  </si>
  <si>
    <t>RJnl3532</t>
  </si>
  <si>
    <t>7S032R</t>
  </si>
  <si>
    <t>RJnl3536</t>
  </si>
  <si>
    <t>7S0354</t>
  </si>
  <si>
    <t>RJnl3539</t>
  </si>
  <si>
    <t>7S0363</t>
  </si>
  <si>
    <t>RJnl3540</t>
  </si>
  <si>
    <t>7S0430</t>
  </si>
  <si>
    <t>RJnl3543</t>
  </si>
  <si>
    <t>7S0505</t>
  </si>
  <si>
    <t>7S0506</t>
  </si>
  <si>
    <t>7S0513</t>
  </si>
  <si>
    <t>RJnl3548</t>
  </si>
  <si>
    <t>7S0521</t>
  </si>
  <si>
    <t>RJnl3549</t>
  </si>
  <si>
    <t>7S0532</t>
  </si>
  <si>
    <t>7S0535</t>
  </si>
  <si>
    <t>7S0539</t>
  </si>
  <si>
    <t>7S0543</t>
  </si>
  <si>
    <t>7S0549</t>
  </si>
  <si>
    <t>7S0556</t>
  </si>
  <si>
    <t>7S057B</t>
  </si>
  <si>
    <t>7S170A</t>
  </si>
  <si>
    <t>RJnl3555</t>
  </si>
  <si>
    <t>7S170B</t>
  </si>
  <si>
    <t>7S175R</t>
  </si>
  <si>
    <t>7S176A</t>
  </si>
  <si>
    <t>7S208R</t>
  </si>
  <si>
    <t>7S227R</t>
  </si>
  <si>
    <t>RJnl3558</t>
  </si>
  <si>
    <t>7S233R</t>
  </si>
  <si>
    <t>7S261A</t>
  </si>
  <si>
    <t>7S261R</t>
  </si>
  <si>
    <t>7S294A</t>
  </si>
  <si>
    <t>RJnl3559</t>
  </si>
  <si>
    <t>7S303R</t>
  </si>
  <si>
    <t>RJnl3560</t>
  </si>
  <si>
    <t>7S304A</t>
  </si>
  <si>
    <t>7S357A</t>
  </si>
  <si>
    <t>RJnl3561</t>
  </si>
  <si>
    <t>7S548R</t>
  </si>
  <si>
    <t>RJnl2560</t>
  </si>
  <si>
    <t>RJnl2590</t>
  </si>
  <si>
    <t>RJnl2619</t>
  </si>
  <si>
    <t>RJnl2627</t>
  </si>
  <si>
    <t>RJnl2682</t>
  </si>
  <si>
    <t>RJnl2683</t>
  </si>
  <si>
    <t>RJnl2685</t>
  </si>
  <si>
    <t>RJnl2686</t>
  </si>
  <si>
    <t>RJnl2687</t>
  </si>
  <si>
    <t>RJnl2688</t>
  </si>
  <si>
    <t>RJnl2689</t>
  </si>
  <si>
    <t>RJnl2690</t>
  </si>
  <si>
    <t>RJnl2691</t>
  </si>
  <si>
    <t>RJnl2692</t>
  </si>
  <si>
    <t>RJnl2693</t>
  </si>
  <si>
    <t>RJnl2694</t>
  </si>
  <si>
    <t>RJnl2695</t>
  </si>
  <si>
    <t>RJnl2696</t>
  </si>
  <si>
    <t>RJnl2697</t>
  </si>
  <si>
    <t>RJnl2698</t>
  </si>
  <si>
    <t>RJnl2699</t>
  </si>
  <si>
    <t>RJnl2700</t>
  </si>
  <si>
    <t>RJnl2701</t>
  </si>
  <si>
    <t>RJnl2702</t>
  </si>
  <si>
    <t>RJnl2703</t>
  </si>
  <si>
    <t>RJnl2704</t>
  </si>
  <si>
    <t>RJnl2705</t>
  </si>
  <si>
    <t>RJnl2706</t>
  </si>
  <si>
    <t>RJnl2707</t>
  </si>
  <si>
    <t>RJnl2708</t>
  </si>
  <si>
    <t>RJnl2709</t>
  </si>
  <si>
    <t>RJnl2710</t>
  </si>
  <si>
    <t>RJnl2713</t>
  </si>
  <si>
    <t>RJnl2715</t>
  </si>
  <si>
    <t>RJnl2716</t>
  </si>
  <si>
    <t>RJnl2717</t>
  </si>
  <si>
    <t>RJnl2718</t>
  </si>
  <si>
    <t>RJnl2719</t>
  </si>
  <si>
    <t>RJnl2720</t>
  </si>
  <si>
    <t>RJnl2721</t>
  </si>
  <si>
    <t>RJnl2722</t>
  </si>
  <si>
    <t>RJnl2723</t>
  </si>
  <si>
    <t>RJnl2724</t>
  </si>
  <si>
    <t>RJnl2725</t>
  </si>
  <si>
    <t>RJnl2726</t>
  </si>
  <si>
    <t>RJnl2727</t>
  </si>
  <si>
    <t>RJnl2728</t>
  </si>
  <si>
    <t>RJnl2729</t>
  </si>
  <si>
    <t>RJnl2730</t>
  </si>
  <si>
    <t>RJnl2731</t>
  </si>
  <si>
    <t>RJnl2732</t>
  </si>
  <si>
    <t>RJnl2733</t>
  </si>
  <si>
    <t>RJnl2734</t>
  </si>
  <si>
    <t>RJnl2735</t>
  </si>
  <si>
    <t>RJnl2736</t>
  </si>
  <si>
    <t>RJnl2738</t>
  </si>
  <si>
    <t>RJnl2740</t>
  </si>
  <si>
    <t>RJnl2741</t>
  </si>
  <si>
    <t>RJnl2742</t>
  </si>
  <si>
    <t>RJnl2743</t>
  </si>
  <si>
    <t>RJnl2744</t>
  </si>
  <si>
    <t>RJnl2745</t>
  </si>
  <si>
    <t>RJnl2746</t>
  </si>
  <si>
    <t>RJnl2747</t>
  </si>
  <si>
    <t>RJnl2748</t>
  </si>
  <si>
    <t>RJnl2749</t>
  </si>
  <si>
    <t>RJnl2750</t>
  </si>
  <si>
    <t>RJnl2751</t>
  </si>
  <si>
    <t>RJnl2752</t>
  </si>
  <si>
    <t>RJnl2753</t>
  </si>
  <si>
    <t>RJnl2754</t>
  </si>
  <si>
    <t>RJnl2755</t>
  </si>
  <si>
    <t>RJnl2757</t>
  </si>
  <si>
    <t>RJnl2758</t>
  </si>
  <si>
    <t>RJnl2759</t>
  </si>
  <si>
    <t>RJnl2760</t>
  </si>
  <si>
    <t>RJnl2761</t>
  </si>
  <si>
    <t>RJnl2762</t>
  </si>
  <si>
    <t>RJnl2763</t>
  </si>
  <si>
    <t>RJnl2764</t>
  </si>
  <si>
    <t>RJnl2765</t>
  </si>
  <si>
    <t>RJnl2766</t>
  </si>
  <si>
    <t>RJnl2767</t>
  </si>
  <si>
    <t>RJnl2768</t>
  </si>
  <si>
    <t>RJnl2769</t>
  </si>
  <si>
    <t>RJnl2770</t>
  </si>
  <si>
    <t>RJnl2771</t>
  </si>
  <si>
    <t>RJnl2772</t>
  </si>
  <si>
    <t>RJnl2773</t>
  </si>
  <si>
    <t>RJnl2774</t>
  </si>
  <si>
    <t>RJnl2775</t>
  </si>
  <si>
    <t>RJnl2776</t>
  </si>
  <si>
    <t>RJnl2777</t>
  </si>
  <si>
    <t>RJnl2778</t>
  </si>
  <si>
    <t>RJnl2779</t>
  </si>
  <si>
    <t>RJnl2780</t>
  </si>
  <si>
    <t>RJnl2781</t>
  </si>
  <si>
    <t>RJnl2782</t>
  </si>
  <si>
    <t>RJnl2783</t>
  </si>
  <si>
    <t>RJnl2784</t>
  </si>
  <si>
    <t>RJnl2785</t>
  </si>
  <si>
    <t>RJnl2786</t>
  </si>
  <si>
    <t>RJnl2787</t>
  </si>
  <si>
    <t>RJnl2788</t>
  </si>
  <si>
    <t>RJnl2789</t>
  </si>
  <si>
    <t>RJnl2790</t>
  </si>
  <si>
    <t>RJnl2791</t>
  </si>
  <si>
    <t>RJnl2792</t>
  </si>
  <si>
    <t>RJnl2793</t>
  </si>
  <si>
    <t>RJnl2795</t>
  </si>
  <si>
    <t>RJnl2796</t>
  </si>
  <si>
    <t>RJnl2797</t>
  </si>
  <si>
    <t>RJnl2798</t>
  </si>
  <si>
    <t>RJnl2799</t>
  </si>
  <si>
    <t>RJnl2800</t>
  </si>
  <si>
    <t>RJnl2801</t>
  </si>
  <si>
    <t>RJnl2802</t>
  </si>
  <si>
    <t>RJnl2803</t>
  </si>
  <si>
    <t>RJnl2804</t>
  </si>
  <si>
    <t>RJnl2805</t>
  </si>
  <si>
    <t>RJnl2806</t>
  </si>
  <si>
    <t>RJnl2807</t>
  </si>
  <si>
    <t>RJnl2809</t>
  </si>
  <si>
    <t>RJnl2810</t>
  </si>
  <si>
    <t>RJnl2811</t>
  </si>
  <si>
    <t>RJnl2812</t>
  </si>
  <si>
    <t>RJnl2813</t>
  </si>
  <si>
    <t>RJnl2814</t>
  </si>
  <si>
    <t>RJnl2815</t>
  </si>
  <si>
    <t>RJnl2816</t>
  </si>
  <si>
    <t>RJnl2817</t>
  </si>
  <si>
    <t>RJnl2818</t>
  </si>
  <si>
    <t>RJnl2819</t>
  </si>
  <si>
    <t>RJnl2820</t>
  </si>
  <si>
    <t>RJnl2822</t>
  </si>
  <si>
    <t>RJnl2823</t>
  </si>
  <si>
    <t>RJnl2824</t>
  </si>
  <si>
    <t>RJnl2825</t>
  </si>
  <si>
    <t>RJnl2826</t>
  </si>
  <si>
    <t>RJnl2827</t>
  </si>
  <si>
    <t>RJnl2828</t>
  </si>
  <si>
    <t>RJnl2829</t>
  </si>
  <si>
    <t>RJnl2830</t>
  </si>
  <si>
    <t>RJnl2831</t>
  </si>
  <si>
    <t>RJnl2832</t>
  </si>
  <si>
    <t>RJnl2833</t>
  </si>
  <si>
    <t>RJnl2834</t>
  </si>
  <si>
    <t>RJnl2835</t>
  </si>
  <si>
    <t>RJnl2836</t>
  </si>
  <si>
    <t>RJnl2837</t>
  </si>
  <si>
    <t>RJnl2838</t>
  </si>
  <si>
    <t>RJnl2840</t>
  </si>
  <si>
    <t>RJnl2841</t>
  </si>
  <si>
    <t>RJnl2842</t>
  </si>
  <si>
    <t>RJnl2843</t>
  </si>
  <si>
    <t>RJnl2844</t>
  </si>
  <si>
    <t>RJnl2845</t>
  </si>
  <si>
    <t>RJnl2846</t>
  </si>
  <si>
    <t>RJnl2847</t>
  </si>
  <si>
    <t>RJnl2848</t>
  </si>
  <si>
    <t>RJnl2849</t>
  </si>
  <si>
    <t>RJnl2850</t>
  </si>
  <si>
    <t>RJnl2851</t>
  </si>
  <si>
    <t>RJnl2852</t>
  </si>
  <si>
    <t>RJnl2853</t>
  </si>
  <si>
    <t>RJnl2854</t>
  </si>
  <si>
    <t>RJnl2855</t>
  </si>
  <si>
    <t>RJnl2856</t>
  </si>
  <si>
    <t>RJnl2857</t>
  </si>
  <si>
    <t>RJnl2858</t>
  </si>
  <si>
    <t>RJnl2859</t>
  </si>
  <si>
    <t>RJnl2860</t>
  </si>
  <si>
    <t>RJnl2861</t>
  </si>
  <si>
    <t>RJnl2862</t>
  </si>
  <si>
    <t>RJnl2863</t>
  </si>
  <si>
    <t>RJnl2864</t>
  </si>
  <si>
    <t>RJnl2865</t>
  </si>
  <si>
    <t>RJnl2866</t>
  </si>
  <si>
    <t>RJnl2867</t>
  </si>
  <si>
    <t>RJnl2868</t>
  </si>
  <si>
    <t>RJnl2869</t>
  </si>
  <si>
    <t>RJnl2870</t>
  </si>
  <si>
    <t>RJnl2871</t>
  </si>
  <si>
    <t>RJnl2872</t>
  </si>
  <si>
    <t>RJnl2873</t>
  </si>
  <si>
    <t>RJnl2874</t>
  </si>
  <si>
    <t>RJnl2875</t>
  </si>
  <si>
    <t>RJnl2876</t>
  </si>
  <si>
    <t>RJnl2877</t>
  </si>
  <si>
    <t>RJnl2878</t>
  </si>
  <si>
    <t>RJnl2879</t>
  </si>
  <si>
    <t>RJnl2880</t>
  </si>
  <si>
    <t>RJnl2881</t>
  </si>
  <si>
    <t>RJnl2882</t>
  </si>
  <si>
    <t>RJnl2883</t>
  </si>
  <si>
    <t>RJnl2884</t>
  </si>
  <si>
    <t>RJnl2885</t>
  </si>
  <si>
    <t>RJnl2886</t>
  </si>
  <si>
    <t>RJnl2887</t>
  </si>
  <si>
    <t>RJnl2888</t>
  </si>
  <si>
    <t>RJnl2889</t>
  </si>
  <si>
    <t>RJnl2890</t>
  </si>
  <si>
    <t>RJnl2891</t>
  </si>
  <si>
    <t>RJnl2892</t>
  </si>
  <si>
    <t>RJnl2893</t>
  </si>
  <si>
    <t>RJnl2894</t>
  </si>
  <si>
    <t>RJnl2895</t>
  </si>
  <si>
    <t>RJnl2896</t>
  </si>
  <si>
    <t>RJnl2897</t>
  </si>
  <si>
    <t>RJnl2898</t>
  </si>
  <si>
    <t>RJnl2899</t>
  </si>
  <si>
    <t>RJnl2900</t>
  </si>
  <si>
    <t>RJnl2901</t>
  </si>
  <si>
    <t>RJnl2902</t>
  </si>
  <si>
    <t>RJnl2903</t>
  </si>
  <si>
    <t>RJnl2904</t>
  </si>
  <si>
    <t>RJnl2905</t>
  </si>
  <si>
    <t>RJnl2906</t>
  </si>
  <si>
    <t>RJnl2907</t>
  </si>
  <si>
    <t>RJnl2908</t>
  </si>
  <si>
    <t>RJnl2909</t>
  </si>
  <si>
    <t>RJnl2910</t>
  </si>
  <si>
    <t>RJnl2911</t>
  </si>
  <si>
    <t>RJnl2912</t>
  </si>
  <si>
    <t>RJnl2913</t>
  </si>
  <si>
    <t>RJnl2914</t>
  </si>
  <si>
    <t>RJnl2915</t>
  </si>
  <si>
    <t>RJnl2916</t>
  </si>
  <si>
    <t>RJnl2917</t>
  </si>
  <si>
    <t>RJnl2918</t>
  </si>
  <si>
    <t>RJnl2919</t>
  </si>
  <si>
    <t>RJnl2920</t>
  </si>
  <si>
    <t>RJnl2921</t>
  </si>
  <si>
    <t>RJnl2922</t>
  </si>
  <si>
    <t>RJnl2923</t>
  </si>
  <si>
    <t>RJnl2924</t>
  </si>
  <si>
    <t>RJnl2925</t>
  </si>
  <si>
    <t>RJnl2926</t>
  </si>
  <si>
    <t>RJnl2927</t>
  </si>
  <si>
    <t>RJnl2928</t>
  </si>
  <si>
    <t>RJnl2929</t>
  </si>
  <si>
    <t>RJnl2930</t>
  </si>
  <si>
    <t>RJnl2931</t>
  </si>
  <si>
    <t>RJnl2932</t>
  </si>
  <si>
    <t>RJnl2933</t>
  </si>
  <si>
    <t>RJnl2934</t>
  </si>
  <si>
    <t>RJnl2935</t>
  </si>
  <si>
    <t>RJnl2936</t>
  </si>
  <si>
    <t>RJnl2937</t>
  </si>
  <si>
    <t>RJnl2938</t>
  </si>
  <si>
    <t>RJnl2939</t>
  </si>
  <si>
    <t>RJnl2940</t>
  </si>
  <si>
    <t>RJnl2941</t>
  </si>
  <si>
    <t>RJnl2942</t>
  </si>
  <si>
    <t>RJnl2943</t>
  </si>
  <si>
    <t>RJnl2944</t>
  </si>
  <si>
    <t>RJnl2945</t>
  </si>
  <si>
    <t>RJnl2946</t>
  </si>
  <si>
    <t>RJnl2947</t>
  </si>
  <si>
    <t>RJnl2948</t>
  </si>
  <si>
    <t>RJnl2949</t>
  </si>
  <si>
    <t>5N1005</t>
  </si>
  <si>
    <t>5N1006</t>
  </si>
  <si>
    <t>5N1007</t>
  </si>
  <si>
    <t>5N1008</t>
  </si>
  <si>
    <t>5N1009</t>
  </si>
  <si>
    <t>SALARIES VERSUS OPEX</t>
  </si>
  <si>
    <t>GRANTS VERSUS OTHER INCOME</t>
  </si>
  <si>
    <t>TOTAL GRANTS</t>
  </si>
  <si>
    <t>PERCNTAGE OF TOTAL INCOME</t>
  </si>
  <si>
    <t>TOTAL OTHER INCOME</t>
  </si>
  <si>
    <t>TOTAL SALARIES</t>
  </si>
  <si>
    <t>PERCENTAGE OF OPEX</t>
  </si>
  <si>
    <t>Page 3</t>
  </si>
  <si>
    <t>IMPACT OF TARIFF INCREASE</t>
  </si>
  <si>
    <t>2. This supporting table can thus be prepared based on the budgeted statement of financial performance after taking into account non-collectible amounts, timing of collections and other cash items.</t>
  </si>
  <si>
    <t>3. Delete sources and types that are not applicable.</t>
  </si>
  <si>
    <t>4. Insert additional sources and types that are not listed in the specimen financial statements. The specimen should be comprehensive and the need list additional sources should not be great.</t>
  </si>
  <si>
    <t>6. This statement is not intended to measure cash as per the bank statement. It measures the change in cash and investments and therefore will not show amounts invested or redeemed from investments.</t>
  </si>
  <si>
    <t>7. Opening and closing balances may be added to provide further information if desired.</t>
  </si>
  <si>
    <r>
      <t>5. All budgeted amounts must be classified under a particular source or type.</t>
    </r>
    <r>
      <rPr>
        <b/>
        <sz val="10"/>
        <rFont val="Arial"/>
        <family val="2"/>
      </rPr>
      <t xml:space="preserve"> Do not use "other"</t>
    </r>
  </si>
  <si>
    <t>SUPPORTING TABLE 10</t>
  </si>
  <si>
    <t xml:space="preserve">Annual </t>
  </si>
  <si>
    <t>Target</t>
  </si>
  <si>
    <t>ANNUAL MEASURABLE PERFORMANCE OBJECTIVES</t>
  </si>
  <si>
    <t>Unit of Measurement</t>
  </si>
  <si>
    <t>Department - Municipal Managers Office</t>
  </si>
  <si>
    <t>Vote: Executive and Council</t>
  </si>
  <si>
    <t>Budget consultation meetings held</t>
  </si>
  <si>
    <t>No. of meetings</t>
  </si>
  <si>
    <t>Produce municipal booklet</t>
  </si>
  <si>
    <t>Booklet produced in Sept</t>
  </si>
  <si>
    <t>Performance agreements and contracts signed</t>
  </si>
  <si>
    <t>No. of contracts signed on time</t>
  </si>
  <si>
    <t>General ward meetings per ward</t>
  </si>
  <si>
    <t>Department - Corporate Services</t>
  </si>
  <si>
    <t>Vote: Finance &amp; Administration</t>
  </si>
  <si>
    <t>Employee reward system developed</t>
  </si>
  <si>
    <t>Completed in November</t>
  </si>
  <si>
    <t>Job descriptions developed for all staff</t>
  </si>
  <si>
    <t>Completed in September</t>
  </si>
  <si>
    <t>Department - Planning and Development</t>
  </si>
  <si>
    <t>Vote: Planning &amp; Development</t>
  </si>
  <si>
    <t>City plan reviewed and published</t>
  </si>
  <si>
    <t>Completed in October</t>
  </si>
  <si>
    <t>Building inspections conducted</t>
  </si>
  <si>
    <t>No. of building inspections</t>
  </si>
  <si>
    <t>Department - Community Services</t>
  </si>
  <si>
    <t>Vote: Community &amp; Social Services</t>
  </si>
  <si>
    <t>New libraries built</t>
  </si>
  <si>
    <t>No. of new libraries built</t>
  </si>
  <si>
    <t>Department - Technical Services</t>
  </si>
  <si>
    <t>Vote: Electricity</t>
  </si>
  <si>
    <t>FINANCE LEASES</t>
  </si>
  <si>
    <t>Rental Payments</t>
  </si>
  <si>
    <t>Month</t>
  </si>
  <si>
    <t>Instalment</t>
  </si>
  <si>
    <t>Interest</t>
  </si>
  <si>
    <t>Redemption</t>
  </si>
  <si>
    <t>Balance</t>
  </si>
  <si>
    <t>AMORTISATION OF DBSA LOAN</t>
  </si>
  <si>
    <t>Valuation Costs</t>
  </si>
  <si>
    <t>Transport Costs</t>
  </si>
  <si>
    <t>Administration Fees</t>
  </si>
  <si>
    <t>External Investments</t>
  </si>
  <si>
    <t>Bank Accounts</t>
  </si>
  <si>
    <t>Bad Debt</t>
  </si>
  <si>
    <t>Bank Overdraft</t>
  </si>
  <si>
    <t>Collection Fees</t>
  </si>
  <si>
    <t>Drum Sales</t>
  </si>
  <si>
    <t>Equitable Share</t>
  </si>
  <si>
    <t>Equitable Share/DM Subsidy</t>
  </si>
  <si>
    <t>Equitable Share/Subsidy - Dept Arts &amp; Culture</t>
  </si>
  <si>
    <t>Expenses FMG &amp; Grant Audit Fees</t>
  </si>
  <si>
    <t>Grave Fees</t>
  </si>
  <si>
    <t>Gravel Sales</t>
  </si>
  <si>
    <t>Grounds/Gardens</t>
  </si>
  <si>
    <t>Interest on Arrears</t>
  </si>
  <si>
    <t xml:space="preserve">Inventory </t>
  </si>
  <si>
    <t>Professional Fees</t>
  </si>
  <si>
    <t>Rates Certificates</t>
  </si>
  <si>
    <t>Recovery of Sundry Services</t>
  </si>
  <si>
    <t>Roads &amp; Stormwater</t>
  </si>
  <si>
    <t>Sale of Cattle</t>
  </si>
  <si>
    <t>Sewerage Blockages</t>
  </si>
  <si>
    <t>Special Programmes</t>
  </si>
  <si>
    <t>Street Lights</t>
  </si>
  <si>
    <t>Telephone Costs</t>
  </si>
  <si>
    <t>Water Levies</t>
  </si>
  <si>
    <t>RJnl3331</t>
  </si>
  <si>
    <t>7G1096</t>
  </si>
  <si>
    <t>7G1097</t>
  </si>
  <si>
    <t>7G1098</t>
  </si>
  <si>
    <t>7G1100</t>
  </si>
  <si>
    <t>7G1102</t>
  </si>
  <si>
    <t>7G1104</t>
  </si>
  <si>
    <t>7G1106</t>
  </si>
  <si>
    <t>7G1107</t>
  </si>
  <si>
    <t>RJnl3333</t>
  </si>
  <si>
    <t>7G1108</t>
  </si>
  <si>
    <t>7G1109</t>
  </si>
  <si>
    <t>7G1110</t>
  </si>
  <si>
    <t>7G1111</t>
  </si>
  <si>
    <t>7G1112</t>
  </si>
  <si>
    <t>RJnl3334</t>
  </si>
  <si>
    <t>7G1113</t>
  </si>
  <si>
    <t>7G1114</t>
  </si>
  <si>
    <t>7G1115</t>
  </si>
  <si>
    <t>7G1116</t>
  </si>
  <si>
    <t>7G1118</t>
  </si>
  <si>
    <t>RJnl3335</t>
  </si>
  <si>
    <t>7G1119</t>
  </si>
  <si>
    <t>7G1120</t>
  </si>
  <si>
    <t>7G1121</t>
  </si>
  <si>
    <t>7G1122</t>
  </si>
  <si>
    <t>7G1123</t>
  </si>
  <si>
    <t>RJnl3336</t>
  </si>
  <si>
    <t>7G1124</t>
  </si>
  <si>
    <t>7G1125</t>
  </si>
  <si>
    <t>7G1126</t>
  </si>
  <si>
    <t>7G1127</t>
  </si>
  <si>
    <t>7G1128</t>
  </si>
  <si>
    <t>RJnl3337</t>
  </si>
  <si>
    <t>7G1129</t>
  </si>
  <si>
    <t>7G1130</t>
  </si>
  <si>
    <t>7G1132</t>
  </si>
  <si>
    <t>7G1133</t>
  </si>
  <si>
    <t>7G1134</t>
  </si>
  <si>
    <t>RJnl3338</t>
  </si>
  <si>
    <t>7G1135</t>
  </si>
  <si>
    <t>7G1136</t>
  </si>
  <si>
    <t>7G1137</t>
  </si>
  <si>
    <t>7G1138</t>
  </si>
  <si>
    <t>7G1139</t>
  </si>
  <si>
    <t>RJnl3339</t>
  </si>
  <si>
    <t>7G1140</t>
  </si>
  <si>
    <t>7G1141</t>
  </si>
  <si>
    <t>7G1142</t>
  </si>
  <si>
    <t>7G1143</t>
  </si>
  <si>
    <t>7G1144</t>
  </si>
  <si>
    <t>RJnl3340</t>
  </si>
  <si>
    <t>7G1145</t>
  </si>
  <si>
    <t>7G1146</t>
  </si>
  <si>
    <t>7G1147</t>
  </si>
  <si>
    <t>7G1148</t>
  </si>
  <si>
    <t>7G1149</t>
  </si>
  <si>
    <t>RJnl3341</t>
  </si>
  <si>
    <t>7G1151</t>
  </si>
  <si>
    <t>7G1152</t>
  </si>
  <si>
    <t>7G1153</t>
  </si>
  <si>
    <t>7G1154</t>
  </si>
  <si>
    <t>7G1155</t>
  </si>
  <si>
    <t>RJnl3342</t>
  </si>
  <si>
    <t>7G1156</t>
  </si>
  <si>
    <t>7G1157</t>
  </si>
  <si>
    <t>7G1158</t>
  </si>
  <si>
    <t>7G1159</t>
  </si>
  <si>
    <t>7G1161</t>
  </si>
  <si>
    <t>7G1162</t>
  </si>
  <si>
    <t>7G1163</t>
  </si>
  <si>
    <t>7G1164</t>
  </si>
  <si>
    <t>7G1165</t>
  </si>
  <si>
    <t>RJnl3344</t>
  </si>
  <si>
    <t>7G1166</t>
  </si>
  <si>
    <t>7G1167</t>
  </si>
  <si>
    <t>7G1168</t>
  </si>
  <si>
    <t>7G1169</t>
  </si>
  <si>
    <t>7G1170</t>
  </si>
  <si>
    <t>RJnl3345</t>
  </si>
  <si>
    <t>7G1171</t>
  </si>
  <si>
    <t>7G1172</t>
  </si>
  <si>
    <t>7G1173</t>
  </si>
  <si>
    <t>7G1174</t>
  </si>
  <si>
    <t>7G1175</t>
  </si>
  <si>
    <t>RJnl3346</t>
  </si>
  <si>
    <t>7G1176</t>
  </si>
  <si>
    <t>7G1177</t>
  </si>
  <si>
    <t>7G1178</t>
  </si>
  <si>
    <t>7G1179</t>
  </si>
  <si>
    <t>7G1180</t>
  </si>
  <si>
    <t>RJnl3347</t>
  </si>
  <si>
    <t>7G1181</t>
  </si>
  <si>
    <t>7G1182</t>
  </si>
  <si>
    <t>7G1183</t>
  </si>
  <si>
    <t>7G1184</t>
  </si>
  <si>
    <t>7G1185</t>
  </si>
  <si>
    <t>RJnl3348</t>
  </si>
  <si>
    <t>7G1186</t>
  </si>
  <si>
    <t>7G1187</t>
  </si>
  <si>
    <t>7G1188</t>
  </si>
  <si>
    <t>7G1189</t>
  </si>
  <si>
    <t>7G1191</t>
  </si>
  <si>
    <t>7G1192</t>
  </si>
  <si>
    <t>7G1193</t>
  </si>
  <si>
    <t>7G1197</t>
  </si>
  <si>
    <t>7G1198</t>
  </si>
  <si>
    <t>RJnl3350</t>
  </si>
  <si>
    <t>7G1200</t>
  </si>
  <si>
    <t>7G1201</t>
  </si>
  <si>
    <t>7G1202</t>
  </si>
  <si>
    <t>7G1203</t>
  </si>
  <si>
    <t>7G1204</t>
  </si>
  <si>
    <t>RJnl3351</t>
  </si>
  <si>
    <t>7G1205</t>
  </si>
  <si>
    <t>7G1206</t>
  </si>
  <si>
    <t>7G1207</t>
  </si>
  <si>
    <t>7G1208</t>
  </si>
  <si>
    <t>7G1209</t>
  </si>
  <si>
    <t>RJnl3352</t>
  </si>
  <si>
    <t>7G1210</t>
  </si>
  <si>
    <t>7G1211</t>
  </si>
  <si>
    <t>7G1213</t>
  </si>
  <si>
    <t>7G1214</t>
  </si>
  <si>
    <t>7G1216</t>
  </si>
  <si>
    <t>RJnl3353</t>
  </si>
  <si>
    <t>5O0189</t>
  </si>
  <si>
    <t>RJnl3199</t>
  </si>
  <si>
    <t>5O0190</t>
  </si>
  <si>
    <t>5O0191</t>
  </si>
  <si>
    <t>5O0196</t>
  </si>
  <si>
    <t>5O0204</t>
  </si>
  <si>
    <t>5O0205</t>
  </si>
  <si>
    <t>RJnl3200</t>
  </si>
  <si>
    <t>5O0208</t>
  </si>
  <si>
    <t>5O0213</t>
  </si>
  <si>
    <t>5O0219</t>
  </si>
  <si>
    <t>5O0220</t>
  </si>
  <si>
    <t>5O0222</t>
  </si>
  <si>
    <t>RJnl3201</t>
  </si>
  <si>
    <t>5O0226</t>
  </si>
  <si>
    <t>5O0231</t>
  </si>
  <si>
    <t>5O0236</t>
  </si>
  <si>
    <t>5O0244</t>
  </si>
  <si>
    <t>5O0245</t>
  </si>
  <si>
    <t>RJnl3202</t>
  </si>
  <si>
    <t>5O0248</t>
  </si>
  <si>
    <t>5O0249</t>
  </si>
  <si>
    <t>5O0252</t>
  </si>
  <si>
    <t>5O0253</t>
  </si>
  <si>
    <t>5O0255</t>
  </si>
  <si>
    <t>RJnl3203</t>
  </si>
  <si>
    <t>5O0256</t>
  </si>
  <si>
    <t>5O0257</t>
  </si>
  <si>
    <t>5O0268</t>
  </si>
  <si>
    <t>5O0271</t>
  </si>
  <si>
    <t>5O0273</t>
  </si>
  <si>
    <t>RJnl3204</t>
  </si>
  <si>
    <t>5O0274</t>
  </si>
  <si>
    <t>5O0275</t>
  </si>
  <si>
    <t>5O0277</t>
  </si>
  <si>
    <t>5O0278</t>
  </si>
  <si>
    <t>5O0285</t>
  </si>
  <si>
    <t>RJnl3205</t>
  </si>
  <si>
    <t>5O0298</t>
  </si>
  <si>
    <t>5O0302</t>
  </si>
  <si>
    <t>5O0304</t>
  </si>
  <si>
    <t>5O0305</t>
  </si>
  <si>
    <t>5O0310</t>
  </si>
  <si>
    <t>RJnl3206</t>
  </si>
  <si>
    <t>5O0313</t>
  </si>
  <si>
    <t>5O0318</t>
  </si>
  <si>
    <t>5O0330</t>
  </si>
  <si>
    <t>5O0332</t>
  </si>
  <si>
    <t>5O0333</t>
  </si>
  <si>
    <t>RJnl3207</t>
  </si>
  <si>
    <t>5O0334</t>
  </si>
  <si>
    <t>5O0335</t>
  </si>
  <si>
    <t>5O0336</t>
  </si>
  <si>
    <t>5O0337</t>
  </si>
  <si>
    <t>5O0343</t>
  </si>
  <si>
    <t>RJnl3208</t>
  </si>
  <si>
    <t>5O0344</t>
  </si>
  <si>
    <t>5O0347</t>
  </si>
  <si>
    <t>5O0349</t>
  </si>
  <si>
    <t>5O0350</t>
  </si>
  <si>
    <t>5O0357</t>
  </si>
  <si>
    <t>RJnl3209</t>
  </si>
  <si>
    <t>5O0364</t>
  </si>
  <si>
    <t>5O0369</t>
  </si>
  <si>
    <t>5O0370</t>
  </si>
  <si>
    <t>5O0371</t>
  </si>
  <si>
    <t>5O0385</t>
  </si>
  <si>
    <t>RJnl3210</t>
  </si>
  <si>
    <t>5O0392</t>
  </si>
  <si>
    <t>5O0393</t>
  </si>
  <si>
    <t>5O0394</t>
  </si>
  <si>
    <t>5O0395</t>
  </si>
  <si>
    <t>5O0396</t>
  </si>
  <si>
    <t>RJnl3211</t>
  </si>
  <si>
    <t>5O0397</t>
  </si>
  <si>
    <t>5O0398</t>
  </si>
  <si>
    <t>5O0399</t>
  </si>
  <si>
    <t>5O0400</t>
  </si>
  <si>
    <t>5O0401</t>
  </si>
  <si>
    <t>RJnl3212</t>
  </si>
  <si>
    <t>5O0402</t>
  </si>
  <si>
    <t>5O0403</t>
  </si>
  <si>
    <t>5O0404</t>
  </si>
  <si>
    <t>5O0405</t>
  </si>
  <si>
    <t>5O0411</t>
  </si>
  <si>
    <t>RJnl3213</t>
  </si>
  <si>
    <t>5O0412</t>
  </si>
  <si>
    <t>5O0413</t>
  </si>
  <si>
    <t>5O0415</t>
  </si>
  <si>
    <t>5O0416</t>
  </si>
  <si>
    <t>5O0417</t>
  </si>
  <si>
    <t>RJnl3214</t>
  </si>
  <si>
    <t>5O0418</t>
  </si>
  <si>
    <t>5O0419</t>
  </si>
  <si>
    <t>5O0421</t>
  </si>
  <si>
    <t>5O0422</t>
  </si>
  <si>
    <t>5O0423</t>
  </si>
  <si>
    <t>RJnl3215</t>
  </si>
  <si>
    <t>5O0425</t>
  </si>
  <si>
    <t>5O0433</t>
  </si>
  <si>
    <t>5O0435</t>
  </si>
  <si>
    <t>5O0437</t>
  </si>
  <si>
    <t>5O0438</t>
  </si>
  <si>
    <t>RJnl3216</t>
  </si>
  <si>
    <t>5O0439</t>
  </si>
  <si>
    <t>5O0440</t>
  </si>
  <si>
    <t>5O0441</t>
  </si>
  <si>
    <t>5O0442</t>
  </si>
  <si>
    <t>5O0443</t>
  </si>
  <si>
    <t>RJnl3217</t>
  </si>
  <si>
    <t>5O0444</t>
  </si>
  <si>
    <t>5O0445</t>
  </si>
  <si>
    <t>5O0446</t>
  </si>
  <si>
    <t>5O0454</t>
  </si>
  <si>
    <t>5O0458</t>
  </si>
  <si>
    <t>RJnl3218</t>
  </si>
  <si>
    <t>5O0459</t>
  </si>
  <si>
    <t>5O0460</t>
  </si>
  <si>
    <t>5O0462</t>
  </si>
  <si>
    <t>2. Totals agree to totals of Operating Expenditure by Vote (see Annexure 3, Table 2 - Operating Expenditure by Vote on page 23)</t>
  </si>
  <si>
    <t>3. Zeros are used where no amounts are applicable</t>
  </si>
  <si>
    <t>SUPPORTING TABLE 3</t>
  </si>
  <si>
    <t>TOTAL CAPITAL EXPENDITURE</t>
  </si>
  <si>
    <t>1. The strategic objectives and action plans listed here are an example only. Each municipality must list their own as per their own IDP.</t>
  </si>
  <si>
    <t>5N0989</t>
  </si>
  <si>
    <t>RJnl3148</t>
  </si>
  <si>
    <t>5N0990</t>
  </si>
  <si>
    <t>5N0991</t>
  </si>
  <si>
    <t>5N0992</t>
  </si>
  <si>
    <t>5N0993</t>
  </si>
  <si>
    <t>5N0994</t>
  </si>
  <si>
    <t>RJnl3149</t>
  </si>
  <si>
    <t>5N0995</t>
  </si>
  <si>
    <t>5N0996</t>
  </si>
  <si>
    <t>5N0997</t>
  </si>
  <si>
    <t>5N0998</t>
  </si>
  <si>
    <t>5N0999</t>
  </si>
  <si>
    <t>RJnl3150</t>
  </si>
  <si>
    <t>5N1000</t>
  </si>
  <si>
    <t>5N1001</t>
  </si>
  <si>
    <t>5N1002</t>
  </si>
  <si>
    <t>5N1003</t>
  </si>
  <si>
    <t>5N1004</t>
  </si>
  <si>
    <t>RJnl3151</t>
  </si>
  <si>
    <t>LEASES</t>
  </si>
  <si>
    <t>Government grants &amp; subsidies - Capital</t>
  </si>
  <si>
    <t>Travel Allowances</t>
  </si>
  <si>
    <t>Housing &amp; Other Allowances</t>
  </si>
  <si>
    <t>Other Contributions (UIF etc.)</t>
  </si>
  <si>
    <t>1. The investment types listed are set out as per the municipal investment regulations posted on the NT web site (www.treasury.gov.za/mfma)</t>
  </si>
  <si>
    <r>
      <t xml:space="preserve">2. List additional types if the list above is incomplete. </t>
    </r>
    <r>
      <rPr>
        <b/>
        <sz val="10"/>
        <rFont val="Arial"/>
        <family val="2"/>
      </rPr>
      <t>Do not use "Other"</t>
    </r>
  </si>
  <si>
    <t>SUPPORTING TABLE 4a</t>
  </si>
  <si>
    <t xml:space="preserve">Period of </t>
  </si>
  <si>
    <t xml:space="preserve">Type of </t>
  </si>
  <si>
    <t>Expiry date</t>
  </si>
  <si>
    <t>Monetary</t>
  </si>
  <si>
    <t>Interest to be</t>
  </si>
  <si>
    <t>Investment</t>
  </si>
  <si>
    <t>of Investment</t>
  </si>
  <si>
    <t>Value</t>
  </si>
  <si>
    <t>Realised</t>
  </si>
  <si>
    <t>Name of Institution / Investment ID</t>
  </si>
  <si>
    <t>List each investment by name of institution and investment identification number unique to that investment</t>
  </si>
  <si>
    <t>SUPPORTING TABLE 5</t>
  </si>
  <si>
    <t>Sub Total - National Grant Allocations</t>
  </si>
  <si>
    <t>Sub Total - Provincial Grant Allocations</t>
  </si>
  <si>
    <t>Sub Total - Municipal Grant Allocations</t>
  </si>
  <si>
    <t>TOTAL GRANT ALLOCATIONS</t>
  </si>
  <si>
    <t>1. Refers to allocations by transferring departments and municipalities.</t>
  </si>
  <si>
    <t>3. Show the name and demarcation code of the municipality making the transfer as well as the grant description.</t>
  </si>
  <si>
    <t>4. Zeros are used where no amounts are applicable</t>
  </si>
  <si>
    <r>
      <t>GOVERNMENT GRANTS &amp; SUBSIDIES - ALLOCATIONS</t>
    </r>
    <r>
      <rPr>
        <b/>
        <vertAlign val="superscript"/>
        <sz val="10"/>
        <rFont val="Arial"/>
        <family val="2"/>
      </rPr>
      <t>1</t>
    </r>
  </si>
  <si>
    <r>
      <t>National Grant Allocations</t>
    </r>
    <r>
      <rPr>
        <u/>
        <vertAlign val="superscript"/>
        <sz val="10"/>
        <rFont val="Arial"/>
        <family val="2"/>
      </rPr>
      <t>2</t>
    </r>
  </si>
  <si>
    <r>
      <t>Provincial Grant Allocations</t>
    </r>
    <r>
      <rPr>
        <u/>
        <vertAlign val="superscript"/>
        <sz val="10"/>
        <rFont val="Arial"/>
        <family val="2"/>
      </rPr>
      <t>2</t>
    </r>
  </si>
  <si>
    <r>
      <t>Municipal Grant Allocations</t>
    </r>
    <r>
      <rPr>
        <u/>
        <vertAlign val="superscript"/>
        <sz val="10"/>
        <rFont val="Arial"/>
        <family val="2"/>
      </rPr>
      <t>3</t>
    </r>
  </si>
  <si>
    <t>Performance Bonus</t>
  </si>
  <si>
    <t>Provincial Gov: Subsidy</t>
  </si>
  <si>
    <t>INCOME FOREGONE - FBS</t>
  </si>
  <si>
    <t>2. Each grant is listed by grant code as shown in the Division of Revenue Act 2010 and also shows the name of grant and name of transferring department or municipality.</t>
  </si>
  <si>
    <t>SUPPORTING TABLE 6</t>
  </si>
  <si>
    <t>2004/05</t>
  </si>
  <si>
    <t>2005/06</t>
  </si>
  <si>
    <t>2006/07</t>
  </si>
  <si>
    <t>2007/08</t>
  </si>
  <si>
    <t>NEW BORROWING</t>
  </si>
  <si>
    <t>Use separate line for each new borrowing</t>
  </si>
  <si>
    <t>SUPPORTING TABLE 7</t>
  </si>
  <si>
    <t>GRANT ALLOCATIONS</t>
  </si>
  <si>
    <t>etc</t>
  </si>
  <si>
    <t>TOTAL ALLOCATIONS TO MUNICIPALITIES</t>
  </si>
  <si>
    <t>TOTAL ALLOCATIONS TO ENTITIES ETC</t>
  </si>
  <si>
    <t>TOTAL ALLOCATIONS TO OTHER ORGANS OF STATE</t>
  </si>
  <si>
    <t>TOTAL ALLOCATIONS TO OTHER ORGANISATIONS</t>
  </si>
  <si>
    <t>1. Listed by municipal name and demarcation code of the recipient municipality</t>
  </si>
  <si>
    <t>2. List by name of entity etc</t>
  </si>
  <si>
    <t>3. List by name of organ of state</t>
  </si>
  <si>
    <t>4. List by name of other organisation</t>
  </si>
  <si>
    <r>
      <t>Allocations to Other Municipalities</t>
    </r>
    <r>
      <rPr>
        <b/>
        <u/>
        <vertAlign val="superscript"/>
        <sz val="10"/>
        <rFont val="Arial"/>
        <family val="2"/>
      </rPr>
      <t>1</t>
    </r>
  </si>
  <si>
    <r>
      <t>Allocations to Entities &amp; Other External Mechanisms</t>
    </r>
    <r>
      <rPr>
        <b/>
        <u/>
        <vertAlign val="superscript"/>
        <sz val="10"/>
        <rFont val="Arial"/>
        <family val="2"/>
      </rPr>
      <t>2</t>
    </r>
  </si>
  <si>
    <r>
      <t>Allocations to Other Organs of State</t>
    </r>
    <r>
      <rPr>
        <b/>
        <u/>
        <vertAlign val="superscript"/>
        <sz val="10"/>
        <rFont val="Arial"/>
        <family val="2"/>
      </rPr>
      <t>3</t>
    </r>
  </si>
  <si>
    <r>
      <t>Allocations to Other Organisations</t>
    </r>
    <r>
      <rPr>
        <b/>
        <u/>
        <vertAlign val="superscript"/>
        <sz val="10"/>
        <rFont val="Arial"/>
        <family val="2"/>
      </rPr>
      <t>4</t>
    </r>
  </si>
  <si>
    <t>SUPPORTING TABLE 8</t>
  </si>
  <si>
    <t>Salary</t>
  </si>
  <si>
    <t>Social</t>
  </si>
  <si>
    <t>Allowances</t>
  </si>
  <si>
    <t xml:space="preserve">Performance </t>
  </si>
  <si>
    <t>Bonuses</t>
  </si>
  <si>
    <t>Package</t>
  </si>
  <si>
    <t>DISCLOSURE OF SALARIES, ALLOWANCES &amp; BENEFITS</t>
  </si>
  <si>
    <t>Rand ('000) pa</t>
  </si>
  <si>
    <t>Councillors</t>
  </si>
  <si>
    <t>Speaker</t>
  </si>
  <si>
    <t>Officials of the Municipality</t>
  </si>
  <si>
    <t>Municipal Manager (MM)</t>
  </si>
  <si>
    <t>Indigent - Levy</t>
  </si>
  <si>
    <t>Rates Levies</t>
  </si>
  <si>
    <t>LESS: REBATE</t>
  </si>
  <si>
    <t>TARIFF - RESIDENTIAL (AFTER REBATE)</t>
  </si>
  <si>
    <t>VALUE OF FARMS</t>
  </si>
  <si>
    <t>TOTAL Ha</t>
  </si>
  <si>
    <t>TARIFF- FARMS (RATIO 1:0.25)</t>
  </si>
  <si>
    <t>Manager Corporate Services</t>
  </si>
  <si>
    <t>List each member of board by designation</t>
  </si>
  <si>
    <t>Chief Executive Officer (CEO)</t>
  </si>
  <si>
    <t>List each senior manager reporting to CEO by designation</t>
  </si>
  <si>
    <t>TOTAL COST OF REMUNERATION TO MUNICIPALITY</t>
  </si>
  <si>
    <t>1. Total package must equal the total cost to the municipality.</t>
  </si>
  <si>
    <t>2. If benefits in kind are provided (e.g. provision of living quarters) the full market value must be shown as the cost to the municipality</t>
  </si>
  <si>
    <t>3. Political office bearer is defined in MFMA s 1: speaker, executive mayor, deputy executive mayor, member of executive committee,</t>
  </si>
  <si>
    <t xml:space="preserve">    mayor, deputy mayor, member of mayoral committee, the councillor designated to exercise powers and duties of mayor (MFMA s 57)</t>
  </si>
  <si>
    <t xml:space="preserve">4. Social contributions include pensions, medical aid, etc </t>
  </si>
  <si>
    <t>5. List each entity where municipality has an interest and state percentage ownership and control</t>
  </si>
  <si>
    <r>
      <t>Contributions</t>
    </r>
    <r>
      <rPr>
        <b/>
        <vertAlign val="superscript"/>
        <sz val="10"/>
        <rFont val="Arial"/>
        <family val="2"/>
      </rPr>
      <t>4</t>
    </r>
  </si>
  <si>
    <r>
      <t>A Heading for Each Entity</t>
    </r>
    <r>
      <rPr>
        <b/>
        <u/>
        <vertAlign val="superscript"/>
        <sz val="10"/>
        <rFont val="Arial"/>
        <family val="2"/>
      </rPr>
      <t>5</t>
    </r>
  </si>
  <si>
    <t>SUPPORTING TABLE 8a</t>
  </si>
  <si>
    <t xml:space="preserve">SUMMARY OF TOTAL SALARIES, WAGES, ALLOWANCES etc </t>
  </si>
  <si>
    <t>Councillors (Political Office Bearers plus Other)</t>
  </si>
  <si>
    <t>Basic Salaries</t>
  </si>
  <si>
    <t>Pension Contributions</t>
  </si>
  <si>
    <t>Medical Aid Contributions</t>
  </si>
  <si>
    <t>Sub Total - Councillors</t>
  </si>
  <si>
    <t>Senior Managers of the Municipality (s 57 of Systems Act)</t>
  </si>
  <si>
    <t>Sub Total - Senior Managers of Municipality</t>
  </si>
  <si>
    <t>Other Municipal Staff</t>
  </si>
  <si>
    <t>Sub Total - Other Municipal Staff</t>
  </si>
  <si>
    <t>Board Members of Entities</t>
  </si>
  <si>
    <t>Board Fees</t>
  </si>
  <si>
    <t>Sub Total - Board Members of Entities</t>
  </si>
  <si>
    <t>Senior Managers of Entities</t>
  </si>
  <si>
    <t>Sub Total - Senior Managers of Entities</t>
  </si>
  <si>
    <t>Other Staff of Entities</t>
  </si>
  <si>
    <t>Sub Total - Other Staff of Entities</t>
  </si>
  <si>
    <t>TOTAL EMPLOYEE COSTS</t>
  </si>
  <si>
    <t>SUPPORTING TABLE 8b</t>
  </si>
  <si>
    <t>SUMMARY OF PERSONNEL NUMBERS</t>
  </si>
  <si>
    <t>(Full Time Equivalent)</t>
  </si>
  <si>
    <t>No.</t>
  </si>
  <si>
    <t>Municipality</t>
  </si>
  <si>
    <t>Senior Managers including Municipal Manager (s 57 of Systems Act)</t>
  </si>
  <si>
    <t>Other Managers</t>
  </si>
  <si>
    <t>Technical / Professional Staff</t>
  </si>
  <si>
    <t>Other Staff (clerical, labourers etc)</t>
  </si>
  <si>
    <t>Sub Total - Municipality</t>
  </si>
  <si>
    <t>Entities</t>
  </si>
  <si>
    <t>Board Members</t>
  </si>
  <si>
    <t>Senior Managers including CEO</t>
  </si>
  <si>
    <t>Sub Total - Entities</t>
  </si>
  <si>
    <t>TOTAL PERSONNEL NUMBERS</t>
  </si>
  <si>
    <t>1. Full Time Equivalent (FTE). E.g. One full time person = 1FTE. A person working half time (say 4 hours out of 8) = 0.5FTE.</t>
  </si>
  <si>
    <t>SUPPORTING TABLE 9</t>
  </si>
  <si>
    <t>July</t>
  </si>
  <si>
    <t>August</t>
  </si>
  <si>
    <t>September</t>
  </si>
  <si>
    <t>October</t>
  </si>
  <si>
    <t>November</t>
  </si>
  <si>
    <t>December</t>
  </si>
  <si>
    <t>January</t>
  </si>
  <si>
    <t>February</t>
  </si>
  <si>
    <t>March</t>
  </si>
  <si>
    <t>April</t>
  </si>
  <si>
    <t>May</t>
  </si>
  <si>
    <t>June</t>
  </si>
  <si>
    <t>Full Year</t>
  </si>
  <si>
    <t>MONTHLY CASH FLOWS</t>
  </si>
  <si>
    <t>Cash Operating Receipts by Source</t>
  </si>
  <si>
    <t>Service charges - electricity</t>
  </si>
  <si>
    <t>Service charges - water</t>
  </si>
  <si>
    <t>Service charges - sanitation</t>
  </si>
  <si>
    <t>Service charges - refuse</t>
  </si>
  <si>
    <t>VAT</t>
  </si>
  <si>
    <t>General Expenditure</t>
  </si>
  <si>
    <t>Grants - operating (incl. grants from other municipalities)</t>
  </si>
  <si>
    <t>Grants - capital (incl. grants from other municipalities)</t>
  </si>
  <si>
    <t>Etc (list each source)</t>
  </si>
  <si>
    <t>Other Cash Receipts by Source</t>
  </si>
  <si>
    <t>New Loans Raised</t>
  </si>
  <si>
    <t>Receipts from old outstanding debtors</t>
  </si>
  <si>
    <t>Total Cash Receipts by Source</t>
  </si>
  <si>
    <t>Cash Operating Payments by Type</t>
  </si>
  <si>
    <t>Other Cash Payments by Type</t>
  </si>
  <si>
    <t>Capital Expenditure</t>
  </si>
  <si>
    <t>Loans repaid</t>
  </si>
  <si>
    <t>Total Cash Payments by Type</t>
  </si>
  <si>
    <t>NET INCREASE / (DECREASE) IN CASH &amp; INVESTMENTS</t>
  </si>
  <si>
    <t>1. The items listed are as per the cash items shown in the specimen statement of financial performance plus additional cash items.</t>
  </si>
  <si>
    <t xml:space="preserve">IMPACT ON SERVICE DELIVERY </t>
  </si>
  <si>
    <t>Current assets</t>
  </si>
  <si>
    <t>Call investment deposits</t>
  </si>
  <si>
    <t>Consumer debtors</t>
  </si>
  <si>
    <t>Other debtors</t>
  </si>
  <si>
    <t>Total current assets</t>
  </si>
  <si>
    <t>Non current assets</t>
  </si>
  <si>
    <t>Investments</t>
  </si>
  <si>
    <t>Property, plant and equipment</t>
  </si>
  <si>
    <t>Total non current assets</t>
  </si>
  <si>
    <t>TOTAL ASSETS</t>
  </si>
  <si>
    <t>Current liabilities</t>
  </si>
  <si>
    <t>Bank overdraft</t>
  </si>
  <si>
    <t>Borrowing</t>
  </si>
  <si>
    <t>Consumer deposits</t>
  </si>
  <si>
    <t>Trade and other payables</t>
  </si>
  <si>
    <t>Provisions</t>
  </si>
  <si>
    <t>Total current liabilities</t>
  </si>
  <si>
    <t>Non current liabilities</t>
  </si>
  <si>
    <t>Total non current liabilities</t>
  </si>
  <si>
    <t>TOTAL LIABILITIES</t>
  </si>
  <si>
    <t>NET ASSETS</t>
  </si>
  <si>
    <t>COMMUNITY WEALTH/EQUITY</t>
  </si>
  <si>
    <t>Accumulated Surplus/(Deficit)</t>
  </si>
  <si>
    <t>Reserves</t>
  </si>
  <si>
    <t>TOTAL COMMUNITY WEALTH/EQUITY</t>
  </si>
  <si>
    <t>FINANCIAL POSITION</t>
  </si>
  <si>
    <t>IMPACT ON SERVICE DELIVERY (CONTINUED)</t>
  </si>
  <si>
    <t>Borrowing (Short term portion)</t>
  </si>
  <si>
    <t>Adjustment due to GRAP</t>
  </si>
  <si>
    <t>Cash (ABSA Account)</t>
  </si>
  <si>
    <t>Long term investments utilised.</t>
  </si>
  <si>
    <t>Increase in Investments</t>
  </si>
  <si>
    <t>Increased spending in Grants</t>
  </si>
  <si>
    <t>VAT settlement</t>
  </si>
  <si>
    <t xml:space="preserve">Finance Lease </t>
  </si>
  <si>
    <t>Cash backed CR Fund - GRAP</t>
  </si>
  <si>
    <t>MEDIUM TERM EXPENDITURE  AND REVENUE STRATEGY</t>
  </si>
  <si>
    <t>INTEGRATED DEVELOPMENT PLAN</t>
  </si>
  <si>
    <t>OF</t>
  </si>
  <si>
    <t>STRATEGIC OBJECTIVE</t>
  </si>
  <si>
    <t>CAPITAL EXPENDITURE</t>
  </si>
  <si>
    <t>KEY AMENDMENTS TO IDP</t>
  </si>
  <si>
    <t>REFER TO ANNEXURE C</t>
  </si>
  <si>
    <t xml:space="preserve">REFER TO SUPPORTING TABLE A25 </t>
  </si>
  <si>
    <t>Focal Point</t>
  </si>
  <si>
    <t>Action</t>
  </si>
  <si>
    <t>Source</t>
  </si>
  <si>
    <t>Public Participation</t>
  </si>
  <si>
    <t xml:space="preserve">Training </t>
  </si>
  <si>
    <t>Own Funds</t>
  </si>
  <si>
    <t>Revenue Enhancement</t>
  </si>
  <si>
    <t>Appoint Credit Control Staff</t>
  </si>
  <si>
    <t>Debt Management</t>
  </si>
  <si>
    <t>Updating of Indigent Register</t>
  </si>
  <si>
    <t>Updating of Billing Info &amp; Training</t>
  </si>
  <si>
    <t>Own Funds¹</t>
  </si>
  <si>
    <t>Cash Management</t>
  </si>
  <si>
    <t>Appointment of Budget Accountant</t>
  </si>
  <si>
    <t>Capital Spending Plan</t>
  </si>
  <si>
    <t>Increased spending of unspent grants</t>
  </si>
  <si>
    <t>Regular MIG reporting</t>
  </si>
  <si>
    <t>Supply Chain Management</t>
  </si>
  <si>
    <t>Review SCM Policies</t>
  </si>
  <si>
    <t>Credit Control Officer</t>
  </si>
  <si>
    <t>Technical Manager</t>
  </si>
  <si>
    <t>Income Accountant</t>
  </si>
  <si>
    <t>Credit Control Clerks</t>
  </si>
  <si>
    <t>Technicians</t>
  </si>
  <si>
    <t>Budget Accountant</t>
  </si>
  <si>
    <t>Senior Debtors Clerk</t>
  </si>
  <si>
    <t>Technical Officer</t>
  </si>
  <si>
    <t>SCM Practitioner</t>
  </si>
  <si>
    <t>Debtors Clerks</t>
  </si>
  <si>
    <t>Data Capturer</t>
  </si>
  <si>
    <t>ALIGNMENT TO MUNICIPAL TURNAROUND STRATEGY</t>
  </si>
  <si>
    <t>Implement Reward System - Best Performing Ward</t>
  </si>
  <si>
    <t>AMENDMENTS TO BUDGET RELATED POLICIES</t>
  </si>
  <si>
    <t>POLICIES IS NOT YET REVIEWED BY KPMG AND WILL BE TABLED AFTER APPROVAL OF THE ANNUAL BUDGET.</t>
  </si>
  <si>
    <t>KEY DEMOGRAPHIC, ECONOMIC AND OTHER ASSUMPTIONS</t>
  </si>
  <si>
    <t>¹ Salaries of the following Staff:</t>
  </si>
  <si>
    <t>THE FOLLOWING BACKLOGS EXISTS:</t>
  </si>
  <si>
    <t>HOUSEHOLDS ARE STILL WITHOUT ELECTRICITY.</t>
  </si>
  <si>
    <t>HOUSEHOLDS ARE STILL ON THE BUCKET SYSTEM.</t>
  </si>
  <si>
    <t>The above are addressed via the capital proramme. The bucket erradication project is to be finalised during the 2010/11 budget year.</t>
  </si>
  <si>
    <t xml:space="preserve">PROGRESS WITH PROVISION OF BASIC SERVICES </t>
  </si>
  <si>
    <t>SERVICE</t>
  </si>
  <si>
    <t>NUMBER</t>
  </si>
  <si>
    <t>The electricity backlog is dealt with by Escom/Centlec (Pty) Ltd.</t>
  </si>
  <si>
    <t>Fire fighting</t>
  </si>
  <si>
    <t>Pound</t>
  </si>
  <si>
    <t>Parks</t>
  </si>
  <si>
    <t>Sport grounds</t>
  </si>
  <si>
    <t>Refuse Removal</t>
  </si>
  <si>
    <t>Roads &amp; Streets</t>
  </si>
  <si>
    <t>Electricity Distribution</t>
  </si>
  <si>
    <t>Water Distribution &amp; Storage</t>
  </si>
  <si>
    <t>Network</t>
  </si>
  <si>
    <t>Meters</t>
  </si>
  <si>
    <t>Vehicle Licenses</t>
  </si>
  <si>
    <t>Protective Clothing</t>
  </si>
  <si>
    <t>Commission Vendors</t>
  </si>
  <si>
    <t>SERVICE CHARGES - ELECTRICITY</t>
  </si>
  <si>
    <t>Sale of Electricity</t>
  </si>
  <si>
    <t>Sale of Pre-paid Electricity</t>
  </si>
  <si>
    <t>TOTAL SERVICE CHARGES - ELECTRICITY</t>
  </si>
  <si>
    <t>Reconnections etc</t>
  </si>
  <si>
    <t>Page 1</t>
  </si>
  <si>
    <t>1</t>
  </si>
  <si>
    <t>2.2</t>
  </si>
  <si>
    <t>Budget Related Charts</t>
  </si>
  <si>
    <t>3.1</t>
  </si>
  <si>
    <t>3.2</t>
  </si>
  <si>
    <t>Annexures</t>
  </si>
  <si>
    <t>Detailed Budget</t>
  </si>
  <si>
    <t xml:space="preserve">ORIGINAL </t>
  </si>
  <si>
    <t>FULL YEAR</t>
  </si>
  <si>
    <t>FORECAST</t>
  </si>
  <si>
    <t>ADJUSTED</t>
  </si>
  <si>
    <t>MTREF</t>
  </si>
  <si>
    <t>2012/2013</t>
  </si>
  <si>
    <t>BUDGET +1</t>
  </si>
  <si>
    <t>BUDGET +2</t>
  </si>
  <si>
    <t>PROPERTY RATES - FARMS</t>
  </si>
  <si>
    <t>PROPERTY RATES - RESIDENTIAL</t>
  </si>
  <si>
    <t>3-4</t>
  </si>
  <si>
    <t>Page 5</t>
  </si>
  <si>
    <t>G-O</t>
  </si>
  <si>
    <t>5-9</t>
  </si>
  <si>
    <t>10-12</t>
  </si>
  <si>
    <t>13-15</t>
  </si>
  <si>
    <t>2010/2011 and for the two projected outer years 2011/2012 and 2012/2013 as set-out</t>
  </si>
  <si>
    <t>Council take notice that the measurable performance objectives must still be determined</t>
  </si>
  <si>
    <t>for the budget year 2010/2011.</t>
  </si>
  <si>
    <t>5R243F</t>
  </si>
  <si>
    <t>5R243G</t>
  </si>
  <si>
    <t>5R243H</t>
  </si>
  <si>
    <t>5R243J</t>
  </si>
  <si>
    <t>5R253R</t>
  </si>
  <si>
    <t>5R256A</t>
  </si>
  <si>
    <t>5U0019</t>
  </si>
  <si>
    <t>5U0020</t>
  </si>
  <si>
    <t>5U0022</t>
  </si>
  <si>
    <t>5U0025</t>
  </si>
  <si>
    <t>RJnl3294</t>
  </si>
  <si>
    <t>5U0026</t>
  </si>
  <si>
    <t>5U0027</t>
  </si>
  <si>
    <t>5U0031</t>
  </si>
  <si>
    <t>5U0032</t>
  </si>
  <si>
    <t>5U0033</t>
  </si>
  <si>
    <t>RJnl3295</t>
  </si>
  <si>
    <t>5U0036</t>
  </si>
  <si>
    <t>5U0037</t>
  </si>
  <si>
    <t>5U0038</t>
  </si>
  <si>
    <t>5U0039</t>
  </si>
  <si>
    <t>5U0041</t>
  </si>
  <si>
    <t>RJnl3296</t>
  </si>
  <si>
    <t>5U0042</t>
  </si>
  <si>
    <t>5U0043</t>
  </si>
  <si>
    <t>5U0045</t>
  </si>
  <si>
    <t>5U0046</t>
  </si>
  <si>
    <t>5U0050</t>
  </si>
  <si>
    <t>RJnl3297</t>
  </si>
  <si>
    <t>5U0051</t>
  </si>
  <si>
    <t>5U0052</t>
  </si>
  <si>
    <t>5U0053</t>
  </si>
  <si>
    <t>5U0054</t>
  </si>
  <si>
    <t>5U0055</t>
  </si>
  <si>
    <t>RJnl3298</t>
  </si>
  <si>
    <t>5U0058</t>
  </si>
  <si>
    <t>5U0059</t>
  </si>
  <si>
    <t>5U0060</t>
  </si>
  <si>
    <t>5U0061</t>
  </si>
  <si>
    <t>5U0063</t>
  </si>
  <si>
    <t>RJnl3299</t>
  </si>
  <si>
    <t>5U0064</t>
  </si>
  <si>
    <t>5U0065</t>
  </si>
  <si>
    <t>5U0066</t>
  </si>
  <si>
    <t>5U0067</t>
  </si>
  <si>
    <t>5U0068</t>
  </si>
  <si>
    <t>RJnl3300</t>
  </si>
  <si>
    <t>5U0069</t>
  </si>
  <si>
    <t>5U0070</t>
  </si>
  <si>
    <t>5U0071</t>
  </si>
  <si>
    <t>5U0072</t>
  </si>
  <si>
    <t>5U0073</t>
  </si>
  <si>
    <t>RJnl3301</t>
  </si>
  <si>
    <t>5U0074</t>
  </si>
  <si>
    <t>5U0075</t>
  </si>
  <si>
    <t>5U0076</t>
  </si>
  <si>
    <t>5U0084</t>
  </si>
  <si>
    <t>5U0093</t>
  </si>
  <si>
    <t>5U0094</t>
  </si>
  <si>
    <t>5U0095</t>
  </si>
  <si>
    <t>5U0096</t>
  </si>
  <si>
    <t>5U0097</t>
  </si>
  <si>
    <t>RJnl3303</t>
  </si>
  <si>
    <t>5U0098</t>
  </si>
  <si>
    <t>5U0099</t>
  </si>
  <si>
    <t>5U0100</t>
  </si>
  <si>
    <t>5U0101</t>
  </si>
  <si>
    <t>5U0102</t>
  </si>
  <si>
    <t>RJnl3304</t>
  </si>
  <si>
    <t>5U0103</t>
  </si>
  <si>
    <t>5U0104</t>
  </si>
  <si>
    <t>5U0105</t>
  </si>
  <si>
    <t>5U0106</t>
  </si>
  <si>
    <t>5U0107</t>
  </si>
  <si>
    <t>RJnl3305</t>
  </si>
  <si>
    <t>5U0108</t>
  </si>
  <si>
    <t>5U0109</t>
  </si>
  <si>
    <t>5U0110</t>
  </si>
  <si>
    <t>5U0111</t>
  </si>
  <si>
    <t>5U0112</t>
  </si>
  <si>
    <t>RJnl3306</t>
  </si>
  <si>
    <t>5U0113</t>
  </si>
  <si>
    <t>5U0114</t>
  </si>
  <si>
    <t>5U0115</t>
  </si>
  <si>
    <t>5U0116</t>
  </si>
  <si>
    <t>5U0117</t>
  </si>
  <si>
    <t>RJnl3307</t>
  </si>
  <si>
    <t>5U0118</t>
  </si>
  <si>
    <t>5U0119</t>
  </si>
  <si>
    <t>5U0120</t>
  </si>
  <si>
    <t>5U0121</t>
  </si>
  <si>
    <t>5U0122</t>
  </si>
  <si>
    <t>RJnl3308</t>
  </si>
  <si>
    <t>5U0123</t>
  </si>
  <si>
    <t>5U0124</t>
  </si>
  <si>
    <t>5U0125</t>
  </si>
  <si>
    <t>5U0126</t>
  </si>
  <si>
    <t>5U0127</t>
  </si>
  <si>
    <t>RJnl3309</t>
  </si>
  <si>
    <t>5U0128</t>
  </si>
  <si>
    <t>5U0129</t>
  </si>
  <si>
    <t>5U0130</t>
  </si>
  <si>
    <t>5U0131</t>
  </si>
  <si>
    <t>5U0132</t>
  </si>
  <si>
    <t>RJnl3310</t>
  </si>
  <si>
    <t>5U0133</t>
  </si>
  <si>
    <t>5U0134</t>
  </si>
  <si>
    <t>5U0135</t>
  </si>
  <si>
    <t>5U0136</t>
  </si>
  <si>
    <t>5U0137</t>
  </si>
  <si>
    <t>RJnl3311</t>
  </si>
  <si>
    <t>5U0138</t>
  </si>
  <si>
    <t>5U0139</t>
  </si>
  <si>
    <t>5U0140</t>
  </si>
  <si>
    <t>5U0141</t>
  </si>
  <si>
    <t>5U0142</t>
  </si>
  <si>
    <t>RJnl3312</t>
  </si>
  <si>
    <t>5U0143</t>
  </si>
  <si>
    <t>5U0144</t>
  </si>
  <si>
    <t>5U0145</t>
  </si>
  <si>
    <t>5U0146</t>
  </si>
  <si>
    <t>5U0147</t>
  </si>
  <si>
    <t>RJnl3313</t>
  </si>
  <si>
    <t>5U0148</t>
  </si>
  <si>
    <t>7G0968</t>
  </si>
  <si>
    <t>RJnl3314</t>
  </si>
  <si>
    <t>7G0976</t>
  </si>
  <si>
    <t>RJnl3316</t>
  </si>
  <si>
    <t>7G1048</t>
  </si>
  <si>
    <t>7G1049</t>
  </si>
  <si>
    <t>7G1051</t>
  </si>
  <si>
    <t>7G1052</t>
  </si>
  <si>
    <t>7G1053</t>
  </si>
  <si>
    <t>RJnl3323</t>
  </si>
  <si>
    <t>7G1054</t>
  </si>
  <si>
    <t>7G1055</t>
  </si>
  <si>
    <t>7G1057</t>
  </si>
  <si>
    <t>7G1058</t>
  </si>
  <si>
    <t>7G1059</t>
  </si>
  <si>
    <t>RJnl3324</t>
  </si>
  <si>
    <t>7G1061</t>
  </si>
  <si>
    <t>7G1062</t>
  </si>
  <si>
    <t>7G1063</t>
  </si>
  <si>
    <t>7G1064</t>
  </si>
  <si>
    <t>7G1065</t>
  </si>
  <si>
    <t>RJnl3325</t>
  </si>
  <si>
    <t>7G1066</t>
  </si>
  <si>
    <t>7G1067</t>
  </si>
  <si>
    <t>7G1068</t>
  </si>
  <si>
    <t>7G1069</t>
  </si>
  <si>
    <t>7G1070</t>
  </si>
  <si>
    <t>7G1071</t>
  </si>
  <si>
    <t>7G1074</t>
  </si>
  <si>
    <t>5O0463</t>
  </si>
  <si>
    <t>5O0464</t>
  </si>
  <si>
    <t>RJnl3219</t>
  </si>
  <si>
    <t>5O0465</t>
  </si>
  <si>
    <t>5O0466</t>
  </si>
  <si>
    <t>5O0467</t>
  </si>
  <si>
    <t>5O0468</t>
  </si>
  <si>
    <t>5O0472</t>
  </si>
  <si>
    <t>RJnl3220</t>
  </si>
  <si>
    <t>5O0473</t>
  </si>
  <si>
    <t>5O0474</t>
  </si>
  <si>
    <t>5O0476</t>
  </si>
  <si>
    <t>5O0478</t>
  </si>
  <si>
    <t>5O0484</t>
  </si>
  <si>
    <t>RJnl3221</t>
  </si>
  <si>
    <t>5O0486</t>
  </si>
  <si>
    <t>5O0492</t>
  </si>
  <si>
    <t>5O0493</t>
  </si>
  <si>
    <t>5O0495</t>
  </si>
  <si>
    <t>5O0500</t>
  </si>
  <si>
    <t>RJnl3222</t>
  </si>
  <si>
    <t>7G1333</t>
  </si>
  <si>
    <t>7G1334</t>
  </si>
  <si>
    <t>7G1335</t>
  </si>
  <si>
    <t>7G1336</t>
  </si>
  <si>
    <t>7G1338</t>
  </si>
  <si>
    <t>7G1339</t>
  </si>
  <si>
    <t>7G1340</t>
  </si>
  <si>
    <t>7G1341</t>
  </si>
  <si>
    <t>RJnl3377</t>
  </si>
  <si>
    <t>7G1342</t>
  </si>
  <si>
    <t>7G1343</t>
  </si>
  <si>
    <t>7G1344</t>
  </si>
  <si>
    <t>7G1345</t>
  </si>
  <si>
    <t>7G1346</t>
  </si>
  <si>
    <t>RJnl3378</t>
  </si>
  <si>
    <t>7G1347</t>
  </si>
  <si>
    <t>7M0004</t>
  </si>
  <si>
    <t>RJnl3384</t>
  </si>
  <si>
    <t>7M0006</t>
  </si>
  <si>
    <t>RJnl3385</t>
  </si>
  <si>
    <t>7M0007</t>
  </si>
  <si>
    <t>7M0008</t>
  </si>
  <si>
    <t>7M0009</t>
  </si>
  <si>
    <t>7M0010</t>
  </si>
  <si>
    <t>7M0012</t>
  </si>
  <si>
    <t>RJnl3386</t>
  </si>
  <si>
    <t>7M0013</t>
  </si>
  <si>
    <t>7M0014</t>
  </si>
  <si>
    <t>7M0015</t>
  </si>
  <si>
    <t>7M0016</t>
  </si>
  <si>
    <t>7M0017</t>
  </si>
  <si>
    <t>RJnl3387</t>
  </si>
  <si>
    <t>7M0018</t>
  </si>
  <si>
    <t>7M0019</t>
  </si>
  <si>
    <t>7M0020</t>
  </si>
  <si>
    <t>7M0021</t>
  </si>
  <si>
    <t>7M0022</t>
  </si>
  <si>
    <t>RJnl3388</t>
  </si>
  <si>
    <t>7M0023</t>
  </si>
  <si>
    <t>7M0024</t>
  </si>
  <si>
    <t>7M0025</t>
  </si>
  <si>
    <t>7M0026</t>
  </si>
  <si>
    <t>7M0027</t>
  </si>
  <si>
    <t>RJnl3389</t>
  </si>
  <si>
    <t>7M0029</t>
  </si>
  <si>
    <t>7M0030</t>
  </si>
  <si>
    <t>7M0031</t>
  </si>
  <si>
    <t>7M0032</t>
  </si>
  <si>
    <t>7M0033</t>
  </si>
  <si>
    <t>7M0035</t>
  </si>
  <si>
    <t>7M0036</t>
  </si>
  <si>
    <t>7M0037</t>
  </si>
  <si>
    <t>7M0038</t>
  </si>
  <si>
    <t>7M0039</t>
  </si>
  <si>
    <t>RJnl3391</t>
  </si>
  <si>
    <t>7M0040</t>
  </si>
  <si>
    <t>7M0042</t>
  </si>
  <si>
    <t>7M0043</t>
  </si>
  <si>
    <t>7M0044</t>
  </si>
  <si>
    <t>7M0045</t>
  </si>
  <si>
    <t>RJnl3392</t>
  </si>
  <si>
    <t>7M0046</t>
  </si>
  <si>
    <t>7M0047</t>
  </si>
  <si>
    <t>7M0049</t>
  </si>
  <si>
    <t>7M0050</t>
  </si>
  <si>
    <t>7M0051</t>
  </si>
  <si>
    <t>RJnl3393</t>
  </si>
  <si>
    <t>7M0052</t>
  </si>
  <si>
    <t>7M0054</t>
  </si>
  <si>
    <t>7M0057</t>
  </si>
  <si>
    <t>7M0058</t>
  </si>
  <si>
    <t>7M0059</t>
  </si>
  <si>
    <t>RJnl3394</t>
  </si>
  <si>
    <t>7M0060</t>
  </si>
  <si>
    <t>7M0061</t>
  </si>
  <si>
    <t>7M0065</t>
  </si>
  <si>
    <t>7M0070</t>
  </si>
  <si>
    <t>7M0072</t>
  </si>
  <si>
    <t>RJnl3395</t>
  </si>
  <si>
    <t>7M0082</t>
  </si>
  <si>
    <t>7M0085</t>
  </si>
  <si>
    <t>7M0088</t>
  </si>
  <si>
    <t>7M0089</t>
  </si>
  <si>
    <t>7M0090</t>
  </si>
  <si>
    <t>RJnl3396</t>
  </si>
  <si>
    <t>7M0091</t>
  </si>
  <si>
    <t>7M0092</t>
  </si>
  <si>
    <t>7M0093</t>
  </si>
  <si>
    <t>7M0095</t>
  </si>
  <si>
    <t>7M0096</t>
  </si>
  <si>
    <t>RJnl3397</t>
  </si>
  <si>
    <t>7M0097</t>
  </si>
  <si>
    <t>7M0100</t>
  </si>
  <si>
    <t>7M0101</t>
  </si>
  <si>
    <t>7M0103</t>
  </si>
  <si>
    <t>7M0105</t>
  </si>
  <si>
    <t>RJnl3398</t>
  </si>
  <si>
    <t>7M0108</t>
  </si>
  <si>
    <t>7M0109</t>
  </si>
  <si>
    <t>7M0111</t>
  </si>
  <si>
    <t>7M0116</t>
  </si>
  <si>
    <t>7M0118</t>
  </si>
  <si>
    <t>7M0124</t>
  </si>
  <si>
    <t>7M0125</t>
  </si>
  <si>
    <t>7M0126</t>
  </si>
  <si>
    <t>7M0129</t>
  </si>
  <si>
    <t>RJnl3400</t>
  </si>
  <si>
    <t>7M0130</t>
  </si>
  <si>
    <t>7M0131</t>
  </si>
  <si>
    <t>7M0132</t>
  </si>
  <si>
    <t>7M0133</t>
  </si>
  <si>
    <t>7M0134</t>
  </si>
  <si>
    <t>RJnl3401</t>
  </si>
  <si>
    <t>7M0136</t>
  </si>
  <si>
    <t>7M0140</t>
  </si>
  <si>
    <r>
      <t xml:space="preserve">2. All budgeted amounts must be classified under a particular vote. </t>
    </r>
    <r>
      <rPr>
        <b/>
        <sz val="10"/>
        <rFont val="Arial"/>
        <family val="2"/>
      </rPr>
      <t>Do not use "other"</t>
    </r>
    <r>
      <rPr>
        <sz val="10"/>
        <rFont val="Arial"/>
        <family val="2"/>
      </rPr>
      <t>. Where the function falls within the GFS function "Other", Use the GFS sub-function classification.</t>
    </r>
  </si>
  <si>
    <t>EXAMPLE TABLE 6</t>
  </si>
  <si>
    <t>OPERATING EXPENDITURE BY TYPE</t>
  </si>
  <si>
    <t>Operating Expenditure by Type</t>
  </si>
  <si>
    <t xml:space="preserve">Major Expenditure by Nature </t>
  </si>
  <si>
    <t>Employee related costs</t>
  </si>
  <si>
    <t>Remuneration of Councillors</t>
  </si>
  <si>
    <t>Bulk purchases - Electricity</t>
  </si>
  <si>
    <t>Bad debts</t>
  </si>
  <si>
    <t>Pasted values only from K33 to Q33</t>
  </si>
  <si>
    <t>Collection costs</t>
  </si>
  <si>
    <t>Repairs and maintenance</t>
  </si>
  <si>
    <t>Depreciation</t>
  </si>
  <si>
    <t>Bulk purchases - Water</t>
  </si>
  <si>
    <t>Interest paid</t>
  </si>
  <si>
    <t>Contracted services</t>
  </si>
  <si>
    <t>Grants and subsidies paid</t>
  </si>
  <si>
    <t>Other Expenditure by Nature</t>
  </si>
  <si>
    <t>Advertising</t>
  </si>
  <si>
    <t>Audit fees</t>
  </si>
  <si>
    <t>Bank charges</t>
  </si>
  <si>
    <t>Communications</t>
  </si>
  <si>
    <t>Legal fees</t>
  </si>
  <si>
    <t>Seminar / Conferences</t>
  </si>
  <si>
    <t>Travel and Accommodation</t>
  </si>
  <si>
    <t>Total Operating Expenditure By Type</t>
  </si>
  <si>
    <t>2. Refer to charts on pages 33 and 34.</t>
  </si>
  <si>
    <t>3. This agrees to Operating expenditure by Vote shown on page 23 and Operating expenditure classified by IDP goals etc on page 36.</t>
  </si>
  <si>
    <t>4. The example charts displayed show the relevant data tables ranked in order from highest to lowest (bottom to top) in the same way the chart displays the stacked columns from highest to lowest.</t>
  </si>
  <si>
    <t>Finance Lease</t>
  </si>
  <si>
    <t>Lease</t>
  </si>
  <si>
    <t>7M0331</t>
  </si>
  <si>
    <t>7M0332</t>
  </si>
  <si>
    <t>7M0333</t>
  </si>
  <si>
    <t>7M0334</t>
  </si>
  <si>
    <t>RJnl3425</t>
  </si>
  <si>
    <t>7M0336</t>
  </si>
  <si>
    <t>7M0338</t>
  </si>
  <si>
    <t>7M0339</t>
  </si>
  <si>
    <t>7M0341</t>
  </si>
  <si>
    <t>7M0343</t>
  </si>
  <si>
    <t>7M0346</t>
  </si>
  <si>
    <t>7M0348</t>
  </si>
  <si>
    <t>7M0349</t>
  </si>
  <si>
    <t>7M0351</t>
  </si>
  <si>
    <t>RJnl3427</t>
  </si>
  <si>
    <t>7M0355</t>
  </si>
  <si>
    <t>7M0357</t>
  </si>
  <si>
    <t>7M0358</t>
  </si>
  <si>
    <t>7M0359</t>
  </si>
  <si>
    <t>7M0361</t>
  </si>
  <si>
    <t>RJnl3428</t>
  </si>
  <si>
    <t>7M0364</t>
  </si>
  <si>
    <t>7M0365</t>
  </si>
  <si>
    <t>7M0369</t>
  </si>
  <si>
    <t>7M0370</t>
  </si>
  <si>
    <t>7M0371</t>
  </si>
  <si>
    <t>RJnl3429</t>
  </si>
  <si>
    <t>7M0375</t>
  </si>
  <si>
    <t>7M0376</t>
  </si>
  <si>
    <t>7M0377</t>
  </si>
  <si>
    <t>7M0378</t>
  </si>
  <si>
    <t>7M0379</t>
  </si>
  <si>
    <t>RJnl3430</t>
  </si>
  <si>
    <t>7M0380</t>
  </si>
  <si>
    <t>7M0382</t>
  </si>
  <si>
    <t>7M0384</t>
  </si>
  <si>
    <t>7M0386</t>
  </si>
  <si>
    <t>7M0388</t>
  </si>
  <si>
    <t>RJnl3431</t>
  </si>
  <si>
    <t>7M0390</t>
  </si>
  <si>
    <t>7M0391</t>
  </si>
  <si>
    <t>7M0393</t>
  </si>
  <si>
    <t>7M0394</t>
  </si>
  <si>
    <t>7M0397</t>
  </si>
  <si>
    <t>RJnl3432</t>
  </si>
  <si>
    <t>7M0402</t>
  </si>
  <si>
    <t>7M0403</t>
  </si>
  <si>
    <t>7M0404</t>
  </si>
  <si>
    <t>7M0405</t>
  </si>
  <si>
    <t>7M0406</t>
  </si>
  <si>
    <t>RJnl3433</t>
  </si>
  <si>
    <t>7M0407</t>
  </si>
  <si>
    <t>7M0408</t>
  </si>
  <si>
    <t>7M0409</t>
  </si>
  <si>
    <t>7M0410</t>
  </si>
  <si>
    <t>7M0415</t>
  </si>
  <si>
    <t>RJnl3434</t>
  </si>
  <si>
    <t>7M0417</t>
  </si>
  <si>
    <t>7M0418</t>
  </si>
  <si>
    <t>7M0419</t>
  </si>
  <si>
    <t>7M0421</t>
  </si>
  <si>
    <t>7M0428</t>
  </si>
  <si>
    <t>RJnl3435</t>
  </si>
  <si>
    <t>7M0430</t>
  </si>
  <si>
    <t>7M0431</t>
  </si>
  <si>
    <t>7M0437</t>
  </si>
  <si>
    <t>7M0438</t>
  </si>
  <si>
    <t>7M0439</t>
  </si>
  <si>
    <t>RJnl3436</t>
  </si>
  <si>
    <t>7M0441</t>
  </si>
  <si>
    <t>7M0443</t>
  </si>
  <si>
    <t>7M0445</t>
  </si>
  <si>
    <t>7M0446</t>
  </si>
  <si>
    <t>7M0447</t>
  </si>
  <si>
    <t>RJnl3437</t>
  </si>
  <si>
    <t>7M0450</t>
  </si>
  <si>
    <t>7M0453</t>
  </si>
  <si>
    <t>7M0454</t>
  </si>
  <si>
    <t>7M0455</t>
  </si>
  <si>
    <t>7M0456</t>
  </si>
  <si>
    <t>7M0458</t>
  </si>
  <si>
    <t>7M0459</t>
  </si>
  <si>
    <t>7M0461</t>
  </si>
  <si>
    <t>7M0462</t>
  </si>
  <si>
    <t>RJnl3439</t>
  </si>
  <si>
    <t>7M0463</t>
  </si>
  <si>
    <t>7M0464</t>
  </si>
  <si>
    <t>7M0465</t>
  </si>
  <si>
    <t>7M0466</t>
  </si>
  <si>
    <t>7M0467</t>
  </si>
  <si>
    <t>7M0468</t>
  </si>
  <si>
    <t>7M0477</t>
  </si>
  <si>
    <t>7M0479</t>
  </si>
  <si>
    <t>7M0480</t>
  </si>
  <si>
    <t>RJnl3441</t>
  </si>
  <si>
    <t>7M0481</t>
  </si>
  <si>
    <t>7M0482</t>
  </si>
  <si>
    <t>7M0483</t>
  </si>
  <si>
    <t>7M0484</t>
  </si>
  <si>
    <t>7M0485</t>
  </si>
  <si>
    <t>RJnl3442</t>
  </si>
  <si>
    <t>7M0486</t>
  </si>
  <si>
    <t>7M0487</t>
  </si>
  <si>
    <t>7M0492</t>
  </si>
  <si>
    <t>7M0493</t>
  </si>
  <si>
    <t>7M0494</t>
  </si>
  <si>
    <t>RJnl3443</t>
  </si>
  <si>
    <t>7M0496</t>
  </si>
  <si>
    <t>7M0497</t>
  </si>
  <si>
    <t>2. Totals agree to totals of Capital Expenditure by Vote (see Annexure 3, Table 3 - Capital Expenditure by Vote on page 26)</t>
  </si>
  <si>
    <t>SUPPORTING TABLE 4</t>
  </si>
  <si>
    <t>Investment Type</t>
  </si>
  <si>
    <t>Contribution Pension Fund</t>
  </si>
  <si>
    <t>Contribution Medical Fund</t>
  </si>
  <si>
    <t>Housing Allowance</t>
  </si>
  <si>
    <t>Other Allowance</t>
  </si>
  <si>
    <t>Telephone Allowance</t>
  </si>
  <si>
    <t>Travel Allowance</t>
  </si>
  <si>
    <t>Medical PJS Vorster</t>
  </si>
  <si>
    <t>Managers</t>
  </si>
  <si>
    <t>Council</t>
  </si>
  <si>
    <t>Other Allowances</t>
  </si>
  <si>
    <t>TOTAL LEASES</t>
  </si>
  <si>
    <t>New Electricity connections</t>
  </si>
  <si>
    <t>No. of new electricity connections</t>
  </si>
  <si>
    <t>Percentage of HH that meet agreed service levels</t>
  </si>
  <si>
    <t>HH achieving agreed levels / total</t>
  </si>
  <si>
    <t>Percentage of HH that meet agreed service standards</t>
  </si>
  <si>
    <t>HH achieving agreed stds / total</t>
  </si>
  <si>
    <t>Percentage of electricity losses</t>
  </si>
  <si>
    <t>KW billed / KW used by muni</t>
  </si>
  <si>
    <t>Employment through job creation schemes</t>
  </si>
  <si>
    <t>No. temporary jobs created</t>
  </si>
  <si>
    <t>No. permanent jobs created</t>
  </si>
  <si>
    <t>Vote: Water</t>
  </si>
  <si>
    <t>New Water connections</t>
  </si>
  <si>
    <t>No. of new water connections</t>
  </si>
  <si>
    <t>Percentage of water losses</t>
  </si>
  <si>
    <t>KL Billed / KL used by muni</t>
  </si>
  <si>
    <t>Vote: Road Transport</t>
  </si>
  <si>
    <t>km of new road for prev unserviced areas</t>
  </si>
  <si>
    <t>No. of kilometres</t>
  </si>
  <si>
    <t>Vote: Waster Management</t>
  </si>
  <si>
    <t>Percentage of HH with no rubbish disposal</t>
  </si>
  <si>
    <t>No. of HH without / total HH</t>
  </si>
  <si>
    <t>Vote: Waste Water management</t>
  </si>
  <si>
    <t>Percentage of HH with no toilet provision</t>
  </si>
  <si>
    <t>Department - Chief Finance Officer</t>
  </si>
  <si>
    <t>Percentage of property valuations disputed</t>
  </si>
  <si>
    <t>No. disputed / total No.</t>
  </si>
  <si>
    <t xml:space="preserve">Percentage of creditors payments on time </t>
  </si>
  <si>
    <t>No. Paid on Time / total No.</t>
  </si>
  <si>
    <t>1. The format of Department / Vote is an example only. Municipalities may show GFS / Department.</t>
  </si>
  <si>
    <t>2. The departments are examples only and municipalities should use their own departments or votes</t>
  </si>
  <si>
    <t>TABLE 11</t>
  </si>
  <si>
    <t>CAPITAL EXPENDITURE BY CATEGORY</t>
  </si>
  <si>
    <t>INFRASTRUCTURE</t>
  </si>
  <si>
    <t>Land and Buildings</t>
  </si>
  <si>
    <t>Roads, pavements, bridges and stormwater</t>
  </si>
  <si>
    <t>Water Reservoirs and reticulation</t>
  </si>
  <si>
    <t>Electricity reticulation</t>
  </si>
  <si>
    <t>Sewerage purification and reticulation</t>
  </si>
  <si>
    <t>Street lighting</t>
  </si>
  <si>
    <t>Refuse sights</t>
  </si>
  <si>
    <t>Gas</t>
  </si>
  <si>
    <t>COMMUNITY</t>
  </si>
  <si>
    <t>Establishment of parks &amp; gardens</t>
  </si>
  <si>
    <t>Sportsfields</t>
  </si>
  <si>
    <t>Community halls</t>
  </si>
  <si>
    <t>Recreation facilities</t>
  </si>
  <si>
    <t>Clinics</t>
  </si>
  <si>
    <t>Museums &amp; art galleries</t>
  </si>
  <si>
    <t>HERITAGE ASSETS</t>
  </si>
  <si>
    <t>INVESTMENT PROPERTIES</t>
  </si>
  <si>
    <t>OTHER ASSETS</t>
  </si>
  <si>
    <t>Other motor vehicles</t>
  </si>
  <si>
    <t>Office equipment</t>
  </si>
  <si>
    <t>Abattoirs</t>
  </si>
  <si>
    <t>Markets</t>
  </si>
  <si>
    <t>Airports</t>
  </si>
  <si>
    <t>Security measures</t>
  </si>
  <si>
    <t>SPECIALISED VEHICLES</t>
  </si>
  <si>
    <t>Refuse</t>
  </si>
  <si>
    <t>Fire</t>
  </si>
  <si>
    <t>Conservancy</t>
  </si>
  <si>
    <t>Ambulances</t>
  </si>
  <si>
    <t>Buses</t>
  </si>
  <si>
    <t>1. Total Capital Expenditure agrees to Total Funding. See Annexure 3 table 3 on page 26 and table 4 on page 29.</t>
  </si>
  <si>
    <t>2. The categories listed are consistent with the latest accounting standards</t>
  </si>
  <si>
    <r>
      <t>TOTAL CAPITAL EXPENDITURE</t>
    </r>
    <r>
      <rPr>
        <b/>
        <vertAlign val="superscript"/>
        <sz val="10"/>
        <rFont val="Arial"/>
        <family val="2"/>
      </rPr>
      <t>1</t>
    </r>
  </si>
  <si>
    <t>Inclusive</t>
  </si>
  <si>
    <t xml:space="preserve">VAT </t>
  </si>
  <si>
    <t>Exclusive</t>
  </si>
  <si>
    <t>RENT</t>
  </si>
  <si>
    <t># Accounts</t>
  </si>
  <si>
    <t>PROPERTY RENT</t>
  </si>
  <si>
    <t>RATES</t>
  </si>
  <si>
    <t>INTEREST</t>
  </si>
  <si>
    <t>LEVY</t>
  </si>
  <si>
    <t>SEWERAGE</t>
  </si>
  <si>
    <t>REFUSE</t>
  </si>
  <si>
    <t>WATER - PMT</t>
  </si>
  <si>
    <t>Indigent - Sew</t>
  </si>
  <si>
    <t>Indigent - Ref</t>
  </si>
  <si>
    <t>SEWERAGE - PMT</t>
  </si>
  <si>
    <t>REFUSE -PMT</t>
  </si>
  <si>
    <t>ELECTRICITY DISTRIBUTION (continued)</t>
  </si>
  <si>
    <t>Transfer to Surplus/(Deficit)</t>
  </si>
  <si>
    <t xml:space="preserve">Allowance - Other </t>
  </si>
  <si>
    <t xml:space="preserve">M Allowance - Other </t>
  </si>
  <si>
    <t xml:space="preserve">M Allowance - Telephone </t>
  </si>
  <si>
    <t>M Allowance - Vehicle (Fixed)</t>
  </si>
  <si>
    <t xml:space="preserve">Allowance - Telephone </t>
  </si>
  <si>
    <t xml:space="preserve">Allowance - Vehicle (Fixed) </t>
  </si>
  <si>
    <t xml:space="preserve">M Bonus </t>
  </si>
  <si>
    <t xml:space="preserve">Bonus </t>
  </si>
  <si>
    <t xml:space="preserve">M Compensation Commissioner </t>
  </si>
  <si>
    <t xml:space="preserve">Compensation Commissioner </t>
  </si>
  <si>
    <t xml:space="preserve">M Contributions Medical Aid </t>
  </si>
  <si>
    <t xml:space="preserve">Contributions Medical Aid </t>
  </si>
  <si>
    <t xml:space="preserve">M Contributions Pension Fund </t>
  </si>
  <si>
    <t xml:space="preserve">Contributions Pension Fund </t>
  </si>
  <si>
    <t xml:space="preserve">M Housing Subsidy </t>
  </si>
  <si>
    <t xml:space="preserve">Housing Subsidy </t>
  </si>
  <si>
    <t xml:space="preserve">M Industrial Council Levy </t>
  </si>
  <si>
    <t xml:space="preserve">Industrial Council Levy </t>
  </si>
  <si>
    <t xml:space="preserve">Overtime </t>
  </si>
  <si>
    <t xml:space="preserve">M Salaries </t>
  </si>
  <si>
    <t xml:space="preserve">Salaries </t>
  </si>
  <si>
    <t xml:space="preserve">M SDL </t>
  </si>
  <si>
    <t xml:space="preserve">SDL </t>
  </si>
  <si>
    <t xml:space="preserve">M UIF </t>
  </si>
  <si>
    <t xml:space="preserve">UIF </t>
  </si>
  <si>
    <t>M Performance Bonus</t>
  </si>
  <si>
    <t>M Salaries</t>
  </si>
  <si>
    <t>M Contributions Medical Aid</t>
  </si>
  <si>
    <t>M Contributions Pension Fund</t>
  </si>
  <si>
    <t>M UIF</t>
  </si>
  <si>
    <t>M Industrial Council Levy</t>
  </si>
  <si>
    <t>M Bonus</t>
  </si>
  <si>
    <t>M Allowance - Telephone</t>
  </si>
  <si>
    <t>M Housing Subsidy</t>
  </si>
  <si>
    <t>M Allowance - Other</t>
  </si>
  <si>
    <t>M SDL</t>
  </si>
  <si>
    <t>M Compensation Commissioner</t>
  </si>
  <si>
    <t>C UIF</t>
  </si>
  <si>
    <t>C Industrial Council Levy</t>
  </si>
  <si>
    <t>C SDL</t>
  </si>
  <si>
    <t>C Salaries</t>
  </si>
  <si>
    <t>C Allowance - Telephone</t>
  </si>
  <si>
    <t>C Allowance - Vehicle (Fixed)</t>
  </si>
  <si>
    <t>C Compensation Commissioner</t>
  </si>
  <si>
    <t>Car parks, bus terminals and taxi ranks</t>
  </si>
  <si>
    <t>Valuations</t>
  </si>
  <si>
    <t>2010</t>
  </si>
  <si>
    <t>Libraries</t>
  </si>
  <si>
    <t>MOHOKARE MUNICIPALITY</t>
  </si>
  <si>
    <t>Page 4</t>
  </si>
  <si>
    <t>6.</t>
  </si>
  <si>
    <t>Municipal Planning</t>
  </si>
  <si>
    <t>Capacity Building</t>
  </si>
  <si>
    <t>Financial Viability</t>
  </si>
  <si>
    <t>Service Delivery</t>
  </si>
  <si>
    <t>Economic Growth</t>
  </si>
  <si>
    <t>Enviro Management</t>
  </si>
  <si>
    <t>Special Programme</t>
  </si>
  <si>
    <t>Office of the Mayor/Speaker</t>
  </si>
  <si>
    <t>Municipal Manager</t>
  </si>
  <si>
    <t>Manager Administration</t>
  </si>
  <si>
    <t>Chief Financial Officer</t>
  </si>
  <si>
    <t>Manager Community Services</t>
  </si>
  <si>
    <t>Manager Technical Services</t>
  </si>
  <si>
    <t>Finance</t>
  </si>
  <si>
    <t>Internal Audit</t>
  </si>
  <si>
    <t>Property Rates</t>
  </si>
  <si>
    <t>Information Technology</t>
  </si>
  <si>
    <t>Council Properties</t>
  </si>
  <si>
    <t xml:space="preserve">Camps </t>
  </si>
  <si>
    <t>Human Resources</t>
  </si>
  <si>
    <t>Administration</t>
  </si>
  <si>
    <t>Environmental Health</t>
  </si>
  <si>
    <t>Community Services</t>
  </si>
  <si>
    <t>Community Halls</t>
  </si>
  <si>
    <t>Public &amp; Personnel Housing</t>
  </si>
  <si>
    <t>7M0722</t>
  </si>
  <si>
    <t>RJnl3472</t>
  </si>
  <si>
    <t>7M0724</t>
  </si>
  <si>
    <t>7M0725</t>
  </si>
  <si>
    <t>7M0727</t>
  </si>
  <si>
    <t>7M0728</t>
  </si>
  <si>
    <t>7M0729</t>
  </si>
  <si>
    <t>RJnl3473</t>
  </si>
  <si>
    <t>7M0730</t>
  </si>
  <si>
    <t>7M0731</t>
  </si>
  <si>
    <t>7M0732</t>
  </si>
  <si>
    <t>7M0733</t>
  </si>
  <si>
    <t>7M0734</t>
  </si>
  <si>
    <t>RJnl3474</t>
  </si>
  <si>
    <t>7M0736</t>
  </si>
  <si>
    <t>7M0737</t>
  </si>
  <si>
    <t>7M0738</t>
  </si>
  <si>
    <t>7M0739</t>
  </si>
  <si>
    <t>7M0740</t>
  </si>
  <si>
    <t>RJnl3475</t>
  </si>
  <si>
    <t>7M0741</t>
  </si>
  <si>
    <t>7M0742</t>
  </si>
  <si>
    <t>7M0744</t>
  </si>
  <si>
    <t>7M0745</t>
  </si>
  <si>
    <t>7M0746</t>
  </si>
  <si>
    <t>RJnl3476</t>
  </si>
  <si>
    <t>7M0747</t>
  </si>
  <si>
    <t>7M0749</t>
  </si>
  <si>
    <t>7M0750</t>
  </si>
  <si>
    <t>7M0752</t>
  </si>
  <si>
    <t>7M0753</t>
  </si>
  <si>
    <t>RJnl3477</t>
  </si>
  <si>
    <t>7M0754</t>
  </si>
  <si>
    <t>7M0756</t>
  </si>
  <si>
    <t>7M0757</t>
  </si>
  <si>
    <t>7M0758</t>
  </si>
  <si>
    <t>7M0759</t>
  </si>
  <si>
    <t>RJnl3478</t>
  </si>
  <si>
    <t>7M0763</t>
  </si>
  <si>
    <t>7M0764</t>
  </si>
  <si>
    <t>7M0765</t>
  </si>
  <si>
    <t>7M0766</t>
  </si>
  <si>
    <t>7M0768</t>
  </si>
  <si>
    <t>RJnl3479</t>
  </si>
  <si>
    <t>7M0769</t>
  </si>
  <si>
    <t>7M0771</t>
  </si>
  <si>
    <t>7M0772</t>
  </si>
  <si>
    <t>7M0773</t>
  </si>
  <si>
    <t>7M0775</t>
  </si>
  <si>
    <t>RJnl3480</t>
  </si>
  <si>
    <t>7M0776</t>
  </si>
  <si>
    <t>7M0781</t>
  </si>
  <si>
    <t>7M0788</t>
  </si>
  <si>
    <t>7M0789</t>
  </si>
  <si>
    <t>7M0795</t>
  </si>
  <si>
    <t>RJnl3481</t>
  </si>
  <si>
    <t>7M0797</t>
  </si>
  <si>
    <t>7M0798</t>
  </si>
  <si>
    <t>7M0800</t>
  </si>
  <si>
    <t>7M0802</t>
  </si>
  <si>
    <t>7M0803</t>
  </si>
  <si>
    <t>RJnl3482</t>
  </si>
  <si>
    <t>7M0805</t>
  </si>
  <si>
    <t>7M0806</t>
  </si>
  <si>
    <t>7M0807</t>
  </si>
  <si>
    <t>7M0808</t>
  </si>
  <si>
    <t>7M0809</t>
  </si>
  <si>
    <t>RJnl3483</t>
  </si>
  <si>
    <t>7M0810</t>
  </si>
  <si>
    <t>7M0812</t>
  </si>
  <si>
    <t>7M0814</t>
  </si>
  <si>
    <t>7M0816</t>
  </si>
  <si>
    <t>7M0819</t>
  </si>
  <si>
    <t>RJnl3484</t>
  </si>
  <si>
    <t>7M0820</t>
  </si>
  <si>
    <t>7M0824</t>
  </si>
  <si>
    <t>7M0825</t>
  </si>
  <si>
    <t>7M0828</t>
  </si>
  <si>
    <t>7M0830</t>
  </si>
  <si>
    <t>RJnl3485</t>
  </si>
  <si>
    <t>7M0833</t>
  </si>
  <si>
    <t>7M0834</t>
  </si>
  <si>
    <t>7M0835</t>
  </si>
  <si>
    <t>7M0837</t>
  </si>
  <si>
    <t>7M0842</t>
  </si>
  <si>
    <t>RJnl3486</t>
  </si>
  <si>
    <t>7M0845</t>
  </si>
  <si>
    <t>7M0846</t>
  </si>
  <si>
    <t>7M0847</t>
  </si>
  <si>
    <t>7M0852</t>
  </si>
  <si>
    <t>7M0856</t>
  </si>
  <si>
    <t>RJnl3487</t>
  </si>
  <si>
    <t>7M0857</t>
  </si>
  <si>
    <t>7M0858</t>
  </si>
  <si>
    <t>7M0862</t>
  </si>
  <si>
    <t>7M0867</t>
  </si>
  <si>
    <t>7M0868</t>
  </si>
  <si>
    <t>RJnl3488</t>
  </si>
  <si>
    <t>7M0869</t>
  </si>
  <si>
    <t>7M0871</t>
  </si>
  <si>
    <t>7M0881</t>
  </si>
  <si>
    <t>7M0883</t>
  </si>
  <si>
    <t>7M0886</t>
  </si>
  <si>
    <t>7M0891</t>
  </si>
  <si>
    <t>7M0892</t>
  </si>
  <si>
    <t>7M0900</t>
  </si>
  <si>
    <t>7M0902</t>
  </si>
  <si>
    <t>7M0904</t>
  </si>
  <si>
    <t>7M0905</t>
  </si>
  <si>
    <t>7M0906</t>
  </si>
  <si>
    <t>7M0912</t>
  </si>
  <si>
    <t>RJnl3491</t>
  </si>
  <si>
    <t>7M0914</t>
  </si>
  <si>
    <t>7M0924</t>
  </si>
  <si>
    <t>7M0925</t>
  </si>
  <si>
    <t>7M0926</t>
  </si>
  <si>
    <t>7M0927</t>
  </si>
  <si>
    <t>RJnl3492</t>
  </si>
  <si>
    <t>7M0934</t>
  </si>
  <si>
    <t>7M0935</t>
  </si>
  <si>
    <t>7M0937</t>
  </si>
  <si>
    <t>7M0940</t>
  </si>
  <si>
    <t>7M0948</t>
  </si>
  <si>
    <t>7M0949</t>
  </si>
  <si>
    <t>7R0007</t>
  </si>
  <si>
    <t>7S0002</t>
  </si>
  <si>
    <t>7S0004</t>
  </si>
  <si>
    <t>7S0008</t>
  </si>
  <si>
    <t>7S0011</t>
  </si>
  <si>
    <t>7S0012</t>
  </si>
  <si>
    <t>7S0013</t>
  </si>
  <si>
    <t>7S0014</t>
  </si>
  <si>
    <t>7S0016</t>
  </si>
  <si>
    <t>7S0018</t>
  </si>
  <si>
    <t>7S0019</t>
  </si>
  <si>
    <t>7S0020</t>
  </si>
  <si>
    <t>7S0022</t>
  </si>
  <si>
    <t>7S0023</t>
  </si>
  <si>
    <t>7S0025</t>
  </si>
  <si>
    <t>7S0026</t>
  </si>
  <si>
    <t>7S0027</t>
  </si>
  <si>
    <t>7S0028</t>
  </si>
  <si>
    <t>7S0031</t>
  </si>
  <si>
    <t>7S0033</t>
  </si>
  <si>
    <t>7S0035</t>
  </si>
  <si>
    <t>7S0038</t>
  </si>
  <si>
    <t>7S0039</t>
  </si>
  <si>
    <t>7S0044</t>
  </si>
  <si>
    <t>7S0046</t>
  </si>
  <si>
    <t>7S0059</t>
  </si>
  <si>
    <t>7S0065</t>
  </si>
  <si>
    <t>7S0068</t>
  </si>
  <si>
    <t>7S0076</t>
  </si>
  <si>
    <t>7S0084</t>
  </si>
  <si>
    <t>7S0085</t>
  </si>
  <si>
    <t>7S0092</t>
  </si>
  <si>
    <t>7S0095</t>
  </si>
  <si>
    <t>7S0096</t>
  </si>
  <si>
    <t>7S0097</t>
  </si>
  <si>
    <t>7S0098</t>
  </si>
  <si>
    <t>7S0099</t>
  </si>
  <si>
    <t>7S009R</t>
  </si>
  <si>
    <t>7S0100</t>
  </si>
  <si>
    <t>7S0106</t>
  </si>
  <si>
    <t>7S0110</t>
  </si>
  <si>
    <t>7S0143</t>
  </si>
  <si>
    <t>7S0152</t>
  </si>
  <si>
    <t>7S0155</t>
  </si>
  <si>
    <t>7S0156</t>
  </si>
  <si>
    <t>7S0157</t>
  </si>
  <si>
    <t>7S0164</t>
  </si>
  <si>
    <t>7S0165</t>
  </si>
  <si>
    <t>7S0166</t>
  </si>
  <si>
    <t>7S0167</t>
  </si>
  <si>
    <t>7S0171</t>
  </si>
  <si>
    <t>7S0172</t>
  </si>
  <si>
    <t>7S0173</t>
  </si>
  <si>
    <t>7S0181</t>
  </si>
  <si>
    <t>RJnl3512</t>
  </si>
  <si>
    <t>7S0182</t>
  </si>
  <si>
    <t>7S0183</t>
  </si>
  <si>
    <t>7S0184</t>
  </si>
  <si>
    <t>7S0185</t>
  </si>
  <si>
    <t>7S0186</t>
  </si>
  <si>
    <t>7S0187</t>
  </si>
  <si>
    <t>7S0188</t>
  </si>
  <si>
    <t>7S0191</t>
  </si>
  <si>
    <t>7S0192</t>
  </si>
  <si>
    <t>7S0193</t>
  </si>
  <si>
    <t>7S0194</t>
  </si>
  <si>
    <t>7S0196</t>
  </si>
  <si>
    <t>7S0198</t>
  </si>
  <si>
    <t>7S0201</t>
  </si>
  <si>
    <t>7S0202</t>
  </si>
  <si>
    <t>7S0203</t>
  </si>
  <si>
    <t>7S0204</t>
  </si>
  <si>
    <t>7S0212</t>
  </si>
  <si>
    <t>7S0214</t>
  </si>
  <si>
    <t>7S0215</t>
  </si>
  <si>
    <t>7S0222</t>
  </si>
  <si>
    <t>7S0223</t>
  </si>
  <si>
    <t>7S0224</t>
  </si>
  <si>
    <t>7S0225</t>
  </si>
  <si>
    <t>7S0226</t>
  </si>
  <si>
    <t>7S0230</t>
  </si>
  <si>
    <t>7S0231</t>
  </si>
  <si>
    <t>7S0232</t>
  </si>
  <si>
    <t>7S0235</t>
  </si>
  <si>
    <t>7S0237</t>
  </si>
  <si>
    <t>7S0238</t>
  </si>
  <si>
    <t>7S0243</t>
  </si>
  <si>
    <t>7S0244</t>
  </si>
  <si>
    <t>7S0245</t>
  </si>
  <si>
    <t>7S0246</t>
  </si>
  <si>
    <t>7S0247</t>
  </si>
  <si>
    <t>7S0250</t>
  </si>
  <si>
    <t>RJnl3523</t>
  </si>
  <si>
    <t>7S0251</t>
  </si>
  <si>
    <t>7S0252</t>
  </si>
  <si>
    <t>7S0253</t>
  </si>
  <si>
    <t>7S0254</t>
  </si>
  <si>
    <t>7S0255</t>
  </si>
  <si>
    <t>7S0256</t>
  </si>
  <si>
    <t>7S0259</t>
  </si>
  <si>
    <t>7S0262</t>
  </si>
  <si>
    <t>7S0263</t>
  </si>
  <si>
    <t>7S0264</t>
  </si>
  <si>
    <t>7S0265</t>
  </si>
  <si>
    <t>7S0266</t>
  </si>
  <si>
    <t>RJnl3526</t>
  </si>
  <si>
    <t>7S0267</t>
  </si>
  <si>
    <t>7S0268</t>
  </si>
  <si>
    <t>7S0269</t>
  </si>
  <si>
    <t>7S0270</t>
  </si>
  <si>
    <t>7S0271</t>
  </si>
  <si>
    <t>RJnl3527</t>
  </si>
  <si>
    <t>7S0272</t>
  </si>
  <si>
    <t>7S0273</t>
  </si>
  <si>
    <t>7S0274</t>
  </si>
  <si>
    <t>7S0276</t>
  </si>
  <si>
    <t>7S0277</t>
  </si>
  <si>
    <t>RJnl3528</t>
  </si>
  <si>
    <t>7S0278</t>
  </si>
  <si>
    <t>7S0279</t>
  </si>
  <si>
    <t>7S0280</t>
  </si>
  <si>
    <t>7S0281</t>
  </si>
  <si>
    <t>7S0295</t>
  </si>
  <si>
    <t>7S0296</t>
  </si>
  <si>
    <t>7S0301</t>
  </si>
  <si>
    <t>7S0302</t>
  </si>
  <si>
    <t>7S0306</t>
  </si>
  <si>
    <t>7S0307</t>
  </si>
  <si>
    <t>7S0308</t>
  </si>
  <si>
    <t>7S0309</t>
  </si>
  <si>
    <t>7S030A</t>
  </si>
  <si>
    <t>7S030R</t>
  </si>
  <si>
    <t>7S0310</t>
  </si>
  <si>
    <t>7S0312</t>
  </si>
  <si>
    <t>7S0313</t>
  </si>
  <si>
    <t>RJnl3534</t>
  </si>
  <si>
    <t>7S0315</t>
  </si>
  <si>
    <t>7S0316</t>
  </si>
  <si>
    <t>7S0317</t>
  </si>
  <si>
    <t>7S0318</t>
  </si>
  <si>
    <t>7S0319</t>
  </si>
  <si>
    <t>RJnl3535</t>
  </si>
  <si>
    <t>7S0320</t>
  </si>
  <si>
    <t>7S0321</t>
  </si>
  <si>
    <t>7S0322</t>
  </si>
  <si>
    <t>7S0323</t>
  </si>
  <si>
    <t>7S0324</t>
  </si>
  <si>
    <t>7S0325</t>
  </si>
  <si>
    <t>7S0327</t>
  </si>
  <si>
    <t>7S032A</t>
  </si>
  <si>
    <t>7S0330</t>
  </si>
  <si>
    <t>RJnl3537</t>
  </si>
  <si>
    <t>7S0331</t>
  </si>
  <si>
    <t>7S0332</t>
  </si>
  <si>
    <t>7S0333</t>
  </si>
  <si>
    <t>7S0334</t>
  </si>
  <si>
    <t>7S0337</t>
  </si>
  <si>
    <t>RJnl3538</t>
  </si>
  <si>
    <t>7S0340</t>
  </si>
  <si>
    <t>7S0345</t>
  </si>
  <si>
    <t>7S0349</t>
  </si>
  <si>
    <t>7S0353</t>
  </si>
  <si>
    <t>7S0356</t>
  </si>
  <si>
    <t>7S0358</t>
  </si>
  <si>
    <t>7S0359</t>
  </si>
  <si>
    <t>7S0360</t>
  </si>
  <si>
    <t>7S0361</t>
  </si>
  <si>
    <t>7S0362</t>
  </si>
  <si>
    <t>7S0364</t>
  </si>
  <si>
    <t>7S0365</t>
  </si>
  <si>
    <t>7S0368</t>
  </si>
  <si>
    <t>RJnl3541</t>
  </si>
  <si>
    <t>7S0369</t>
  </si>
  <si>
    <t>7S0373</t>
  </si>
  <si>
    <t>7S037A</t>
  </si>
  <si>
    <t>7S0387</t>
  </si>
  <si>
    <t>7S0389</t>
  </si>
  <si>
    <t>RJnl3542</t>
  </si>
  <si>
    <t>7S0393</t>
  </si>
  <si>
    <t>7S0426</t>
  </si>
  <si>
    <t>7S0427</t>
  </si>
  <si>
    <t>7S0428</t>
  </si>
  <si>
    <t>7S0429</t>
  </si>
  <si>
    <t>7S0431</t>
  </si>
  <si>
    <t>7S0433</t>
  </si>
  <si>
    <t>RJnl3544</t>
  </si>
  <si>
    <t>7S0434</t>
  </si>
  <si>
    <t>7S0435</t>
  </si>
  <si>
    <t>7S0445</t>
  </si>
  <si>
    <t>7S0447</t>
  </si>
  <si>
    <t>7S0448</t>
  </si>
  <si>
    <t>RJnl3545</t>
  </si>
  <si>
    <t>7S0449</t>
  </si>
  <si>
    <t>7S0450</t>
  </si>
  <si>
    <t>7S0451</t>
  </si>
  <si>
    <t>7S0463</t>
  </si>
  <si>
    <t>7S0467</t>
  </si>
  <si>
    <t>RJnl3546</t>
  </si>
  <si>
    <t>7S0477</t>
  </si>
  <si>
    <t>7S047R</t>
  </si>
  <si>
    <t>7S0495</t>
  </si>
  <si>
    <t>7S0497</t>
  </si>
  <si>
    <t>7S0498</t>
  </si>
  <si>
    <t>7S0507</t>
  </si>
  <si>
    <t>7S0515</t>
  </si>
  <si>
    <t>7S0517</t>
  </si>
  <si>
    <t>7S0518</t>
  </si>
  <si>
    <t>7S0519</t>
  </si>
  <si>
    <t>7S0537</t>
  </si>
  <si>
    <t>7S0538</t>
  </si>
  <si>
    <t>7S0542</t>
  </si>
  <si>
    <t>7S0546</t>
  </si>
  <si>
    <t>7S057R</t>
  </si>
  <si>
    <t>7S060A</t>
  </si>
  <si>
    <t>7S070A</t>
  </si>
  <si>
    <t>7S088R</t>
  </si>
  <si>
    <t>7S0957</t>
  </si>
  <si>
    <t>7S105A</t>
  </si>
  <si>
    <t>7S114A</t>
  </si>
  <si>
    <t>RJnl3554</t>
  </si>
  <si>
    <t>7S114B</t>
  </si>
  <si>
    <t>7S114R</t>
  </si>
  <si>
    <t>7S158A</t>
  </si>
  <si>
    <t>7S158B</t>
  </si>
  <si>
    <t>7S170R</t>
  </si>
  <si>
    <t>7S175A</t>
  </si>
  <si>
    <t>7S176R</t>
  </si>
  <si>
    <t>7S208A</t>
  </si>
  <si>
    <t>7S216A</t>
  </si>
  <si>
    <t>7S233A</t>
  </si>
  <si>
    <t>7S294R</t>
  </si>
  <si>
    <t>7S300A</t>
  </si>
  <si>
    <t>7S300R</t>
  </si>
  <si>
    <t>7S303A</t>
  </si>
  <si>
    <t>7S304R</t>
  </si>
  <si>
    <t>7S329A</t>
  </si>
  <si>
    <t>7S329R</t>
  </si>
  <si>
    <t>7S335A</t>
  </si>
  <si>
    <t>7S335R</t>
  </si>
  <si>
    <t>7S357R</t>
  </si>
  <si>
    <t>7S367R</t>
  </si>
  <si>
    <t>7S391A</t>
  </si>
  <si>
    <t>RJnl3562</t>
  </si>
  <si>
    <t>7S391R</t>
  </si>
  <si>
    <t>7S395R</t>
  </si>
  <si>
    <t>7S499A</t>
  </si>
  <si>
    <t>7S501A</t>
  </si>
  <si>
    <t>7S501R</t>
  </si>
  <si>
    <t>7S522R</t>
  </si>
  <si>
    <t>7S548A</t>
  </si>
  <si>
    <t>7S548B</t>
  </si>
  <si>
    <t>Property Rates - Schools</t>
  </si>
  <si>
    <t>SCHOOLS</t>
  </si>
  <si>
    <t>SILO'S /SILO'S</t>
  </si>
  <si>
    <t>SKOLE</t>
  </si>
  <si>
    <t>Sub-total Business, Residential, &amp; Schools</t>
  </si>
  <si>
    <t>Total Gov, Business, Residential &amp; Schools</t>
  </si>
  <si>
    <t>Grants &amp; subsidies</t>
  </si>
  <si>
    <t>Operating and Capital</t>
  </si>
  <si>
    <t>Water tariffs</t>
  </si>
  <si>
    <t>Other</t>
  </si>
  <si>
    <t>Pasted values only from K29 to Q29</t>
  </si>
  <si>
    <t>Other Revenue by Source</t>
  </si>
  <si>
    <t>Government grants &amp; subsidies</t>
  </si>
  <si>
    <t>Refuse tariffs</t>
  </si>
  <si>
    <t>Sanitation tariffs</t>
  </si>
  <si>
    <t>Other service charges</t>
  </si>
  <si>
    <t xml:space="preserve">1. This table and the associated charts are examples only. </t>
  </si>
  <si>
    <t xml:space="preserve">2. The sources listed here have been adapted from the specimen statement of financial performance. </t>
  </si>
  <si>
    <t>4. If other is used, each individual source must be less than or equal to 2.5% of total revenue by source to ensure greatest possible information content for users.</t>
  </si>
  <si>
    <t>5. Note that in this example Regional Service levies have ceased for 2006/07 onwards and grants and subsidies have been increased appropriately.</t>
  </si>
  <si>
    <t xml:space="preserve">6. Refer Charts ('Rev by Major Source' and 'Rev by Minor Source' - pages 21 &amp; 22). This example split shows smaller amounts on a separate chart to ensure that all classifications are explained without distorting the main chart. </t>
  </si>
  <si>
    <t>7. Note that totals agree to totals on Annexure 4, Table 1 reconciling the IDP and Budget for Revenue (page 35)</t>
  </si>
  <si>
    <t>8. The example charts displayed show the relevant data tables ranked in order from highest to lowest (bottom to top) in the same way the chart displays the stacked columns from highest to lowest.</t>
  </si>
  <si>
    <r>
      <t xml:space="preserve">3. Note that there is </t>
    </r>
    <r>
      <rPr>
        <b/>
        <sz val="10"/>
        <rFont val="Arial"/>
        <family val="2"/>
      </rPr>
      <t>no</t>
    </r>
    <r>
      <rPr>
        <sz val="10"/>
        <rFont val="Arial"/>
        <family val="2"/>
      </rPr>
      <t xml:space="preserve"> classification for </t>
    </r>
    <r>
      <rPr>
        <b/>
        <sz val="10"/>
        <rFont val="Arial"/>
        <family val="2"/>
      </rPr>
      <t xml:space="preserve">"other" </t>
    </r>
    <r>
      <rPr>
        <sz val="10"/>
        <rFont val="Arial"/>
        <family val="2"/>
      </rPr>
      <t>in this example. Sources not applicable have been deleted. Municipalities should ensure that all sources are displayed separately except where other is used as per note 5 below.</t>
    </r>
  </si>
  <si>
    <t>Dividends</t>
  </si>
  <si>
    <t>Income foregone</t>
  </si>
  <si>
    <t>08/09 Aud</t>
  </si>
  <si>
    <t>09/10 Bud</t>
  </si>
  <si>
    <t>09/10 Adj</t>
  </si>
  <si>
    <t>09/10 Est</t>
  </si>
  <si>
    <t>10/11 Bud</t>
  </si>
  <si>
    <t>11/12 Proj</t>
  </si>
  <si>
    <t>12/13 Proj</t>
  </si>
  <si>
    <t>EXAMPLE TABLE 2</t>
  </si>
  <si>
    <t>Major Exp by Vote</t>
  </si>
  <si>
    <t>Other Exp by Vote</t>
  </si>
  <si>
    <t>2. The votes listed here are the GFS functions (i.e. in this example the municipality has elected to show the GFS functions as its votes and is therefore not required to complete and approve schedule 2(a).</t>
  </si>
  <si>
    <t>INTEREST EARNED</t>
  </si>
  <si>
    <t>DIVIDENDS RECEIVED</t>
  </si>
  <si>
    <t>FINES</t>
  </si>
  <si>
    <t>GRANTS &amp; SUBSIDIES - EQUITABLE SHARE</t>
  </si>
  <si>
    <t>GRANTS &amp; SUBSIDIES - OTHER</t>
  </si>
  <si>
    <t>OTHER INCOME</t>
  </si>
  <si>
    <t>INCOME FOREGONE (DISCOUNT PUBLIC)</t>
  </si>
  <si>
    <t>INCOME FOREGONE (DISCOUNT BUSINESS)</t>
  </si>
  <si>
    <t>INCOME FOREGONE</t>
  </si>
  <si>
    <t xml:space="preserve">TOTAL OPERATING REVENUE </t>
  </si>
  <si>
    <t>Page 7</t>
  </si>
  <si>
    <t>SUB-TOTAL REVENUE</t>
  </si>
  <si>
    <t>TOTAL REVENUE</t>
  </si>
  <si>
    <t>EXPENDITURE</t>
  </si>
  <si>
    <t>EMPLOYEE RELATED COSTS</t>
  </si>
  <si>
    <t xml:space="preserve">REMUNERATION OF COUNCILLORS </t>
  </si>
  <si>
    <t>REPAIRS AND MAINTENANCE</t>
  </si>
  <si>
    <t>INTEREST PAID</t>
  </si>
  <si>
    <t>BULK PURCHASES</t>
  </si>
  <si>
    <t>GENERAL EXPENSES</t>
  </si>
  <si>
    <t>TOTAL OPERATING EXPENDITURE</t>
  </si>
  <si>
    <t>BAD DEBTS</t>
  </si>
  <si>
    <t>DEPRECIATION</t>
  </si>
  <si>
    <t>TRANSFERS TO PROVISIONS</t>
  </si>
  <si>
    <t>SUB-TOTAL EXPENDITURE</t>
  </si>
  <si>
    <t>Page 8</t>
  </si>
  <si>
    <t>EXPENDITURE (continued)</t>
  </si>
  <si>
    <t>CAPITAL EXPENDITURE - PROJECTS</t>
  </si>
  <si>
    <t>TOTAL EXPENDITURE</t>
  </si>
  <si>
    <t>SURPLUS/(DEFICIT) FOR THE YEAR</t>
  </si>
  <si>
    <t>Transfer to Government Grant Reserve</t>
  </si>
  <si>
    <t>Transfer to External Financing Fund</t>
  </si>
  <si>
    <t>NET SURPLUS/(DEFICIT) FOR THE YEAR</t>
  </si>
  <si>
    <t>Page 9</t>
  </si>
  <si>
    <t xml:space="preserve">OPERATING BUDGET </t>
  </si>
  <si>
    <t xml:space="preserve">COUNCIL &amp; EXECUTIVE </t>
  </si>
  <si>
    <t>OFFICE OF THE MAYOR/SPEAKER</t>
  </si>
  <si>
    <t>Special Contribution Councillors' Remuneration</t>
  </si>
  <si>
    <t>TOTAL OPERATING REVENUE</t>
  </si>
  <si>
    <t>SDL</t>
  </si>
  <si>
    <t>Allowance - Telephone</t>
  </si>
  <si>
    <t>Furniture &amp; Equipment</t>
  </si>
  <si>
    <t>Ward Committee Establishment</t>
  </si>
  <si>
    <t>Disasters</t>
  </si>
  <si>
    <t>Ward Committee Contributions</t>
  </si>
  <si>
    <t>Donations &amp; Grants</t>
  </si>
  <si>
    <t>Membership Fees</t>
  </si>
  <si>
    <t>Insurance</t>
  </si>
  <si>
    <t>Refreshments</t>
  </si>
  <si>
    <t>Fuel &amp; Oil</t>
  </si>
  <si>
    <t>SUB-TOTAL OPERATING EXPENDITURE</t>
  </si>
  <si>
    <t>Page 10</t>
  </si>
  <si>
    <t>OFFICE OF THE MAYOR/SPEAKER (continued)</t>
  </si>
  <si>
    <t>Leave Reserve</t>
  </si>
  <si>
    <t>SURPLUS/(DEFICIT)</t>
  </si>
  <si>
    <t>Page 11</t>
  </si>
  <si>
    <t>Provincial Grant - Managers' Remuneration</t>
  </si>
  <si>
    <t>Printing &amp; Stationery</t>
  </si>
  <si>
    <t>Publications</t>
  </si>
  <si>
    <t>Page 12</t>
  </si>
  <si>
    <t>OFFICE OF THE MUNICIPAL MANAGER</t>
  </si>
  <si>
    <t>IMPLEMENTATION @ 50%</t>
  </si>
  <si>
    <t>FARMS</t>
  </si>
  <si>
    <t>TARIFF</t>
  </si>
  <si>
    <t>VALUE OF STANDS</t>
  </si>
  <si>
    <t>RATES PREVIOUS YEAR (BEFORE REBATE)</t>
  </si>
  <si>
    <t>RESIDENTIAL</t>
  </si>
  <si>
    <t>MANAGER ADMINISTRATION</t>
  </si>
  <si>
    <t>Page 13</t>
  </si>
  <si>
    <t>Page 14</t>
  </si>
  <si>
    <t>Page 15</t>
  </si>
  <si>
    <t>MIG</t>
  </si>
  <si>
    <t>FINANCIAL &amp; ADMINISTRATION SERVICES</t>
  </si>
  <si>
    <t>Dividends - OVK</t>
  </si>
  <si>
    <t>Photocopies &amp; Faxes</t>
  </si>
  <si>
    <t>Sundry</t>
  </si>
  <si>
    <t>Interns</t>
  </si>
  <si>
    <t>Bank Charges</t>
  </si>
  <si>
    <t>Fines &amp; Penalties</t>
  </si>
  <si>
    <t>Capital Development Fund - FMG</t>
  </si>
  <si>
    <t>Equitable share - Electricity</t>
  </si>
  <si>
    <t>Mayoral Budget Speech</t>
  </si>
  <si>
    <t xml:space="preserve">Council resolves that the annual budget of the Municipality for the financial year </t>
  </si>
  <si>
    <t>in the following schedules be approved:</t>
  </si>
  <si>
    <t>3. Insert additional sources that are not listed in the specimen financial statements. The specimen should be comprehensive and the need to list additional sources should not be great.</t>
  </si>
  <si>
    <t xml:space="preserve">4. Regional Service Levies has been included as comparative information for previous years should continue to be reflected on the schedule. </t>
  </si>
  <si>
    <t>6. See example tables and charts provided in Annexure 3 (Table 1 and related charts - pages 20 to 22).</t>
  </si>
  <si>
    <r>
      <t xml:space="preserve">5. Use of </t>
    </r>
    <r>
      <rPr>
        <b/>
        <sz val="10"/>
        <rFont val="Arial"/>
        <family val="2"/>
      </rPr>
      <t>"other" must be limited such that each individual source is less than or equal to 2.5% of total revenue</t>
    </r>
    <r>
      <rPr>
        <sz val="10"/>
        <rFont val="Arial"/>
        <family val="2"/>
      </rPr>
      <t xml:space="preserve"> to ensure greatest possible information content for users.</t>
    </r>
  </si>
  <si>
    <t>2009/10</t>
  </si>
  <si>
    <t>2010/11</t>
  </si>
  <si>
    <t>2011/12</t>
  </si>
  <si>
    <t>2012/13</t>
  </si>
  <si>
    <t>Government grants &amp; subsidies - Equitable Share</t>
  </si>
  <si>
    <t>Government grants &amp; subsidies - Other</t>
  </si>
  <si>
    <t>A. The audited actual for 2008/09 as per the audited financial statements. If audit figures are not available for 2008/09, pre audit figures must be provided with a note stating these are pre audit.</t>
  </si>
  <si>
    <t>B. The original budget approved by council for the 2009/10 budget year.</t>
  </si>
  <si>
    <t>C. The budget for 2009/10 budget year as adjusted by council resolution in terms of section 28 of the MFMA.</t>
  </si>
  <si>
    <t>D. An estimate of final actual figures (pre audit) for the 2009/10 budget year at the point in time of preparing the budget for the 2010/11 budget year. This may differ from C.</t>
  </si>
  <si>
    <t>E. The amount to be appropriated for the 2010/11 budget year.</t>
  </si>
  <si>
    <t>F. The indicative projection for 2011/12</t>
  </si>
  <si>
    <t>SUB-TOTAL OPERATING REVENUE</t>
  </si>
  <si>
    <t>Fencing</t>
  </si>
  <si>
    <t>Dumping Site</t>
  </si>
  <si>
    <t>Plant &amp; Equipment</t>
  </si>
  <si>
    <t>Cleaning Materials</t>
  </si>
  <si>
    <t>WASTE WATER MANAGEMENT</t>
  </si>
  <si>
    <t>Sewerage Levies</t>
  </si>
  <si>
    <t>BIG</t>
  </si>
  <si>
    <t>SANITATION (continued)</t>
  </si>
  <si>
    <t xml:space="preserve">DBSA </t>
  </si>
  <si>
    <t>ROAD TRANSPORT</t>
  </si>
  <si>
    <t>Equipment</t>
  </si>
  <si>
    <t>ROADS &amp; STREETS (continued)</t>
  </si>
  <si>
    <t>WATER</t>
  </si>
  <si>
    <t>Connections</t>
  </si>
  <si>
    <t>FBW</t>
  </si>
  <si>
    <t>Stormwater</t>
  </si>
  <si>
    <t>Water Reticulation</t>
  </si>
  <si>
    <t>WATER DISTRIBUTION &amp; STORAGE (continued)</t>
  </si>
  <si>
    <t>Water Chemicals</t>
  </si>
  <si>
    <t>ELECTRICITY</t>
  </si>
  <si>
    <t>INOME FOREGONE</t>
  </si>
  <si>
    <t>INEPG</t>
  </si>
  <si>
    <t>SUNDRY SERVICES</t>
  </si>
  <si>
    <t>CATTLE FARMING</t>
  </si>
  <si>
    <t>Cattle Feed</t>
  </si>
  <si>
    <t>SUMMARY</t>
  </si>
  <si>
    <t>INCOME FOREGONE (DISCOUNT ON RATES)</t>
  </si>
  <si>
    <t>Control Total - Income</t>
  </si>
  <si>
    <t>Control Total - Expenses</t>
  </si>
  <si>
    <t>Control Total - Surplus/(Deficit)</t>
  </si>
  <si>
    <t>REVENUE BY SOURCE</t>
  </si>
  <si>
    <t>TOTAL</t>
  </si>
  <si>
    <t>CAPITAL EXPENDITURE BY GFS</t>
  </si>
  <si>
    <t>CAPITAL FUNDING BY SOURCE</t>
  </si>
  <si>
    <t>Action Plan</t>
  </si>
  <si>
    <t>RECONCILIATION OF IDP &amp; BUDGET - OPEX</t>
  </si>
  <si>
    <t>RECONCILIATION OF IDP &amp; BUDGET - CAPEX</t>
  </si>
  <si>
    <t>Appropriations</t>
  </si>
  <si>
    <t>Funding</t>
  </si>
  <si>
    <t>External</t>
  </si>
  <si>
    <t>(Deficit)</t>
  </si>
  <si>
    <t>INVESTMENT PARTICULARS BY TYPE</t>
  </si>
  <si>
    <t xml:space="preserve">OVK Shares </t>
  </si>
  <si>
    <t xml:space="preserve">ABSA (32 Day Notice Deposit) - 1014355924 </t>
  </si>
  <si>
    <t>Old Mutual Flexi Save - Policy number 8120809</t>
  </si>
  <si>
    <t>FNB - 72359004546</t>
  </si>
  <si>
    <t>ABSA (Call Account) - 9074133593</t>
  </si>
  <si>
    <t>ABSA (Call Account) - 9086343532</t>
  </si>
  <si>
    <t>ABSA (Call Deposit) - 6074357138</t>
  </si>
  <si>
    <t>TOTAL INVESTMENTS</t>
  </si>
  <si>
    <t>INVESTMENT PARTICULARS BY MATURITY</t>
  </si>
  <si>
    <t>N/A</t>
  </si>
  <si>
    <t>Shares</t>
  </si>
  <si>
    <t>32 Day</t>
  </si>
  <si>
    <t>Policy</t>
  </si>
  <si>
    <t>Savings</t>
  </si>
  <si>
    <t>Call Acc</t>
  </si>
  <si>
    <t>1. MIG</t>
  </si>
  <si>
    <t>2. MSIG</t>
  </si>
  <si>
    <t>3. FMG</t>
  </si>
  <si>
    <t>4. BIG</t>
  </si>
  <si>
    <t>5. INEPG</t>
  </si>
  <si>
    <t>6. Councillors' Salaries</t>
  </si>
  <si>
    <t>7. DWAF Grant</t>
  </si>
  <si>
    <t>3. See example tables and charts provided in Annexure 3 (Table 3 and related charts - pages 26 to 28)</t>
  </si>
  <si>
    <r>
      <t xml:space="preserve">2. All budgeted amounts must be classified under a GFS function. </t>
    </r>
    <r>
      <rPr>
        <b/>
        <sz val="10"/>
        <rFont val="Arial"/>
        <family val="2"/>
      </rPr>
      <t>Do not use "other"</t>
    </r>
    <r>
      <rPr>
        <sz val="10"/>
        <rFont val="Arial"/>
        <family val="2"/>
      </rPr>
      <t>. Where the function falls within the GFS function "Other", Use the GFS sub-function classification.</t>
    </r>
  </si>
  <si>
    <t>Other - Cattle Farming</t>
  </si>
  <si>
    <t xml:space="preserve">1. The sources of revenue listed here are adapted from the specimen financial statements (statement of financial performance). These must be used where they apply. </t>
  </si>
  <si>
    <t>2. Delete sources that are not applicable.</t>
  </si>
  <si>
    <t>Operating revenue by source reflected in Table A4;</t>
  </si>
  <si>
    <t>Operating expenditure by type reflected in Table A4;</t>
  </si>
  <si>
    <t>1.4</t>
  </si>
  <si>
    <t>Capital funding by source reflected in Table A5.</t>
  </si>
  <si>
    <t>Council resolves that the property rates, any other municipal taxes, tariffs and charges</t>
  </si>
  <si>
    <t>Tariffs</t>
  </si>
  <si>
    <t>reflected in Annexure B be approved for the budget year 2010/11.</t>
  </si>
  <si>
    <t xml:space="preserve">Council resolves to adopt the amended Integrated Development Plan reflected in </t>
  </si>
  <si>
    <t>Annexure C.</t>
  </si>
  <si>
    <t>Council take notice that the budget related policies must still be reviewed.</t>
  </si>
  <si>
    <t>EXPLANATION</t>
  </si>
  <si>
    <t xml:space="preserve">Electricity taken over by MLM. </t>
  </si>
  <si>
    <t>A rebate was given in 2000/10.</t>
  </si>
  <si>
    <t>First time implementation.</t>
  </si>
  <si>
    <t>Interest on farms included.</t>
  </si>
  <si>
    <t>Increase in house rentals.</t>
  </si>
  <si>
    <t>Investing of Gov Grants until utilised.</t>
  </si>
  <si>
    <t>Shares are to be traded - MFMA.</t>
  </si>
  <si>
    <t>Include subsidies - Health/Arts &amp; Culture</t>
  </si>
  <si>
    <t>Grant from DBSA of R 570 000 included</t>
  </si>
  <si>
    <t>New service provider appointed.</t>
  </si>
  <si>
    <t>in YTD figure.</t>
  </si>
  <si>
    <t>Include phasing-in rebate for farms.</t>
  </si>
  <si>
    <t>Rebate granted only in 2009/10.</t>
  </si>
  <si>
    <t>Due to increase in tariffs.</t>
  </si>
  <si>
    <t>Based on YTD figure increase = 10%.</t>
  </si>
  <si>
    <t>Based on YTD figure increase = 12%.</t>
  </si>
  <si>
    <t>(Includes Rates Levy).</t>
  </si>
  <si>
    <t>5N0079</t>
  </si>
  <si>
    <t>RJnl3044</t>
  </si>
  <si>
    <t>5N0080</t>
  </si>
  <si>
    <t>5N0081</t>
  </si>
  <si>
    <t>5N0084</t>
  </si>
  <si>
    <t>5N0085</t>
  </si>
  <si>
    <t>5N0087</t>
  </si>
  <si>
    <t>RJnl3045</t>
  </si>
  <si>
    <t>5N0092</t>
  </si>
  <si>
    <t>5N0095</t>
  </si>
  <si>
    <t>5N0096</t>
  </si>
  <si>
    <t>5N0106</t>
  </si>
  <si>
    <t>5N0107</t>
  </si>
  <si>
    <t>RJnl3046</t>
  </si>
  <si>
    <t>5N0108</t>
  </si>
  <si>
    <t>5N0109</t>
  </si>
  <si>
    <t>5N0112</t>
  </si>
  <si>
    <t>5N0113</t>
  </si>
  <si>
    <t>5N0114</t>
  </si>
  <si>
    <t>RJnl3047</t>
  </si>
  <si>
    <t>5N0115</t>
  </si>
  <si>
    <t>5N0116</t>
  </si>
  <si>
    <t>5N0117</t>
  </si>
  <si>
    <t>5N0118</t>
  </si>
  <si>
    <t>5N0119</t>
  </si>
  <si>
    <t>RJnl3048</t>
  </si>
  <si>
    <t>5N0120</t>
  </si>
  <si>
    <t>5N0121</t>
  </si>
  <si>
    <t>5N0122</t>
  </si>
  <si>
    <t>5N0123</t>
  </si>
  <si>
    <t>5N0124</t>
  </si>
  <si>
    <t>RJnl3049</t>
  </si>
  <si>
    <t>5N0127</t>
  </si>
  <si>
    <t>5N0128</t>
  </si>
  <si>
    <t>5N0129</t>
  </si>
  <si>
    <t>5N0130</t>
  </si>
  <si>
    <t>5N0131</t>
  </si>
  <si>
    <t>RJnl3050</t>
  </si>
  <si>
    <t>5N0132</t>
  </si>
  <si>
    <t>5N0133</t>
  </si>
  <si>
    <t>5N0134</t>
  </si>
  <si>
    <t>5N0135</t>
  </si>
  <si>
    <t>5N0146</t>
  </si>
  <si>
    <t>RJnl3051</t>
  </si>
  <si>
    <t>5N0149</t>
  </si>
  <si>
    <t>5N0153</t>
  </si>
  <si>
    <t>5N0154</t>
  </si>
  <si>
    <t>5N0156</t>
  </si>
  <si>
    <t>5N0158</t>
  </si>
  <si>
    <t>RJnl3052</t>
  </si>
  <si>
    <t>5N0160</t>
  </si>
  <si>
    <t>5N0161</t>
  </si>
  <si>
    <t>5N0163</t>
  </si>
  <si>
    <t>5N0164</t>
  </si>
  <si>
    <t>5N0169</t>
  </si>
  <si>
    <t>RJnl3053</t>
  </si>
  <si>
    <t>5N0174</t>
  </si>
  <si>
    <t>5N0179</t>
  </si>
  <si>
    <t>5N0181</t>
  </si>
  <si>
    <t>5N0182</t>
  </si>
  <si>
    <t>5N0183</t>
  </si>
  <si>
    <t>RJnl3054</t>
  </si>
  <si>
    <t>5N0186</t>
  </si>
  <si>
    <t>5N0187</t>
  </si>
  <si>
    <t>5N0188</t>
  </si>
  <si>
    <t>5N0190</t>
  </si>
  <si>
    <t>5N0192</t>
  </si>
  <si>
    <t>RJnl3055</t>
  </si>
  <si>
    <t>5N0193</t>
  </si>
  <si>
    <t>5N0194</t>
  </si>
  <si>
    <t>5N0198</t>
  </si>
  <si>
    <t>5N0200</t>
  </si>
  <si>
    <t>5N0203</t>
  </si>
  <si>
    <t>RJnl3056</t>
  </si>
  <si>
    <t>5N0204</t>
  </si>
  <si>
    <t>5N0205</t>
  </si>
  <si>
    <t>5N0209</t>
  </si>
  <si>
    <t>5N0210</t>
  </si>
  <si>
    <t>5N0211</t>
  </si>
  <si>
    <t>RJnl3057</t>
  </si>
  <si>
    <t>5N0215</t>
  </si>
  <si>
    <t>5N0216</t>
  </si>
  <si>
    <t>5N0218</t>
  </si>
  <si>
    <t>5N0226</t>
  </si>
  <si>
    <t>5N0229</t>
  </si>
  <si>
    <t>RJnl3058</t>
  </si>
  <si>
    <t>5N0231</t>
  </si>
  <si>
    <t>5N0236</t>
  </si>
  <si>
    <t>5N0237</t>
  </si>
  <si>
    <t>5N0239</t>
  </si>
  <si>
    <t>5N0243</t>
  </si>
  <si>
    <t>RJnl3059</t>
  </si>
  <si>
    <t>5N0246</t>
  </si>
  <si>
    <t>5N0248</t>
  </si>
  <si>
    <t>5N0249</t>
  </si>
  <si>
    <t>5N0251</t>
  </si>
  <si>
    <t>5N0254</t>
  </si>
  <si>
    <t>RJnl3060</t>
  </si>
  <si>
    <t>5N0255</t>
  </si>
  <si>
    <t>5N0258</t>
  </si>
  <si>
    <t>5N0260</t>
  </si>
  <si>
    <t>5N0261</t>
  </si>
  <si>
    <t>5N0264</t>
  </si>
  <si>
    <t>RJnl3061</t>
  </si>
  <si>
    <t>5N0265</t>
  </si>
  <si>
    <t>5N0266</t>
  </si>
  <si>
    <t>5N0269</t>
  </si>
  <si>
    <t>5N0272</t>
  </si>
  <si>
    <t>5N0273</t>
  </si>
  <si>
    <t>RJnl3062</t>
  </si>
  <si>
    <t>5N0274</t>
  </si>
  <si>
    <t>5N0276</t>
  </si>
  <si>
    <t>5N0277</t>
  </si>
  <si>
    <t>5N0280</t>
  </si>
  <si>
    <t>5N0282</t>
  </si>
  <si>
    <t>RJnl3063</t>
  </si>
  <si>
    <t>5N0285</t>
  </si>
  <si>
    <t>5N0286</t>
  </si>
  <si>
    <t>5N0288</t>
  </si>
  <si>
    <t>5N0291</t>
  </si>
  <si>
    <t>5N0294</t>
  </si>
  <si>
    <t>RJnl3064</t>
  </si>
  <si>
    <t>5N0295</t>
  </si>
  <si>
    <t>5N0296</t>
  </si>
  <si>
    <t>5N0297</t>
  </si>
  <si>
    <t>5N0298</t>
  </si>
  <si>
    <t>5N0299</t>
  </si>
  <si>
    <t>RJnl3065</t>
  </si>
  <si>
    <t>5N0302</t>
  </si>
  <si>
    <t>5N0304</t>
  </si>
  <si>
    <t>5N0306</t>
  </si>
  <si>
    <t>5N0307</t>
  </si>
  <si>
    <t>5N0308</t>
  </si>
  <si>
    <t>RJnl3066</t>
  </si>
  <si>
    <t>5N0312</t>
  </si>
  <si>
    <t>5N0314</t>
  </si>
  <si>
    <t>5N0315</t>
  </si>
  <si>
    <t>5N0316</t>
  </si>
  <si>
    <t>5N0324</t>
  </si>
  <si>
    <t>RJnl3067</t>
  </si>
  <si>
    <t>5N0326</t>
  </si>
  <si>
    <t>5N0329</t>
  </si>
  <si>
    <t>5N0330</t>
  </si>
  <si>
    <t>5N0331</t>
  </si>
  <si>
    <t>5N0333</t>
  </si>
  <si>
    <t>RJnl3068</t>
  </si>
  <si>
    <t>5N0335</t>
  </si>
  <si>
    <t>5N0336</t>
  </si>
  <si>
    <t>5N0337</t>
  </si>
  <si>
    <t>5N0338</t>
  </si>
  <si>
    <t>5N0340</t>
  </si>
  <si>
    <t>RJnl3069</t>
  </si>
  <si>
    <t>5N0341</t>
  </si>
  <si>
    <t>5N0342</t>
  </si>
  <si>
    <t>5N0343</t>
  </si>
  <si>
    <t>5N0345</t>
  </si>
  <si>
    <t>G. The indicative projection for 2012/13</t>
  </si>
  <si>
    <t>Other Revenue</t>
  </si>
  <si>
    <t>Income forergone</t>
  </si>
  <si>
    <t>SCHEDULE 2</t>
  </si>
  <si>
    <t>OPERATING EXPENDITURE BY VOTE</t>
  </si>
  <si>
    <t xml:space="preserve">1. The municipality should list its own votes and votes should be at the highest possible level (e.g. a vote for each department). </t>
  </si>
  <si>
    <t>2. The municipality may elect to show the vote as a GFS function or display the GFS function with votes underneath. Totals for each GFS function must then be shown.</t>
  </si>
  <si>
    <t xml:space="preserve">3. If the municipality elects not to show GFS function on this schedule, schedule 2(a) showing GFS function must be completed and approved.  </t>
  </si>
  <si>
    <t>Transfer to Capital Replacement Fund</t>
  </si>
  <si>
    <t>5. See example tables and charts provided in Annexure 3 (Table 2 and related charts - pages 23 to 25)</t>
  </si>
  <si>
    <r>
      <t xml:space="preserve">4. All budgeted amounts must be classified under a particular vote. </t>
    </r>
    <r>
      <rPr>
        <b/>
        <sz val="10"/>
        <rFont val="Arial"/>
        <family val="2"/>
      </rPr>
      <t>Do not use "other"</t>
    </r>
    <r>
      <rPr>
        <sz val="10"/>
        <rFont val="Arial"/>
        <family val="2"/>
      </rPr>
      <t>.</t>
    </r>
  </si>
  <si>
    <t>SCHEDULE 3(a)</t>
  </si>
  <si>
    <t>Executive &amp; Council</t>
  </si>
  <si>
    <t>Finance &amp; Admin</t>
  </si>
  <si>
    <t>Planning &amp; Development</t>
  </si>
  <si>
    <t>Health</t>
  </si>
  <si>
    <t>Community &amp; Social Services</t>
  </si>
  <si>
    <t>Housing</t>
  </si>
  <si>
    <t>Public Safety</t>
  </si>
  <si>
    <t>Sport and Recreation</t>
  </si>
  <si>
    <t>Waste Management</t>
  </si>
  <si>
    <t>Waste Water Management</t>
  </si>
  <si>
    <t>Road Transport</t>
  </si>
  <si>
    <t>Electricity</t>
  </si>
  <si>
    <t>CAPITAL EXPENDITURE BY VOTE</t>
  </si>
  <si>
    <t xml:space="preserve">1. This schedule is required if the municipality elects to approve schedule 2 according to a vote structure not consistent with GFS classifications </t>
  </si>
  <si>
    <t>5N0642</t>
  </si>
  <si>
    <t>5N0645</t>
  </si>
  <si>
    <t>5N0647</t>
  </si>
  <si>
    <t>5N0648</t>
  </si>
  <si>
    <t>5N0649</t>
  </si>
  <si>
    <t>RJnl3089</t>
  </si>
  <si>
    <t>5N0650</t>
  </si>
  <si>
    <t>5N0651</t>
  </si>
  <si>
    <t>5N0654</t>
  </si>
  <si>
    <t>5N0655</t>
  </si>
  <si>
    <t>5N0660</t>
  </si>
  <si>
    <t>RJnl3090</t>
  </si>
  <si>
    <t>5N0662</t>
  </si>
  <si>
    <t>5N0663</t>
  </si>
  <si>
    <t>5N0664</t>
  </si>
  <si>
    <t>5N0670</t>
  </si>
  <si>
    <t>5N0672</t>
  </si>
  <si>
    <t>RJnl3091</t>
  </si>
  <si>
    <t>5N0675</t>
  </si>
  <si>
    <t>5N0676</t>
  </si>
  <si>
    <t>5N0677</t>
  </si>
  <si>
    <t>5N0678</t>
  </si>
  <si>
    <t>5N0679</t>
  </si>
  <si>
    <t>RJnl3092</t>
  </si>
  <si>
    <t>5N0680</t>
  </si>
  <si>
    <t>5N0690</t>
  </si>
  <si>
    <t>5N0692</t>
  </si>
  <si>
    <t>5N0696</t>
  </si>
  <si>
    <t>5N0698</t>
  </si>
  <si>
    <t>RJnl3093</t>
  </si>
  <si>
    <t>5N0700</t>
  </si>
  <si>
    <t>5N0703</t>
  </si>
  <si>
    <t>5N0705</t>
  </si>
  <si>
    <t>5N0707</t>
  </si>
  <si>
    <t>5N0709</t>
  </si>
  <si>
    <t>RJnl3094</t>
  </si>
  <si>
    <t>5N0720</t>
  </si>
  <si>
    <t>5N0721</t>
  </si>
  <si>
    <t>5N0722</t>
  </si>
  <si>
    <t>5N0723</t>
  </si>
  <si>
    <t>5N0724</t>
  </si>
  <si>
    <t>RJnl3095</t>
  </si>
  <si>
    <t>5N0725</t>
  </si>
  <si>
    <t>5N0726</t>
  </si>
  <si>
    <t>5N0727</t>
  </si>
  <si>
    <t>5N0728</t>
  </si>
  <si>
    <t>5N0729</t>
  </si>
  <si>
    <t>RJnl3096</t>
  </si>
  <si>
    <t>5N0730</t>
  </si>
  <si>
    <t>5N0731</t>
  </si>
  <si>
    <t>5N0732</t>
  </si>
  <si>
    <t>5N0733</t>
  </si>
  <si>
    <t>5N0734</t>
  </si>
  <si>
    <t>RJnl3097</t>
  </si>
  <si>
    <t>5N0735</t>
  </si>
  <si>
    <t>5N0736</t>
  </si>
  <si>
    <t>5N0737</t>
  </si>
  <si>
    <t>5N0738</t>
  </si>
  <si>
    <t>5N0739</t>
  </si>
  <si>
    <t>RJnl3098</t>
  </si>
  <si>
    <t>5N0740</t>
  </si>
  <si>
    <t>5N0741</t>
  </si>
  <si>
    <t>5N0742</t>
  </si>
  <si>
    <t>5N0743</t>
  </si>
  <si>
    <t>5N0744</t>
  </si>
  <si>
    <t>RJnl3099</t>
  </si>
  <si>
    <t>5N0745</t>
  </si>
  <si>
    <t>5N0746</t>
  </si>
  <si>
    <t>5N0747</t>
  </si>
  <si>
    <t>5N0748</t>
  </si>
  <si>
    <t>5N0749</t>
  </si>
  <si>
    <t>RJnl3100</t>
  </si>
  <si>
    <t>5N0750</t>
  </si>
  <si>
    <t>5N0751</t>
  </si>
  <si>
    <t>5N0752</t>
  </si>
  <si>
    <t>5N0753</t>
  </si>
  <si>
    <t>5N0754</t>
  </si>
  <si>
    <t>RJnl3101</t>
  </si>
  <si>
    <t>5N0755</t>
  </si>
  <si>
    <t>5N0756</t>
  </si>
  <si>
    <t>5N0757</t>
  </si>
  <si>
    <t>5N0758</t>
  </si>
  <si>
    <t>5N0759</t>
  </si>
  <si>
    <t>RJnl3102</t>
  </si>
  <si>
    <t>5N0760</t>
  </si>
  <si>
    <t>5N0761</t>
  </si>
  <si>
    <t>5N0762</t>
  </si>
  <si>
    <t>5N0763</t>
  </si>
  <si>
    <t>5N0764</t>
  </si>
  <si>
    <t>RJnl3103</t>
  </si>
  <si>
    <t>5N0765</t>
  </si>
  <si>
    <t>5N0766</t>
  </si>
  <si>
    <t>5N0767</t>
  </si>
  <si>
    <t>5N0768</t>
  </si>
  <si>
    <t>5N0769</t>
  </si>
  <si>
    <t>RJnl3104</t>
  </si>
  <si>
    <t>5N0770</t>
  </si>
  <si>
    <t>5N0771</t>
  </si>
  <si>
    <t>5N0772</t>
  </si>
  <si>
    <t>5N0773</t>
  </si>
  <si>
    <t>5N0774</t>
  </si>
  <si>
    <t>RJnl3105</t>
  </si>
  <si>
    <t>5N0775</t>
  </si>
  <si>
    <t>5N0776</t>
  </si>
  <si>
    <t>5N0777</t>
  </si>
  <si>
    <t>5N0778</t>
  </si>
  <si>
    <t>5N0779</t>
  </si>
  <si>
    <t>RJnl3106</t>
  </si>
  <si>
    <t>5N0780</t>
  </si>
  <si>
    <t>5N0781</t>
  </si>
  <si>
    <t>5N0782</t>
  </si>
  <si>
    <t>5N0783</t>
  </si>
  <si>
    <t>5N0784</t>
  </si>
  <si>
    <t>RJnl3107</t>
  </si>
  <si>
    <t>5N0785</t>
  </si>
  <si>
    <t>5N0786</t>
  </si>
  <si>
    <t>5N0787</t>
  </si>
  <si>
    <t>5N0788</t>
  </si>
  <si>
    <t>5N0789</t>
  </si>
  <si>
    <t>RJnl3108</t>
  </si>
  <si>
    <t>5N0790</t>
  </si>
  <si>
    <t>5N0791</t>
  </si>
  <si>
    <t>5N0792</t>
  </si>
  <si>
    <t>5N0793</t>
  </si>
  <si>
    <t>5N0794</t>
  </si>
  <si>
    <t>RJnl3109</t>
  </si>
  <si>
    <t>5N0795</t>
  </si>
  <si>
    <t>5N0796</t>
  </si>
  <si>
    <t>5N0797</t>
  </si>
  <si>
    <t>5N0798</t>
  </si>
  <si>
    <t>Funding - Provincial Grant</t>
  </si>
  <si>
    <t>Health &amp; Hygiene</t>
  </si>
  <si>
    <t>Funding - Own Funds (Income &amp; CDF)</t>
  </si>
  <si>
    <t>Bucket Eradication etc.</t>
  </si>
  <si>
    <t>Funding - MIG</t>
  </si>
  <si>
    <t>Vehicles</t>
  </si>
  <si>
    <t>Funding - Own Income</t>
  </si>
  <si>
    <t>Water Network</t>
  </si>
  <si>
    <t>CAPITAL FUNDING BY VOTE</t>
  </si>
  <si>
    <t xml:space="preserve">Funding - INEPG (ESKOM) </t>
  </si>
  <si>
    <t>LEVY (RATES)</t>
  </si>
  <si>
    <t>Old Tariff</t>
  </si>
  <si>
    <t>New Tariff</t>
  </si>
  <si>
    <t>Increase</t>
  </si>
  <si>
    <t>% Increase</t>
  </si>
  <si>
    <t>Value/Units</t>
  </si>
  <si>
    <t>Total Acc</t>
  </si>
  <si>
    <t>SUB-TOTAL</t>
  </si>
  <si>
    <t>SUBSIDY</t>
  </si>
  <si>
    <t>MATLAKENG MONTHLY ACCOUNT</t>
  </si>
  <si>
    <t>= NEW VALUE</t>
  </si>
  <si>
    <t>REBATE</t>
  </si>
  <si>
    <t>ELECTRICITY (FREE)</t>
  </si>
  <si>
    <t>ELECTRICITY (USAGE)</t>
  </si>
  <si>
    <t>WATER (FREE)</t>
  </si>
  <si>
    <t>WATER (USAGE)</t>
  </si>
  <si>
    <t>WATER (BASIC)</t>
  </si>
  <si>
    <t xml:space="preserve">INDIGENT MONTHLY ACCOUNT </t>
  </si>
  <si>
    <t>N1</t>
  </si>
  <si>
    <t>Exclude VAT</t>
  </si>
  <si>
    <t>INCREASE @ 10%</t>
  </si>
  <si>
    <t>AMOUNT (2 011 716 000 x 0.001788)</t>
  </si>
  <si>
    <t>AMOUNT PER Ha (1 797 971 / 750 385)</t>
  </si>
  <si>
    <t>Tariff @ 1.50 per Ha (Work @ R1.50 backwards)</t>
  </si>
  <si>
    <t>ELECTRICITY KWh (FREE)</t>
  </si>
  <si>
    <t>ELECTRICITY KWh (USAGE)</t>
  </si>
  <si>
    <t>WATER Kl (FREE)</t>
  </si>
  <si>
    <t>WATER Kl (USAGE)</t>
  </si>
  <si>
    <t xml:space="preserve"> MONTHLY ACCOUNT (Property Value of R 60 000)</t>
  </si>
  <si>
    <t xml:space="preserve"> MONTHLY ACCOUNT (Property Value of R 240 000)</t>
  </si>
  <si>
    <t xml:space="preserve"> MONTHLY ACCOUNT (Property Value of R 420 000)</t>
  </si>
  <si>
    <t>Repairs &amp; Maintenance</t>
  </si>
  <si>
    <t>Grounds/gardens</t>
  </si>
  <si>
    <t>Rental: Buildings</t>
  </si>
  <si>
    <t xml:space="preserve">Rental: Community Hall </t>
  </si>
  <si>
    <t>Rental: Vodacom</t>
  </si>
  <si>
    <t>Community Hall</t>
  </si>
  <si>
    <t>Roads</t>
  </si>
  <si>
    <t>5N0901</t>
  </si>
  <si>
    <t>5N0902</t>
  </si>
  <si>
    <t>5N0903</t>
  </si>
  <si>
    <t>5N0904</t>
  </si>
  <si>
    <t>RJnl3131</t>
  </si>
  <si>
    <t>5N0905</t>
  </si>
  <si>
    <t>5N0906</t>
  </si>
  <si>
    <t>5N0907</t>
  </si>
  <si>
    <t>5N0908</t>
  </si>
  <si>
    <t>5N0909</t>
  </si>
  <si>
    <t>RJnl3132</t>
  </si>
  <si>
    <t>5N0910</t>
  </si>
  <si>
    <t>5N0911</t>
  </si>
  <si>
    <t>5N0912</t>
  </si>
  <si>
    <t>5N0913</t>
  </si>
  <si>
    <t>5N0914</t>
  </si>
  <si>
    <t>RJnl3133</t>
  </si>
  <si>
    <t>5N0915</t>
  </si>
  <si>
    <t>5N0916</t>
  </si>
  <si>
    <t>5N0917</t>
  </si>
  <si>
    <t>5N0918</t>
  </si>
  <si>
    <t>5N0919</t>
  </si>
  <si>
    <t>RJnl3134</t>
  </si>
  <si>
    <t>5N0920</t>
  </si>
  <si>
    <t>5N0921</t>
  </si>
  <si>
    <t>5N0922</t>
  </si>
  <si>
    <t>5N0923</t>
  </si>
  <si>
    <t>5N0924</t>
  </si>
  <si>
    <t>RJnl3135</t>
  </si>
  <si>
    <t>5N0925</t>
  </si>
  <si>
    <t>5N0926</t>
  </si>
  <si>
    <t>5N0927</t>
  </si>
  <si>
    <t>5N0928</t>
  </si>
  <si>
    <t>5N0929</t>
  </si>
  <si>
    <t>RJnl3136</t>
  </si>
  <si>
    <t>5N0930</t>
  </si>
  <si>
    <t>5N0931</t>
  </si>
  <si>
    <t>5N0932</t>
  </si>
  <si>
    <t>5N0933</t>
  </si>
  <si>
    <t>5N0934</t>
  </si>
  <si>
    <t>RJnl3137</t>
  </si>
  <si>
    <t>5N0935</t>
  </si>
  <si>
    <t>5N0936</t>
  </si>
  <si>
    <t>5N0937</t>
  </si>
  <si>
    <t>5N0938</t>
  </si>
  <si>
    <t>5N0939</t>
  </si>
  <si>
    <t>RJnl3138</t>
  </si>
  <si>
    <t>5N0940</t>
  </si>
  <si>
    <t>5N0941</t>
  </si>
  <si>
    <t>5N0942</t>
  </si>
  <si>
    <t>5N0943</t>
  </si>
  <si>
    <t>5N0944</t>
  </si>
  <si>
    <t>RJnl3139</t>
  </si>
  <si>
    <t>5N0945</t>
  </si>
  <si>
    <t>5N0946</t>
  </si>
  <si>
    <t>5N0947</t>
  </si>
  <si>
    <t>5N0948</t>
  </si>
  <si>
    <t>5N0949</t>
  </si>
  <si>
    <t>RJnl3140</t>
  </si>
  <si>
    <t>5N0950</t>
  </si>
  <si>
    <t>5N0951</t>
  </si>
  <si>
    <t>5N0952</t>
  </si>
  <si>
    <t>5N0953</t>
  </si>
  <si>
    <t>5N0954</t>
  </si>
  <si>
    <t>RJnl3141</t>
  </si>
  <si>
    <t>5N0955</t>
  </si>
  <si>
    <t>5N0956</t>
  </si>
  <si>
    <t>5N0957</t>
  </si>
  <si>
    <t>5N0958</t>
  </si>
  <si>
    <t>5N0959</t>
  </si>
  <si>
    <t>RJnl3142</t>
  </si>
  <si>
    <t>5N0960</t>
  </si>
  <si>
    <t>5N0961</t>
  </si>
  <si>
    <t>5N0962</t>
  </si>
  <si>
    <t>5N0963</t>
  </si>
  <si>
    <t>5N0964</t>
  </si>
  <si>
    <t>RJnl3143</t>
  </si>
  <si>
    <t>5N0965</t>
  </si>
  <si>
    <t>5N0966</t>
  </si>
  <si>
    <t>5N0967</t>
  </si>
  <si>
    <t>5N0968</t>
  </si>
  <si>
    <t>5N0969</t>
  </si>
  <si>
    <t>RJnl3144</t>
  </si>
  <si>
    <t>5N0970</t>
  </si>
  <si>
    <t>5N0971</t>
  </si>
  <si>
    <t>5N0972</t>
  </si>
  <si>
    <t>5N0973</t>
  </si>
  <si>
    <t>5N0974</t>
  </si>
  <si>
    <t>RJnl3145</t>
  </si>
  <si>
    <t>5N0975</t>
  </si>
  <si>
    <t>5N0976</t>
  </si>
  <si>
    <t>5N0977</t>
  </si>
  <si>
    <t>5N0978</t>
  </si>
  <si>
    <t>5N0979</t>
  </si>
  <si>
    <t>RJnl3146</t>
  </si>
  <si>
    <t>5N0980</t>
  </si>
  <si>
    <t>5N0981</t>
  </si>
  <si>
    <t>5N0982</t>
  </si>
  <si>
    <t>5N0983</t>
  </si>
  <si>
    <t>5N0984</t>
  </si>
  <si>
    <t>RJnl3147</t>
  </si>
  <si>
    <t>5N0985</t>
  </si>
  <si>
    <t>5N0986</t>
  </si>
  <si>
    <t>5N0987</t>
  </si>
  <si>
    <t>5N0988</t>
  </si>
  <si>
    <t>5R0071</t>
  </si>
  <si>
    <t>RJnl3232</t>
  </si>
  <si>
    <t>5R0075</t>
  </si>
  <si>
    <t>5R0076</t>
  </si>
  <si>
    <t>5R0077</t>
  </si>
  <si>
    <t>RJnl3233</t>
  </si>
  <si>
    <t>5R0081</t>
  </si>
  <si>
    <t>5R0082</t>
  </si>
  <si>
    <t>5R0083</t>
  </si>
  <si>
    <t>5R0084</t>
  </si>
  <si>
    <t>RJnl3234</t>
  </si>
  <si>
    <t>5R0087</t>
  </si>
  <si>
    <t>5R0088</t>
  </si>
  <si>
    <t>5R0089</t>
  </si>
  <si>
    <t>5R0090</t>
  </si>
  <si>
    <t>5R0105</t>
  </si>
  <si>
    <t>RJnl3235</t>
  </si>
  <si>
    <t>5R0106</t>
  </si>
  <si>
    <t>5R0107</t>
  </si>
  <si>
    <t>5R0108</t>
  </si>
  <si>
    <t>5R0112</t>
  </si>
  <si>
    <t>RJnl3236</t>
  </si>
  <si>
    <t>5R0118</t>
  </si>
  <si>
    <t>5R0134</t>
  </si>
  <si>
    <t>RJnl3237</t>
  </si>
  <si>
    <t>5R0136</t>
  </si>
  <si>
    <t>5R0138</t>
  </si>
  <si>
    <t>5R0146</t>
  </si>
  <si>
    <t>RJnl3239</t>
  </si>
  <si>
    <t>5R0147</t>
  </si>
  <si>
    <t>5R0148</t>
  </si>
  <si>
    <t>5R0149</t>
  </si>
  <si>
    <t>RJnl3240</t>
  </si>
  <si>
    <t>5R0154</t>
  </si>
  <si>
    <t>5R0156</t>
  </si>
  <si>
    <t>5R0158</t>
  </si>
  <si>
    <t>5R0161</t>
  </si>
  <si>
    <t>RJnl3241</t>
  </si>
  <si>
    <t>5R0162</t>
  </si>
  <si>
    <t>5R0163</t>
  </si>
  <si>
    <t>5R0164</t>
  </si>
  <si>
    <t>5R016A</t>
  </si>
  <si>
    <t>RJnl3242</t>
  </si>
  <si>
    <t>5R016R</t>
  </si>
  <si>
    <t>5R0171</t>
  </si>
  <si>
    <t>5R0172</t>
  </si>
  <si>
    <t>5R0173</t>
  </si>
  <si>
    <t>5R0177</t>
  </si>
  <si>
    <t>5R0178</t>
  </si>
  <si>
    <t>5R0179</t>
  </si>
  <si>
    <t>5R0184</t>
  </si>
  <si>
    <t>RJnl3244</t>
  </si>
  <si>
    <t>5R0195</t>
  </si>
  <si>
    <t>RJnl3246</t>
  </si>
  <si>
    <t>5R0197</t>
  </si>
  <si>
    <t>5R0198</t>
  </si>
  <si>
    <t>5R0199</t>
  </si>
  <si>
    <t>5R0201</t>
  </si>
  <si>
    <t>RJnl3247</t>
  </si>
  <si>
    <t>5R0202</t>
  </si>
  <si>
    <t>5R0205</t>
  </si>
  <si>
    <t>5R0206</t>
  </si>
  <si>
    <t>5R0208</t>
  </si>
  <si>
    <t>5R0215</t>
  </si>
  <si>
    <t>RJnl3248</t>
  </si>
  <si>
    <t>5R0216</t>
  </si>
  <si>
    <t>5R0224</t>
  </si>
  <si>
    <t>RJnl3249</t>
  </si>
  <si>
    <t>5R0225</t>
  </si>
  <si>
    <t>5R0229</t>
  </si>
  <si>
    <t>5R0230</t>
  </si>
  <si>
    <t>RJnl2567</t>
  </si>
  <si>
    <t>RJnl2568</t>
  </si>
  <si>
    <t>RJnl2569</t>
  </si>
  <si>
    <t>RJnl2570</t>
  </si>
  <si>
    <t>RJnl2571</t>
  </si>
  <si>
    <t>RJnl2572</t>
  </si>
  <si>
    <t>RJnl2573</t>
  </si>
  <si>
    <t>RJnl2574</t>
  </si>
  <si>
    <t>RJnl2575</t>
  </si>
  <si>
    <t>RJnl2576</t>
  </si>
  <si>
    <t>RJnl2577</t>
  </si>
  <si>
    <t>RJnl2578</t>
  </si>
  <si>
    <t>RJnl2579</t>
  </si>
  <si>
    <t>RJnl2580</t>
  </si>
  <si>
    <t>RJnl2583</t>
  </si>
  <si>
    <t>RJnl2584</t>
  </si>
  <si>
    <t>RJnl2585</t>
  </si>
  <si>
    <t>RJnl2586</t>
  </si>
  <si>
    <t>RJnl2587</t>
  </si>
  <si>
    <t>RJnl2588</t>
  </si>
  <si>
    <t>RJnl2589</t>
  </si>
  <si>
    <t>RJnl2591</t>
  </si>
  <si>
    <t>RJnl2592</t>
  </si>
  <si>
    <t>RJnl2593</t>
  </si>
  <si>
    <t>RJnl2594</t>
  </si>
  <si>
    <t>RJnl2595</t>
  </si>
  <si>
    <t>RJnl2596</t>
  </si>
  <si>
    <t>RJnl2597</t>
  </si>
  <si>
    <t>RJnl2598</t>
  </si>
  <si>
    <t>RJnl2599</t>
  </si>
  <si>
    <t>RJnl2600</t>
  </si>
  <si>
    <t>RJnl2601</t>
  </si>
  <si>
    <t>RJnl2602</t>
  </si>
  <si>
    <t>RJnl2603</t>
  </si>
  <si>
    <t>RJnl2604</t>
  </si>
  <si>
    <t>RJnl2605</t>
  </si>
  <si>
    <t>RJnl2606</t>
  </si>
  <si>
    <t>RJnl2607</t>
  </si>
  <si>
    <t>RJnl2608</t>
  </si>
  <si>
    <t>RJnl2609</t>
  </si>
  <si>
    <t>RJnl2610</t>
  </si>
  <si>
    <t>RJnl2611</t>
  </si>
  <si>
    <t>RJnl2612</t>
  </si>
  <si>
    <t>RJnl2613</t>
  </si>
  <si>
    <t>RJnl2614</t>
  </si>
  <si>
    <t>RJnl2615</t>
  </si>
  <si>
    <t>RJnl2616</t>
  </si>
  <si>
    <t>RJnl2617</t>
  </si>
  <si>
    <t>RJnl2618</t>
  </si>
  <si>
    <t>RJnl2620</t>
  </si>
  <si>
    <t>RJnl2621</t>
  </si>
  <si>
    <t>RJnl2622</t>
  </si>
  <si>
    <t>RJnl2623</t>
  </si>
  <si>
    <t>RJnl2624</t>
  </si>
  <si>
    <t>RJnl2625</t>
  </si>
  <si>
    <t>RJnl2626</t>
  </si>
  <si>
    <t>RJnl2628</t>
  </si>
  <si>
    <t>RJnl2629</t>
  </si>
  <si>
    <t>RJnl2630</t>
  </si>
  <si>
    <t>RJnl2631</t>
  </si>
  <si>
    <t>RJnl2632</t>
  </si>
  <si>
    <t>RJnl2633</t>
  </si>
  <si>
    <t>RJnl2634</t>
  </si>
  <si>
    <t>RJnl2635</t>
  </si>
  <si>
    <t>RJnl2636</t>
  </si>
  <si>
    <t>RJnl2637</t>
  </si>
  <si>
    <t>RJnl2638</t>
  </si>
  <si>
    <t>RJnl2639</t>
  </si>
  <si>
    <t>RJnl2640</t>
  </si>
  <si>
    <t>RJnl2641</t>
  </si>
  <si>
    <t>RJnl2642</t>
  </si>
  <si>
    <t>RJnl2643</t>
  </si>
  <si>
    <t>RJnl2644</t>
  </si>
  <si>
    <t>RJnl2645</t>
  </si>
  <si>
    <t>RJnl2646</t>
  </si>
  <si>
    <t>RJnl2647</t>
  </si>
  <si>
    <t>RJnl2648</t>
  </si>
  <si>
    <t>RJnl2649</t>
  </si>
  <si>
    <t>RJnl2651</t>
  </si>
  <si>
    <t>RJnl2652</t>
  </si>
  <si>
    <t>RJnl2653</t>
  </si>
  <si>
    <t>RJnl2654</t>
  </si>
  <si>
    <t>RJnl2655</t>
  </si>
  <si>
    <t>RJnl2656</t>
  </si>
  <si>
    <t>RJnl2657</t>
  </si>
  <si>
    <t>RJnl2658</t>
  </si>
  <si>
    <t>RJnl2659</t>
  </si>
  <si>
    <t>RJnl2660</t>
  </si>
  <si>
    <t>RJnl2661</t>
  </si>
  <si>
    <t>RJnl2662</t>
  </si>
  <si>
    <t>RJnl2663</t>
  </si>
  <si>
    <t>RJnl2681</t>
  </si>
  <si>
    <t>RJnl2684</t>
  </si>
  <si>
    <t>RJnl2711</t>
  </si>
  <si>
    <t>RJnl2712</t>
  </si>
  <si>
    <t>RJnl2714</t>
  </si>
  <si>
    <t>RJnl2737</t>
  </si>
  <si>
    <t>RJnl2739</t>
  </si>
  <si>
    <t>RJnl2756</t>
  </si>
  <si>
    <t>RJnl2794</t>
  </si>
  <si>
    <t>RJnl2808</t>
  </si>
  <si>
    <t>RJnl2839</t>
  </si>
  <si>
    <t>RJnl2997</t>
  </si>
  <si>
    <t>RJnl2999</t>
  </si>
  <si>
    <t>RJnl3000</t>
  </si>
  <si>
    <t>RJnl3019</t>
  </si>
  <si>
    <t>RJnl3024</t>
  </si>
  <si>
    <t>RJnl3025</t>
  </si>
  <si>
    <t>10490A</t>
  </si>
  <si>
    <t>5R0007</t>
  </si>
  <si>
    <t>5R0013</t>
  </si>
  <si>
    <t>5R0015</t>
  </si>
  <si>
    <t>5R001D</t>
  </si>
  <si>
    <t>5R001R</t>
  </si>
  <si>
    <t>5R0020</t>
  </si>
  <si>
    <t>5R0021</t>
  </si>
  <si>
    <t>5R003B</t>
  </si>
  <si>
    <t>5R0046</t>
  </si>
  <si>
    <t>5R0051</t>
  </si>
  <si>
    <t>5R0052</t>
  </si>
  <si>
    <t>5R0056</t>
  </si>
  <si>
    <t>5R0057</t>
  </si>
  <si>
    <t>5R0058</t>
  </si>
  <si>
    <t>5R0063</t>
  </si>
  <si>
    <t>5R0064</t>
  </si>
  <si>
    <t>5R0067</t>
  </si>
  <si>
    <t>RJnl3231</t>
  </si>
  <si>
    <t>5R006A</t>
  </si>
  <si>
    <t>5R006B</t>
  </si>
  <si>
    <t>5R006R</t>
  </si>
  <si>
    <t>RJnl2950</t>
  </si>
  <si>
    <t>RJnl2951</t>
  </si>
  <si>
    <t>RJnl2952</t>
  </si>
  <si>
    <t>RJnl2953</t>
  </si>
  <si>
    <t>RJnl2954</t>
  </si>
  <si>
    <t>RJnl2955</t>
  </si>
  <si>
    <t>RJnl2956</t>
  </si>
  <si>
    <t>RJnl2957</t>
  </si>
  <si>
    <t>RJnl2958</t>
  </si>
  <si>
    <t>RJnl2959</t>
  </si>
  <si>
    <t>RJnl2960</t>
  </si>
  <si>
    <t>RJnl2961</t>
  </si>
  <si>
    <t>RJnl2962</t>
  </si>
  <si>
    <t>RJnl2963</t>
  </si>
  <si>
    <t>RJnl2964</t>
  </si>
  <si>
    <t>RJnl2965</t>
  </si>
  <si>
    <t>RJnl2966</t>
  </si>
  <si>
    <t>RJnl2998</t>
  </si>
  <si>
    <t>RJnl3001</t>
  </si>
  <si>
    <t>RJnl3002</t>
  </si>
  <si>
    <t>RJnl3003</t>
  </si>
  <si>
    <t>RJnl3004</t>
  </si>
  <si>
    <t>RJnl3005</t>
  </si>
  <si>
    <t>RJnl3006</t>
  </si>
  <si>
    <t>RJnl3007</t>
  </si>
  <si>
    <t>RJnl3008</t>
  </si>
  <si>
    <t>RJnl3009</t>
  </si>
  <si>
    <t>RJnl3010</t>
  </si>
  <si>
    <t>RJnl3011</t>
  </si>
  <si>
    <t>RJnl3012</t>
  </si>
  <si>
    <t>RJnl3013</t>
  </si>
  <si>
    <t>RJnl3014</t>
  </si>
  <si>
    <t>RJnl3015</t>
  </si>
  <si>
    <t>RJnl3016</t>
  </si>
  <si>
    <t>RJnl3017</t>
  </si>
  <si>
    <t>RJnl3018</t>
  </si>
  <si>
    <t>RJnl3020</t>
  </si>
  <si>
    <t>RJnl3021</t>
  </si>
  <si>
    <t>RJnl3022</t>
  </si>
  <si>
    <t>RJnl3023</t>
  </si>
  <si>
    <t>RJnl3026</t>
  </si>
  <si>
    <t>5H0039</t>
  </si>
  <si>
    <t>RJnl3027</t>
  </si>
  <si>
    <t>5H0054</t>
  </si>
  <si>
    <t>5H0055</t>
  </si>
  <si>
    <t>5H0061</t>
  </si>
  <si>
    <t>5H0064</t>
  </si>
  <si>
    <t>5H0065</t>
  </si>
  <si>
    <t>RJnl3028</t>
  </si>
  <si>
    <t>5H0071</t>
  </si>
  <si>
    <t>5H0073</t>
  </si>
  <si>
    <t>5H0079</t>
  </si>
  <si>
    <t>5H0080</t>
  </si>
  <si>
    <t>5H0081</t>
  </si>
  <si>
    <t>RJnl3029</t>
  </si>
  <si>
    <t>5H0082</t>
  </si>
  <si>
    <t>5H0084</t>
  </si>
  <si>
    <t>5H0085</t>
  </si>
  <si>
    <t>5H0086</t>
  </si>
  <si>
    <t>5H0087</t>
  </si>
  <si>
    <t>RJnl3030</t>
  </si>
  <si>
    <t>5H0088</t>
  </si>
  <si>
    <t>5H0089</t>
  </si>
  <si>
    <t>5H0090</t>
  </si>
  <si>
    <t>5H0091</t>
  </si>
  <si>
    <t>5H0092</t>
  </si>
  <si>
    <t>RJnl3031</t>
  </si>
  <si>
    <t>5H0093</t>
  </si>
  <si>
    <t>5H0094</t>
  </si>
  <si>
    <t>5H0095</t>
  </si>
  <si>
    <t>5H0096</t>
  </si>
  <si>
    <t>5H0097</t>
  </si>
  <si>
    <t>RJnl3032</t>
  </si>
  <si>
    <t>5H0098</t>
  </si>
  <si>
    <t>5H0099</t>
  </si>
  <si>
    <t>5H0100</t>
  </si>
  <si>
    <t>5H0101</t>
  </si>
  <si>
    <t>5H0102</t>
  </si>
  <si>
    <t>RJnl3033</t>
  </si>
  <si>
    <t>5H0104</t>
  </si>
  <si>
    <t>5H0105</t>
  </si>
  <si>
    <t>5H0106</t>
  </si>
  <si>
    <t>5H0107</t>
  </si>
  <si>
    <t>5H0109</t>
  </si>
  <si>
    <t>RJnl3034</t>
  </si>
  <si>
    <t>5H0112</t>
  </si>
  <si>
    <t>5H0114</t>
  </si>
  <si>
    <t>5H0121</t>
  </si>
  <si>
    <t>5H0122</t>
  </si>
  <si>
    <t>5H0128</t>
  </si>
  <si>
    <t>5H0130</t>
  </si>
  <si>
    <t>5H0133</t>
  </si>
  <si>
    <t>5H0151</t>
  </si>
  <si>
    <t>5N0001</t>
  </si>
  <si>
    <t>RJnl3036</t>
  </si>
  <si>
    <t>5N0002</t>
  </si>
  <si>
    <t>5N0004</t>
  </si>
  <si>
    <t>RJnl3037</t>
  </si>
  <si>
    <t>5N0013</t>
  </si>
  <si>
    <t>5N0014</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</si>
</sst>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0_);_(* \(#,##0\);_(* &quot;-&quot;_);_(@_)"/>
    <numFmt numFmtId="43" formatCode="_(* #,##0.00_);_(* \(#,##0.00\);_(* &quot;-&quot;??_);_(@_)"/>
    <numFmt numFmtId="164" formatCode="&quot;R&quot;\ #,##0;&quot;R&quot;\ \-#,##0"/>
    <numFmt numFmtId="171" formatCode="_ * #,##0.00_ ;_ * \-#,##0.00_ ;_ * &quot;-&quot;??_ ;_ @_ "/>
    <numFmt numFmtId="178" formatCode="#,##0.00_ ;\-#,##0.00\ "/>
    <numFmt numFmtId="179" formatCode="_ * #,##0_ ;_ * \-#,##0_ ;_ * &quot;-&quot;??_ ;_ @_ "/>
    <numFmt numFmtId="180" formatCode="_(* #,##0_);_(* \(#,##0\);_(* &quot;-&quot;??_);_(@_)"/>
    <numFmt numFmtId="181" formatCode="0.0%"/>
    <numFmt numFmtId="182" formatCode="0.00000"/>
    <numFmt numFmtId="183" formatCode="_ * #,##0.000_ ;_ * \-#,##0.000_ ;_ * &quot;-&quot;??_ ;_ @_ "/>
    <numFmt numFmtId="184" formatCode="0.000"/>
    <numFmt numFmtId="185" formatCode="_(* #,##0.000_);_(* \(#,##0.000\);_(* &quot;-&quot;??_);_(@_)"/>
    <numFmt numFmtId="186" formatCode="_ * #,##0.0000_ ;_ * \-#,##0.0000_ ;_ * &quot;-&quot;??_ ;_ @_ "/>
    <numFmt numFmtId="187" formatCode="#\ ##0,;\(#\ ###,\)"/>
    <numFmt numFmtId="188" formatCode="#,##0;\(#,##0\)"/>
    <numFmt numFmtId="189" formatCode="_ * #,##0_ ;_ * \(#,##0\)_ ;_ * &quot;-&quot;_ ;_ @_ "/>
    <numFmt numFmtId="190" formatCode="_ * #,##0.00_ ;_ * \(#,##0.00\)_ ;_ * &quot;-&quot;_ ;_ @_ "/>
    <numFmt numFmtId="191" formatCode="_(* #,##0.000000_);_(* \(#,##0.000000\);_(* &quot;-&quot;??_);_(@_)"/>
    <numFmt numFmtId="192" formatCode="_(* #,##0.00000_);_(* \(#,##0.00000\);_(* &quot;-&quot;??_);_(@_)"/>
    <numFmt numFmtId="193" formatCode="_ * #,##0.00000_ ;_ * \-#,##0.00000_ ;_ * &quot;-&quot;??_ ;_ @_ "/>
    <numFmt numFmtId="194" formatCode="dd/mm/yyyy"/>
    <numFmt numFmtId="195" formatCode="0.0000"/>
    <numFmt numFmtId="196" formatCode="0.0000000"/>
    <numFmt numFmtId="197" formatCode="0.000000"/>
    <numFmt numFmtId="198" formatCode="_ * #,##0.000000_ ;_ * \-#,##0.000000_ ;_ * &quot;-&quot;??_ ;_ @_ "/>
    <numFmt numFmtId="207" formatCode="#,;\(#,\)"/>
    <numFmt numFmtId="215" formatCode="_(* #,##0,_);_(* \(#,##0,\);_(* &quot;–&quot;?_);_(@_)"/>
  </numFmts>
  <fonts count="48" x14ac:knownFonts="1">
    <font>
      <sz val="10"/>
      <name val="Arial Narrow"/>
    </font>
    <font>
      <sz val="10"/>
      <name val="Arial Narrow"/>
    </font>
    <font>
      <sz val="10"/>
      <name val="Arial Narrow"/>
      <family val="2"/>
    </font>
    <font>
      <sz val="10"/>
      <name val="Arial"/>
      <family val="2"/>
    </font>
    <font>
      <sz val="16"/>
      <name val="Arial"/>
      <family val="2"/>
    </font>
    <font>
      <sz val="14"/>
      <name val="Arial"/>
      <family val="2"/>
    </font>
    <font>
      <sz val="11"/>
      <name val="Times New Roman"/>
      <family val="1"/>
    </font>
    <font>
      <sz val="10"/>
      <name val="Arial"/>
      <family val="2"/>
    </font>
    <font>
      <b/>
      <sz val="12"/>
      <name val="Arial"/>
      <family val="2"/>
    </font>
    <font>
      <b/>
      <sz val="10"/>
      <name val="Arial"/>
      <family val="2"/>
    </font>
    <font>
      <b/>
      <i/>
      <sz val="10"/>
      <name val="Arial"/>
      <family val="2"/>
    </font>
    <font>
      <i/>
      <sz val="10"/>
      <name val="Arial"/>
      <family val="2"/>
    </font>
    <font>
      <b/>
      <sz val="8"/>
      <name val="Arial"/>
      <family val="2"/>
    </font>
    <font>
      <sz val="8"/>
      <name val="Arial"/>
      <family val="2"/>
    </font>
    <font>
      <b/>
      <sz val="11"/>
      <name val="Arial"/>
      <family val="2"/>
    </font>
    <font>
      <i/>
      <sz val="8"/>
      <name val="Arial"/>
      <family val="2"/>
    </font>
    <font>
      <b/>
      <sz val="8"/>
      <name val="Arial"/>
      <family val="2"/>
    </font>
    <font>
      <sz val="8"/>
      <name val="Arial"/>
      <family val="2"/>
    </font>
    <font>
      <b/>
      <i/>
      <sz val="8"/>
      <name val="Arial"/>
      <family val="2"/>
    </font>
    <font>
      <b/>
      <u/>
      <sz val="10"/>
      <name val="Arial"/>
      <family val="2"/>
    </font>
    <font>
      <sz val="8"/>
      <name val="Arial Narrow"/>
      <family val="2"/>
    </font>
    <font>
      <sz val="8"/>
      <name val="Arial Narrow"/>
      <family val="2"/>
    </font>
    <font>
      <u/>
      <sz val="10"/>
      <name val="Arial"/>
      <family val="2"/>
    </font>
    <font>
      <b/>
      <vertAlign val="superscript"/>
      <sz val="10"/>
      <name val="Arial"/>
      <family val="2"/>
    </font>
    <font>
      <strike/>
      <sz val="10"/>
      <name val="Arial"/>
      <family val="2"/>
    </font>
    <font>
      <u/>
      <vertAlign val="superscript"/>
      <sz val="10"/>
      <name val="Arial"/>
      <family val="2"/>
    </font>
    <font>
      <sz val="10"/>
      <color indexed="8"/>
      <name val="Arial"/>
      <family val="2"/>
    </font>
    <font>
      <b/>
      <u/>
      <vertAlign val="superscript"/>
      <sz val="10"/>
      <name val="Arial"/>
      <family val="2"/>
    </font>
    <font>
      <sz val="9"/>
      <name val="Arial"/>
      <family val="2"/>
    </font>
    <font>
      <u/>
      <sz val="9"/>
      <name val="Arial"/>
      <family val="2"/>
    </font>
    <font>
      <sz val="9"/>
      <name val="Arial"/>
      <family val="2"/>
    </font>
    <font>
      <sz val="10"/>
      <name val="Arial Narrow"/>
      <family val="2"/>
    </font>
    <font>
      <b/>
      <sz val="10"/>
      <name val="Arial Narrow"/>
      <family val="2"/>
    </font>
    <font>
      <sz val="8"/>
      <name val="Arial Narrow"/>
      <family val="2"/>
    </font>
    <font>
      <sz val="10"/>
      <name val="Arial"/>
      <family val="2"/>
    </font>
    <font>
      <sz val="11"/>
      <color indexed="8"/>
      <name val="Calibri"/>
      <family val="2"/>
    </font>
    <font>
      <b/>
      <sz val="11"/>
      <color indexed="8"/>
      <name val="Calibri"/>
      <family val="2"/>
    </font>
    <font>
      <sz val="8"/>
      <name val="Calibri"/>
      <family val="2"/>
    </font>
    <font>
      <sz val="11"/>
      <color indexed="11"/>
      <name val="Calibri"/>
      <family val="2"/>
    </font>
    <font>
      <b/>
      <i/>
      <sz val="11"/>
      <color indexed="17"/>
      <name val="Calibri"/>
      <family val="2"/>
    </font>
    <font>
      <b/>
      <sz val="10"/>
      <color indexed="10"/>
      <name val="Arial Narrow"/>
      <family val="2"/>
    </font>
    <font>
      <sz val="8"/>
      <name val="Arial Narrow"/>
      <family val="2"/>
    </font>
    <font>
      <sz val="8"/>
      <name val="Arial Unicode MS"/>
      <family val="2"/>
    </font>
    <font>
      <sz val="9.75"/>
      <color indexed="8"/>
      <name val="Arial"/>
      <family val="2"/>
    </font>
    <font>
      <sz val="10"/>
      <color indexed="8"/>
      <name val="Arial"/>
      <family val="2"/>
    </font>
    <font>
      <sz val="8"/>
      <name val="Arial Narrow"/>
      <family val="2"/>
    </font>
    <font>
      <b/>
      <sz val="8"/>
      <name val="Arial Narrow"/>
      <family val="2"/>
    </font>
    <font>
      <b/>
      <u/>
      <sz val="8"/>
      <name val="Arial Narrow"/>
      <family val="2"/>
    </font>
  </fonts>
  <fills count="3">
    <fill>
      <patternFill patternType="none"/>
    </fill>
    <fill>
      <patternFill patternType="gray125"/>
    </fill>
    <fill>
      <patternFill patternType="solid">
        <fgColor indexed="10"/>
        <bgColor indexed="64"/>
      </patternFill>
    </fill>
  </fills>
  <borders count="52">
    <border>
      <left/>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top/>
      <bottom style="medium">
        <color indexed="64"/>
      </bottom>
      <diagonal/>
    </border>
    <border>
      <left/>
      <right/>
      <top style="thin">
        <color indexed="64"/>
      </top>
      <bottom style="medium">
        <color indexed="64"/>
      </bottom>
      <diagonal/>
    </border>
    <border>
      <left/>
      <right/>
      <top/>
      <bottom style="thin">
        <color indexed="64"/>
      </bottom>
      <diagonal/>
    </border>
    <border>
      <left/>
      <right/>
      <top/>
      <bottom style="double">
        <color indexed="64"/>
      </bottom>
      <diagonal/>
    </border>
    <border>
      <left/>
      <right/>
      <top style="thin">
        <color indexed="64"/>
      </top>
      <bottom/>
      <diagonal/>
    </border>
    <border>
      <left/>
      <right/>
      <top style="thin">
        <color indexed="64"/>
      </top>
      <bottom style="double">
        <color indexed="64"/>
      </bottom>
      <diagonal/>
    </border>
    <border>
      <left style="medium">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right style="medium">
        <color indexed="64"/>
      </right>
      <top/>
      <bottom style="medium">
        <color indexed="64"/>
      </bottom>
      <diagonal/>
    </border>
  </borders>
  <cellStyleXfs count="17">
    <xf numFmtId="0" fontId="0" fillId="0" borderId="0"/>
    <xf numFmtId="171" fontId="1" fillId="0" borderId="0" applyFont="0" applyFill="0" applyBorder="0" applyAlignment="0" applyProtection="0"/>
    <xf numFmtId="171" fontId="3" fillId="0" borderId="0" applyFont="0" applyFill="0" applyBorder="0" applyAlignment="0" applyProtection="0"/>
    <xf numFmtId="189" fontId="34" fillId="0" borderId="0" applyProtection="0"/>
    <xf numFmtId="178" fontId="6" fillId="0" borderId="0" applyFill="0" applyBorder="0" applyAlignment="0" applyProtection="0"/>
    <xf numFmtId="164" fontId="3" fillId="0" borderId="0" applyFont="0" applyFill="0" applyBorder="0" applyAlignment="0" applyProtection="0"/>
    <xf numFmtId="14" fontId="7" fillId="0" borderId="0" applyFont="0" applyFill="0" applyBorder="0" applyAlignment="0" applyProtection="0"/>
    <xf numFmtId="2"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5" fillId="0" borderId="0"/>
    <xf numFmtId="43" fontId="3" fillId="0" borderId="0"/>
    <xf numFmtId="9" fontId="1" fillId="0" borderId="0" applyFont="0" applyFill="0" applyBorder="0" applyAlignment="0" applyProtection="0"/>
    <xf numFmtId="9" fontId="3" fillId="0" borderId="0" applyFont="0" applyFill="0" applyBorder="0" applyAlignment="0" applyProtection="0"/>
  </cellStyleXfs>
  <cellXfs count="802">
    <xf numFmtId="0" fontId="0" fillId="0" borderId="0" xfId="0"/>
    <xf numFmtId="0" fontId="4" fillId="0" borderId="0" xfId="8" applyFont="1" applyAlignment="1"/>
    <xf numFmtId="0" fontId="3" fillId="0" borderId="0" xfId="8"/>
    <xf numFmtId="0" fontId="5" fillId="0" borderId="0" xfId="8" applyFont="1" applyAlignment="1"/>
    <xf numFmtId="0" fontId="8" fillId="0" borderId="0" xfId="8" applyFont="1" applyAlignment="1"/>
    <xf numFmtId="0" fontId="9" fillId="0" borderId="0" xfId="8" applyFont="1"/>
    <xf numFmtId="0" fontId="9" fillId="0" borderId="0" xfId="8" applyFont="1" applyAlignment="1">
      <alignment horizontal="center"/>
    </xf>
    <xf numFmtId="0" fontId="9" fillId="0" borderId="0" xfId="8" quotePrefix="1" applyFont="1"/>
    <xf numFmtId="16" fontId="9" fillId="0" borderId="0" xfId="8" quotePrefix="1" applyNumberFormat="1" applyFont="1" applyAlignment="1">
      <alignment horizontal="center"/>
    </xf>
    <xf numFmtId="0" fontId="7" fillId="0" borderId="0" xfId="8" applyFont="1"/>
    <xf numFmtId="0" fontId="10" fillId="0" borderId="0" xfId="8" applyFont="1"/>
    <xf numFmtId="0" fontId="9" fillId="0" borderId="0" xfId="8" quotePrefix="1" applyFont="1" applyAlignment="1">
      <alignment horizontal="center"/>
    </xf>
    <xf numFmtId="0" fontId="11" fillId="0" borderId="0" xfId="8" applyFont="1"/>
    <xf numFmtId="0" fontId="3" fillId="0" borderId="0" xfId="8" applyAlignment="1">
      <alignment horizontal="center"/>
    </xf>
    <xf numFmtId="0" fontId="3" fillId="0" borderId="0" xfId="8" applyBorder="1"/>
    <xf numFmtId="0" fontId="12" fillId="0" borderId="0" xfId="8" applyFont="1" applyFill="1" applyBorder="1" applyAlignment="1">
      <alignment horizontal="center"/>
    </xf>
    <xf numFmtId="0" fontId="9" fillId="0" borderId="0" xfId="8" applyFont="1" applyBorder="1" applyAlignment="1"/>
    <xf numFmtId="0" fontId="12" fillId="0" borderId="1" xfId="8" applyFont="1" applyFill="1" applyBorder="1" applyAlignment="1">
      <alignment horizontal="center"/>
    </xf>
    <xf numFmtId="179" fontId="12" fillId="0" borderId="1" xfId="8" applyNumberFormat="1" applyFont="1" applyFill="1" applyBorder="1" applyAlignment="1">
      <alignment horizontal="center"/>
    </xf>
    <xf numFmtId="179" fontId="12" fillId="0" borderId="1" xfId="2" applyNumberFormat="1" applyFont="1" applyFill="1" applyBorder="1" applyAlignment="1">
      <alignment horizontal="center"/>
    </xf>
    <xf numFmtId="0" fontId="12" fillId="0" borderId="2" xfId="8" applyFont="1" applyFill="1" applyBorder="1" applyAlignment="1">
      <alignment horizontal="center"/>
    </xf>
    <xf numFmtId="179" fontId="12" fillId="0" borderId="2" xfId="8" applyNumberFormat="1" applyFont="1" applyFill="1" applyBorder="1" applyAlignment="1">
      <alignment horizontal="center"/>
    </xf>
    <xf numFmtId="179" fontId="12" fillId="0" borderId="2" xfId="2" applyNumberFormat="1" applyFont="1" applyFill="1" applyBorder="1" applyAlignment="1">
      <alignment horizontal="center"/>
    </xf>
    <xf numFmtId="0" fontId="12" fillId="0" borderId="3" xfId="8" applyFont="1" applyFill="1" applyBorder="1" applyAlignment="1">
      <alignment horizontal="center"/>
    </xf>
    <xf numFmtId="0" fontId="13" fillId="0" borderId="0" xfId="8" applyFont="1"/>
    <xf numFmtId="180" fontId="13" fillId="0" borderId="0" xfId="2" applyNumberFormat="1" applyFont="1"/>
    <xf numFmtId="181" fontId="0" fillId="0" borderId="0" xfId="16" applyNumberFormat="1" applyFont="1"/>
    <xf numFmtId="180" fontId="3" fillId="0" borderId="0" xfId="8" applyNumberFormat="1"/>
    <xf numFmtId="0" fontId="13" fillId="0" borderId="0" xfId="8" applyFont="1" applyBorder="1"/>
    <xf numFmtId="180" fontId="13" fillId="0" borderId="0" xfId="2" applyNumberFormat="1" applyFont="1" applyBorder="1"/>
    <xf numFmtId="0" fontId="13" fillId="0" borderId="4" xfId="8" applyFont="1" applyBorder="1"/>
    <xf numFmtId="180" fontId="13" fillId="0" borderId="4" xfId="2" applyNumberFormat="1" applyFont="1" applyBorder="1"/>
    <xf numFmtId="9" fontId="0" fillId="0" borderId="0" xfId="16" applyFont="1"/>
    <xf numFmtId="0" fontId="12" fillId="0" borderId="0" xfId="8" applyFont="1"/>
    <xf numFmtId="180" fontId="12" fillId="0" borderId="0" xfId="2" applyNumberFormat="1" applyFont="1"/>
    <xf numFmtId="0" fontId="12" fillId="0" borderId="5" xfId="8" applyFont="1" applyBorder="1"/>
    <xf numFmtId="180" fontId="12" fillId="0" borderId="5" xfId="2" applyNumberFormat="1" applyFont="1" applyBorder="1"/>
    <xf numFmtId="0" fontId="3" fillId="0" borderId="0" xfId="8" applyAlignment="1">
      <alignment horizontal="left"/>
    </xf>
    <xf numFmtId="0" fontId="3" fillId="0" borderId="0" xfId="8" applyFill="1" applyAlignment="1">
      <alignment horizontal="center"/>
    </xf>
    <xf numFmtId="0" fontId="3" fillId="0" borderId="0" xfId="8" applyFill="1"/>
    <xf numFmtId="0" fontId="14" fillId="0" borderId="0" xfId="8" applyFont="1" applyFill="1" applyAlignment="1">
      <alignment horizontal="center"/>
    </xf>
    <xf numFmtId="0" fontId="12" fillId="0" borderId="0" xfId="8" applyFont="1" applyBorder="1" applyAlignment="1">
      <alignment horizontal="left"/>
    </xf>
    <xf numFmtId="49" fontId="12" fillId="0" borderId="0" xfId="2" applyNumberFormat="1" applyFont="1" applyFill="1" applyBorder="1" applyAlignment="1">
      <alignment horizontal="center"/>
    </xf>
    <xf numFmtId="0" fontId="8" fillId="0" borderId="0" xfId="8" applyFont="1" applyBorder="1" applyAlignment="1">
      <alignment horizontal="left"/>
    </xf>
    <xf numFmtId="0" fontId="8" fillId="0" borderId="0" xfId="8" applyFont="1" applyFill="1" applyBorder="1"/>
    <xf numFmtId="179" fontId="15" fillId="0" borderId="0" xfId="2" applyNumberFormat="1" applyFont="1" applyFill="1" applyBorder="1"/>
    <xf numFmtId="0" fontId="3" fillId="0" borderId="0" xfId="8" applyFill="1" applyBorder="1"/>
    <xf numFmtId="0" fontId="14" fillId="0" borderId="0" xfId="8" applyFont="1" applyBorder="1" applyAlignment="1">
      <alignment horizontal="left"/>
    </xf>
    <xf numFmtId="0" fontId="14" fillId="0" borderId="0" xfId="8" applyFont="1" applyFill="1" applyBorder="1" applyAlignment="1"/>
    <xf numFmtId="0" fontId="3" fillId="0" borderId="0" xfId="8" applyBorder="1" applyAlignment="1">
      <alignment horizontal="left"/>
    </xf>
    <xf numFmtId="0" fontId="12" fillId="0" borderId="0" xfId="8" applyFont="1" applyFill="1" applyBorder="1" applyAlignment="1"/>
    <xf numFmtId="0" fontId="13" fillId="0" borderId="0" xfId="8" applyFont="1" applyBorder="1" applyAlignment="1">
      <alignment horizontal="left"/>
    </xf>
    <xf numFmtId="0" fontId="16" fillId="0" borderId="0" xfId="8" applyFont="1" applyFill="1" applyBorder="1"/>
    <xf numFmtId="0" fontId="13" fillId="0" borderId="0" xfId="8" applyFont="1" applyFill="1" applyBorder="1"/>
    <xf numFmtId="0" fontId="13" fillId="0" borderId="0" xfId="8" applyFont="1" applyFill="1"/>
    <xf numFmtId="0" fontId="13" fillId="0" borderId="6" xfId="8" applyFont="1" applyFill="1" applyBorder="1"/>
    <xf numFmtId="179" fontId="17" fillId="0" borderId="6" xfId="2" applyNumberFormat="1" applyFont="1" applyFill="1" applyBorder="1"/>
    <xf numFmtId="179" fontId="13" fillId="0" borderId="0" xfId="8" applyNumberFormat="1" applyFont="1"/>
    <xf numFmtId="0" fontId="12" fillId="0" borderId="0" xfId="8" applyFont="1" applyFill="1" applyBorder="1"/>
    <xf numFmtId="179" fontId="12" fillId="0" borderId="0" xfId="8" applyNumberFormat="1" applyFont="1" applyFill="1" applyBorder="1"/>
    <xf numFmtId="0" fontId="17" fillId="0" borderId="0" xfId="8" applyFont="1" applyBorder="1" applyAlignment="1">
      <alignment horizontal="left"/>
    </xf>
    <xf numFmtId="0" fontId="12" fillId="0" borderId="6" xfId="8" applyFont="1" applyFill="1" applyBorder="1"/>
    <xf numFmtId="180" fontId="17" fillId="0" borderId="6" xfId="2" applyNumberFormat="1" applyFont="1" applyFill="1" applyBorder="1" applyAlignment="1">
      <alignment horizontal="center"/>
    </xf>
    <xf numFmtId="0" fontId="3" fillId="0" borderId="6" xfId="8" applyFill="1" applyBorder="1"/>
    <xf numFmtId="0" fontId="17" fillId="0" borderId="0" xfId="8" applyFont="1" applyFill="1" applyBorder="1" applyAlignment="1">
      <alignment horizontal="left"/>
    </xf>
    <xf numFmtId="0" fontId="12" fillId="0" borderId="7" xfId="8" applyFont="1" applyFill="1" applyBorder="1"/>
    <xf numFmtId="180" fontId="12" fillId="0" borderId="7" xfId="2" applyNumberFormat="1" applyFont="1" applyFill="1" applyBorder="1"/>
    <xf numFmtId="0" fontId="7" fillId="0" borderId="0" xfId="8" applyFont="1" applyBorder="1" applyAlignment="1">
      <alignment horizontal="left"/>
    </xf>
    <xf numFmtId="0" fontId="7" fillId="0" borderId="0" xfId="8" applyFont="1" applyFill="1" applyBorder="1"/>
    <xf numFmtId="179" fontId="17" fillId="0" borderId="0" xfId="2" applyNumberFormat="1" applyFont="1" applyFill="1" applyBorder="1"/>
    <xf numFmtId="0" fontId="17" fillId="0" borderId="0" xfId="8" applyFont="1" applyFill="1" applyBorder="1"/>
    <xf numFmtId="0" fontId="17" fillId="0" borderId="6" xfId="8" applyFont="1" applyFill="1" applyBorder="1"/>
    <xf numFmtId="179" fontId="12" fillId="0" borderId="0" xfId="2" applyNumberFormat="1" applyFont="1" applyFill="1" applyBorder="1"/>
    <xf numFmtId="180" fontId="12" fillId="0" borderId="0" xfId="2" applyNumberFormat="1" applyFont="1" applyFill="1" applyBorder="1"/>
    <xf numFmtId="0" fontId="9" fillId="0" borderId="0" xfId="8" applyFont="1" applyFill="1" applyBorder="1" applyAlignment="1">
      <alignment horizontal="center"/>
    </xf>
    <xf numFmtId="0" fontId="13" fillId="0" borderId="0" xfId="8" applyFont="1" applyAlignment="1">
      <alignment horizontal="left"/>
    </xf>
    <xf numFmtId="179" fontId="12" fillId="0" borderId="7" xfId="2" applyNumberFormat="1" applyFont="1" applyFill="1" applyBorder="1"/>
    <xf numFmtId="180" fontId="12" fillId="0" borderId="7" xfId="8" applyNumberFormat="1" applyFont="1" applyFill="1" applyBorder="1"/>
    <xf numFmtId="180" fontId="12" fillId="0" borderId="0" xfId="8" applyNumberFormat="1" applyFont="1" applyFill="1" applyBorder="1"/>
    <xf numFmtId="0" fontId="15" fillId="0" borderId="0" xfId="8" applyFont="1" applyBorder="1" applyAlignment="1">
      <alignment horizontal="left"/>
    </xf>
    <xf numFmtId="0" fontId="18" fillId="0" borderId="0" xfId="8" applyFont="1" applyFill="1" applyBorder="1"/>
    <xf numFmtId="0" fontId="9" fillId="0" borderId="0" xfId="8" applyFont="1" applyBorder="1" applyAlignment="1">
      <alignment horizontal="center"/>
    </xf>
    <xf numFmtId="0" fontId="10" fillId="0" borderId="0" xfId="8" applyFont="1" applyBorder="1" applyAlignment="1">
      <alignment horizontal="left"/>
    </xf>
    <xf numFmtId="0" fontId="10" fillId="0" borderId="0" xfId="8" applyFont="1" applyFill="1" applyBorder="1" applyAlignment="1"/>
    <xf numFmtId="0" fontId="18" fillId="0" borderId="0" xfId="8" applyFont="1" applyBorder="1" applyAlignment="1">
      <alignment horizontal="left"/>
    </xf>
    <xf numFmtId="0" fontId="17" fillId="0" borderId="0" xfId="8" applyFont="1" applyFill="1"/>
    <xf numFmtId="0" fontId="17" fillId="0" borderId="0" xfId="8" applyFont="1"/>
    <xf numFmtId="0" fontId="18" fillId="0" borderId="0" xfId="8" applyFont="1" applyFill="1" applyBorder="1" applyAlignment="1"/>
    <xf numFmtId="179" fontId="12" fillId="0" borderId="0" xfId="8" applyNumberFormat="1" applyFont="1" applyFill="1" applyBorder="1" applyAlignment="1"/>
    <xf numFmtId="179" fontId="12" fillId="0" borderId="6" xfId="2" applyNumberFormat="1" applyFont="1" applyFill="1" applyBorder="1"/>
    <xf numFmtId="0" fontId="13" fillId="0" borderId="6" xfId="8" applyFont="1" applyBorder="1"/>
    <xf numFmtId="0" fontId="14" fillId="0" borderId="0" xfId="8" applyFont="1" applyAlignment="1">
      <alignment horizontal="left"/>
    </xf>
    <xf numFmtId="0" fontId="14" fillId="0" borderId="0" xfId="8" applyFont="1" applyFill="1"/>
    <xf numFmtId="0" fontId="10" fillId="0" borderId="0" xfId="8" applyFont="1" applyAlignment="1">
      <alignment horizontal="left"/>
    </xf>
    <xf numFmtId="0" fontId="10" fillId="0" borderId="0" xfId="8" applyFont="1" applyFill="1" applyBorder="1"/>
    <xf numFmtId="0" fontId="14" fillId="0" borderId="0" xfId="8" applyFont="1" applyFill="1" applyBorder="1"/>
    <xf numFmtId="180" fontId="17" fillId="0" borderId="0" xfId="2" applyNumberFormat="1" applyFont="1" applyFill="1" applyBorder="1"/>
    <xf numFmtId="179" fontId="17" fillId="0" borderId="6" xfId="8" applyNumberFormat="1" applyFont="1" applyFill="1" applyBorder="1"/>
    <xf numFmtId="0" fontId="8" fillId="0" borderId="0" xfId="8" applyFont="1" applyAlignment="1">
      <alignment horizontal="left"/>
    </xf>
    <xf numFmtId="180" fontId="17" fillId="0" borderId="0" xfId="2" applyNumberFormat="1" applyFont="1" applyFill="1" applyBorder="1" applyAlignment="1">
      <alignment horizontal="center"/>
    </xf>
    <xf numFmtId="180" fontId="12" fillId="0" borderId="0" xfId="2" applyNumberFormat="1" applyFont="1" applyFill="1" applyBorder="1" applyAlignment="1">
      <alignment horizontal="center"/>
    </xf>
    <xf numFmtId="0" fontId="17" fillId="0" borderId="0" xfId="8" applyFont="1" applyAlignment="1">
      <alignment horizontal="left"/>
    </xf>
    <xf numFmtId="0" fontId="3" fillId="0" borderId="6" xfId="8" applyBorder="1"/>
    <xf numFmtId="0" fontId="3" fillId="0" borderId="0" xfId="8" applyFont="1" applyAlignment="1"/>
    <xf numFmtId="0" fontId="3" fillId="0" borderId="0" xfId="8" applyFont="1" applyAlignment="1">
      <alignment horizontal="center"/>
    </xf>
    <xf numFmtId="180" fontId="17" fillId="0" borderId="6" xfId="2" applyNumberFormat="1" applyFont="1" applyFill="1" applyBorder="1"/>
    <xf numFmtId="0" fontId="10" fillId="0" borderId="0" xfId="8" applyFont="1" applyFill="1"/>
    <xf numFmtId="171" fontId="3" fillId="0" borderId="0" xfId="8" applyNumberFormat="1" applyFill="1" applyBorder="1"/>
    <xf numFmtId="41" fontId="17" fillId="0" borderId="6" xfId="2" applyNumberFormat="1" applyFont="1" applyFill="1" applyBorder="1"/>
    <xf numFmtId="180" fontId="13" fillId="0" borderId="0" xfId="8" applyNumberFormat="1" applyFont="1"/>
    <xf numFmtId="180" fontId="12" fillId="0" borderId="0" xfId="8" applyNumberFormat="1" applyFont="1" applyFill="1" applyBorder="1" applyAlignment="1"/>
    <xf numFmtId="0" fontId="7" fillId="0" borderId="0" xfId="8" applyFont="1" applyAlignment="1">
      <alignment horizontal="left"/>
    </xf>
    <xf numFmtId="0" fontId="9" fillId="0" borderId="0" xfId="8" applyFont="1" applyAlignment="1">
      <alignment horizontal="left"/>
    </xf>
    <xf numFmtId="0" fontId="17" fillId="0" borderId="0" xfId="8" applyFont="1" applyFill="1" applyBorder="1" applyAlignment="1"/>
    <xf numFmtId="0" fontId="17" fillId="0" borderId="6" xfId="8" applyFont="1" applyFill="1" applyBorder="1" applyAlignment="1"/>
    <xf numFmtId="180" fontId="12" fillId="0" borderId="8" xfId="2" applyNumberFormat="1" applyFont="1" applyFill="1" applyBorder="1" applyAlignment="1">
      <alignment horizontal="center"/>
    </xf>
    <xf numFmtId="179" fontId="12" fillId="0" borderId="8" xfId="2" applyNumberFormat="1" applyFont="1" applyFill="1" applyBorder="1"/>
    <xf numFmtId="180" fontId="3" fillId="0" borderId="0" xfId="8" applyNumberFormat="1" applyFill="1"/>
    <xf numFmtId="0" fontId="8" fillId="0" borderId="0" xfId="8" applyFont="1" applyFill="1"/>
    <xf numFmtId="180" fontId="16" fillId="0" borderId="0" xfId="2" applyNumberFormat="1" applyFont="1" applyFill="1" applyBorder="1"/>
    <xf numFmtId="180" fontId="12" fillId="0" borderId="6" xfId="2" applyNumberFormat="1" applyFont="1" applyFill="1" applyBorder="1"/>
    <xf numFmtId="179" fontId="3" fillId="0" borderId="0" xfId="8" applyNumberFormat="1" applyFill="1" applyBorder="1"/>
    <xf numFmtId="179" fontId="13" fillId="0" borderId="0" xfId="8" applyNumberFormat="1" applyFont="1" applyBorder="1"/>
    <xf numFmtId="0" fontId="8" fillId="0" borderId="0" xfId="8" applyFont="1" applyFill="1" applyBorder="1" applyAlignment="1"/>
    <xf numFmtId="180" fontId="12" fillId="0" borderId="6" xfId="2" applyNumberFormat="1" applyFont="1" applyFill="1" applyBorder="1" applyAlignment="1">
      <alignment horizontal="center"/>
    </xf>
    <xf numFmtId="43" fontId="3" fillId="0" borderId="0" xfId="8" applyNumberFormat="1"/>
    <xf numFmtId="171" fontId="17" fillId="0" borderId="0" xfId="2" applyNumberFormat="1" applyFont="1" applyFill="1" applyBorder="1"/>
    <xf numFmtId="180" fontId="13" fillId="0" borderId="6" xfId="2" applyNumberFormat="1" applyFont="1" applyFill="1" applyBorder="1" applyAlignment="1">
      <alignment horizontal="center"/>
    </xf>
    <xf numFmtId="179" fontId="13" fillId="0" borderId="6" xfId="2" applyNumberFormat="1" applyFont="1" applyFill="1" applyBorder="1"/>
    <xf numFmtId="171" fontId="3" fillId="0" borderId="0" xfId="8" applyNumberFormat="1" applyFill="1"/>
    <xf numFmtId="43" fontId="12" fillId="0" borderId="0" xfId="2" applyNumberFormat="1" applyFont="1" applyFill="1" applyBorder="1"/>
    <xf numFmtId="43" fontId="12" fillId="0" borderId="0" xfId="8" applyNumberFormat="1" applyFont="1" applyFill="1" applyBorder="1"/>
    <xf numFmtId="0" fontId="19" fillId="0" borderId="0" xfId="8" applyFont="1" applyFill="1" applyBorder="1" applyAlignment="1"/>
    <xf numFmtId="0" fontId="18" fillId="0" borderId="6" xfId="8" applyFont="1" applyFill="1" applyBorder="1"/>
    <xf numFmtId="182" fontId="3" fillId="0" borderId="0" xfId="8" applyNumberFormat="1"/>
    <xf numFmtId="183" fontId="17" fillId="0" borderId="0" xfId="2" applyNumberFormat="1" applyFont="1" applyFill="1" applyBorder="1"/>
    <xf numFmtId="0" fontId="18" fillId="0" borderId="9" xfId="8" applyFont="1" applyFill="1" applyBorder="1"/>
    <xf numFmtId="180" fontId="12" fillId="0" borderId="9" xfId="2" applyNumberFormat="1" applyFont="1" applyFill="1" applyBorder="1"/>
    <xf numFmtId="180" fontId="7" fillId="0" borderId="0" xfId="8" applyNumberFormat="1" applyFont="1" applyFill="1" applyBorder="1"/>
    <xf numFmtId="179" fontId="3" fillId="0" borderId="0" xfId="8" applyNumberFormat="1"/>
    <xf numFmtId="179" fontId="12" fillId="0" borderId="9" xfId="2" applyNumberFormat="1" applyFont="1" applyFill="1" applyBorder="1"/>
    <xf numFmtId="0" fontId="18" fillId="0" borderId="7" xfId="8" applyFont="1" applyFill="1" applyBorder="1"/>
    <xf numFmtId="180" fontId="12" fillId="0" borderId="9" xfId="8" applyNumberFormat="1" applyFont="1" applyFill="1" applyBorder="1"/>
    <xf numFmtId="184" fontId="3" fillId="0" borderId="0" xfId="8" applyNumberFormat="1"/>
    <xf numFmtId="0" fontId="3" fillId="0" borderId="10" xfId="8" applyBorder="1"/>
    <xf numFmtId="0" fontId="3" fillId="0" borderId="10" xfId="8" quotePrefix="1" applyBorder="1"/>
    <xf numFmtId="0" fontId="3" fillId="0" borderId="10" xfId="8" applyFill="1" applyBorder="1"/>
    <xf numFmtId="0" fontId="14" fillId="0" borderId="0" xfId="8" applyFont="1" applyAlignment="1"/>
    <xf numFmtId="0" fontId="12" fillId="0" borderId="0" xfId="8" applyFont="1" applyAlignment="1">
      <alignment horizontal="left"/>
    </xf>
    <xf numFmtId="180" fontId="17" fillId="0" borderId="0" xfId="8" applyNumberFormat="1" applyFont="1"/>
    <xf numFmtId="180" fontId="17" fillId="0" borderId="6" xfId="8" applyNumberFormat="1" applyFont="1" applyBorder="1"/>
    <xf numFmtId="180" fontId="3" fillId="0" borderId="6" xfId="8" applyNumberFormat="1" applyBorder="1"/>
    <xf numFmtId="179" fontId="3" fillId="0" borderId="6" xfId="8" applyNumberFormat="1" applyBorder="1"/>
    <xf numFmtId="43" fontId="12" fillId="0" borderId="0" xfId="2" applyNumberFormat="1" applyFont="1" applyFill="1" applyBorder="1" applyAlignment="1">
      <alignment horizontal="center"/>
    </xf>
    <xf numFmtId="180" fontId="12" fillId="0" borderId="0" xfId="8" applyNumberFormat="1" applyFont="1" applyFill="1"/>
    <xf numFmtId="43" fontId="17" fillId="0" borderId="0" xfId="2" applyNumberFormat="1" applyFont="1" applyFill="1" applyBorder="1"/>
    <xf numFmtId="185" fontId="17" fillId="0" borderId="0" xfId="2" applyNumberFormat="1" applyFont="1" applyFill="1" applyBorder="1" applyAlignment="1">
      <alignment horizontal="center"/>
    </xf>
    <xf numFmtId="183" fontId="13" fillId="0" borderId="0" xfId="8" applyNumberFormat="1" applyFont="1"/>
    <xf numFmtId="186" fontId="0" fillId="0" borderId="0" xfId="0" applyNumberFormat="1"/>
    <xf numFmtId="0" fontId="21" fillId="0" borderId="0" xfId="0" quotePrefix="1" applyFont="1" applyAlignment="1">
      <alignment horizontal="right"/>
    </xf>
    <xf numFmtId="0" fontId="17" fillId="0" borderId="0" xfId="8" quotePrefix="1" applyFont="1" applyAlignment="1">
      <alignment horizontal="right"/>
    </xf>
    <xf numFmtId="183" fontId="17" fillId="0" borderId="0" xfId="8" applyNumberFormat="1" applyFont="1"/>
    <xf numFmtId="184" fontId="17" fillId="0" borderId="0" xfId="8" applyNumberFormat="1" applyFont="1"/>
    <xf numFmtId="179" fontId="17" fillId="0" borderId="0" xfId="8" quotePrefix="1" applyNumberFormat="1" applyFont="1" applyAlignment="1">
      <alignment horizontal="right"/>
    </xf>
    <xf numFmtId="2" fontId="21" fillId="0" borderId="0" xfId="0" applyNumberFormat="1" applyFont="1"/>
    <xf numFmtId="171" fontId="17" fillId="0" borderId="0" xfId="8" applyNumberFormat="1" applyFont="1"/>
    <xf numFmtId="2" fontId="17" fillId="0" borderId="0" xfId="8" applyNumberFormat="1" applyFont="1"/>
    <xf numFmtId="171" fontId="13" fillId="0" borderId="0" xfId="8" applyNumberFormat="1" applyFont="1"/>
    <xf numFmtId="0" fontId="0" fillId="0" borderId="0" xfId="0" quotePrefix="1" applyAlignment="1">
      <alignment horizontal="right"/>
    </xf>
    <xf numFmtId="179" fontId="13" fillId="0" borderId="0" xfId="8" quotePrefix="1" applyNumberFormat="1" applyFont="1" applyAlignment="1">
      <alignment horizontal="right"/>
    </xf>
    <xf numFmtId="0" fontId="13" fillId="0" borderId="0" xfId="8" quotePrefix="1" applyFont="1" applyAlignment="1">
      <alignment horizontal="right"/>
    </xf>
    <xf numFmtId="43" fontId="3" fillId="0" borderId="0" xfId="8" applyNumberFormat="1" applyFill="1"/>
    <xf numFmtId="0" fontId="3" fillId="0" borderId="11" xfId="9" applyBorder="1"/>
    <xf numFmtId="0" fontId="9" fillId="0" borderId="12" xfId="9" applyFont="1" applyBorder="1" applyAlignment="1">
      <alignment horizontal="center"/>
    </xf>
    <xf numFmtId="0" fontId="9" fillId="0" borderId="8" xfId="9" applyFont="1" applyBorder="1" applyAlignment="1">
      <alignment horizontal="centerContinuous"/>
    </xf>
    <xf numFmtId="0" fontId="3" fillId="0" borderId="8" xfId="9" applyBorder="1" applyAlignment="1">
      <alignment horizontal="centerContinuous"/>
    </xf>
    <xf numFmtId="0" fontId="3" fillId="0" borderId="13" xfId="9" applyBorder="1" applyAlignment="1">
      <alignment horizontal="centerContinuous"/>
    </xf>
    <xf numFmtId="0" fontId="9" fillId="0" borderId="14" xfId="9" applyFont="1" applyBorder="1" applyAlignment="1">
      <alignment horizontal="centerContinuous"/>
    </xf>
    <xf numFmtId="0" fontId="3" fillId="0" borderId="15" xfId="9" applyBorder="1" applyAlignment="1">
      <alignment horizontal="centerContinuous"/>
    </xf>
    <xf numFmtId="0" fontId="3" fillId="0" borderId="16" xfId="9" applyBorder="1" applyAlignment="1">
      <alignment horizontal="centerContinuous"/>
    </xf>
    <xf numFmtId="0" fontId="3" fillId="0" borderId="0" xfId="9"/>
    <xf numFmtId="0" fontId="9" fillId="0" borderId="2" xfId="9" applyFont="1" applyBorder="1" applyAlignment="1">
      <alignment horizontal="center"/>
    </xf>
    <xf numFmtId="0" fontId="9" fillId="0" borderId="2" xfId="9" quotePrefix="1" applyFont="1" applyBorder="1" applyAlignment="1">
      <alignment horizontal="center"/>
    </xf>
    <xf numFmtId="17" fontId="9" fillId="0" borderId="17" xfId="9" quotePrefix="1" applyNumberFormat="1" applyFont="1" applyBorder="1" applyAlignment="1">
      <alignment horizontal="centerContinuous"/>
    </xf>
    <xf numFmtId="0" fontId="9" fillId="0" borderId="0" xfId="9" applyFont="1" applyBorder="1" applyAlignment="1">
      <alignment horizontal="centerContinuous"/>
    </xf>
    <xf numFmtId="0" fontId="9" fillId="0" borderId="18" xfId="9" applyFont="1" applyBorder="1" applyAlignment="1">
      <alignment horizontal="centerContinuous"/>
    </xf>
    <xf numFmtId="0" fontId="9" fillId="0" borderId="2" xfId="9" applyFont="1" applyBorder="1" applyAlignment="1">
      <alignment horizontal="centerContinuous"/>
    </xf>
    <xf numFmtId="17" fontId="9" fillId="0" borderId="19" xfId="9" quotePrefix="1" applyNumberFormat="1" applyFont="1" applyBorder="1" applyAlignment="1">
      <alignment horizontal="center"/>
    </xf>
    <xf numFmtId="0" fontId="9" fillId="0" borderId="20" xfId="9" quotePrefix="1" applyFont="1" applyBorder="1" applyAlignment="1">
      <alignment horizontal="centerContinuous"/>
    </xf>
    <xf numFmtId="0" fontId="9" fillId="0" borderId="6" xfId="9" quotePrefix="1" applyFont="1" applyBorder="1" applyAlignment="1">
      <alignment horizontal="centerContinuous"/>
    </xf>
    <xf numFmtId="0" fontId="9" fillId="0" borderId="21" xfId="9" applyFont="1" applyBorder="1" applyAlignment="1">
      <alignment horizontal="centerContinuous"/>
    </xf>
    <xf numFmtId="0" fontId="9" fillId="0" borderId="19" xfId="9" quotePrefix="1" applyFont="1" applyBorder="1" applyAlignment="1">
      <alignment horizontal="center"/>
    </xf>
    <xf numFmtId="0" fontId="9" fillId="0" borderId="17" xfId="9" applyFont="1" applyBorder="1" applyAlignment="1">
      <alignment horizontal="centerContinuous"/>
    </xf>
    <xf numFmtId="0" fontId="9" fillId="0" borderId="12" xfId="9" applyFont="1" applyBorder="1" applyAlignment="1">
      <alignment horizontal="centerContinuous"/>
    </xf>
    <xf numFmtId="0" fontId="9" fillId="0" borderId="17" xfId="9" applyFont="1" applyBorder="1" applyAlignment="1">
      <alignment horizontal="center"/>
    </xf>
    <xf numFmtId="0" fontId="9" fillId="0" borderId="19" xfId="9" applyFont="1" applyBorder="1"/>
    <xf numFmtId="0" fontId="9" fillId="0" borderId="20" xfId="9" applyFont="1" applyFill="1" applyBorder="1" applyAlignment="1">
      <alignment horizontal="center"/>
    </xf>
    <xf numFmtId="0" fontId="9" fillId="0" borderId="19" xfId="9" applyFont="1" applyBorder="1" applyAlignment="1">
      <alignment horizontal="center"/>
    </xf>
    <xf numFmtId="0" fontId="9" fillId="0" borderId="19" xfId="9" applyFont="1" applyFill="1" applyBorder="1" applyAlignment="1">
      <alignment horizontal="center"/>
    </xf>
    <xf numFmtId="0" fontId="22" fillId="0" borderId="2" xfId="9" applyFont="1" applyBorder="1"/>
    <xf numFmtId="0" fontId="9" fillId="0" borderId="2" xfId="9" applyFont="1" applyBorder="1"/>
    <xf numFmtId="0" fontId="7" fillId="0" borderId="2" xfId="9" applyFont="1" applyBorder="1"/>
    <xf numFmtId="0" fontId="3" fillId="0" borderId="2" xfId="9" applyBorder="1" applyAlignment="1">
      <alignment horizontal="left"/>
    </xf>
    <xf numFmtId="0" fontId="3" fillId="0" borderId="2" xfId="9" applyBorder="1"/>
    <xf numFmtId="0" fontId="9" fillId="0" borderId="22" xfId="9" applyFont="1" applyBorder="1" applyAlignment="1">
      <alignment horizontal="left"/>
    </xf>
    <xf numFmtId="0" fontId="22" fillId="0" borderId="0" xfId="9" applyFont="1"/>
    <xf numFmtId="0" fontId="7" fillId="0" borderId="0" xfId="9" applyFont="1"/>
    <xf numFmtId="0" fontId="7" fillId="0" borderId="2" xfId="9" applyFont="1" applyBorder="1" applyAlignment="1">
      <alignment horizontal="right"/>
    </xf>
    <xf numFmtId="187" fontId="7" fillId="0" borderId="2" xfId="9" applyNumberFormat="1" applyFont="1" applyBorder="1" applyAlignment="1">
      <alignment horizontal="right"/>
    </xf>
    <xf numFmtId="187" fontId="9" fillId="0" borderId="22" xfId="9" applyNumberFormat="1" applyFont="1" applyBorder="1" applyAlignment="1">
      <alignment horizontal="right"/>
    </xf>
    <xf numFmtId="0" fontId="3" fillId="0" borderId="2" xfId="9" applyFont="1" applyBorder="1" applyAlignment="1">
      <alignment horizontal="left"/>
    </xf>
    <xf numFmtId="0" fontId="3" fillId="0" borderId="0" xfId="9" applyFont="1"/>
    <xf numFmtId="0" fontId="3" fillId="0" borderId="2" xfId="9" applyFont="1" applyFill="1" applyBorder="1" applyAlignment="1">
      <alignment horizontal="left"/>
    </xf>
    <xf numFmtId="0" fontId="3" fillId="0" borderId="12" xfId="9" applyBorder="1"/>
    <xf numFmtId="3" fontId="3" fillId="0" borderId="0" xfId="9" applyNumberFormat="1"/>
    <xf numFmtId="3" fontId="9" fillId="0" borderId="2" xfId="9" applyNumberFormat="1" applyFont="1" applyBorder="1" applyAlignment="1">
      <alignment horizontal="right"/>
    </xf>
    <xf numFmtId="0" fontId="9" fillId="0" borderId="0" xfId="9" quotePrefix="1" applyFont="1" applyFill="1" applyBorder="1" applyAlignment="1">
      <alignment horizontal="center"/>
    </xf>
    <xf numFmtId="3" fontId="9" fillId="0" borderId="0" xfId="9" quotePrefix="1" applyNumberFormat="1" applyFont="1" applyAlignment="1">
      <alignment horizontal="center"/>
    </xf>
    <xf numFmtId="0" fontId="7" fillId="0" borderId="2" xfId="9" applyFont="1" applyBorder="1" applyAlignment="1">
      <alignment horizontal="left"/>
    </xf>
    <xf numFmtId="3" fontId="7" fillId="0" borderId="2" xfId="9" applyNumberFormat="1" applyFont="1" applyBorder="1" applyAlignment="1">
      <alignment horizontal="right"/>
    </xf>
    <xf numFmtId="3" fontId="9" fillId="0" borderId="0" xfId="9" applyNumberFormat="1" applyFont="1" applyFill="1" applyBorder="1" applyAlignment="1">
      <alignment horizontal="left"/>
    </xf>
    <xf numFmtId="3" fontId="9" fillId="0" borderId="0" xfId="9" applyNumberFormat="1" applyFont="1"/>
    <xf numFmtId="3" fontId="3" fillId="0" borderId="2" xfId="9" applyNumberFormat="1" applyBorder="1" applyAlignment="1">
      <alignment horizontal="right"/>
    </xf>
    <xf numFmtId="0" fontId="9" fillId="0" borderId="0" xfId="9" applyFont="1"/>
    <xf numFmtId="0" fontId="9" fillId="0" borderId="22" xfId="9" applyFont="1" applyBorder="1"/>
    <xf numFmtId="3" fontId="9" fillId="0" borderId="0" xfId="9" applyNumberFormat="1" applyFont="1" applyBorder="1" applyAlignment="1">
      <alignment horizontal="center"/>
    </xf>
    <xf numFmtId="3" fontId="9" fillId="0" borderId="0" xfId="9" applyNumberFormat="1" applyFont="1" applyBorder="1" applyAlignment="1">
      <alignment horizontal="centerContinuous"/>
    </xf>
    <xf numFmtId="3" fontId="9" fillId="0" borderId="0" xfId="9" quotePrefix="1" applyNumberFormat="1" applyFont="1" applyBorder="1" applyAlignment="1">
      <alignment horizontal="center"/>
    </xf>
    <xf numFmtId="3" fontId="9" fillId="0" borderId="0" xfId="9" quotePrefix="1" applyNumberFormat="1" applyFont="1" applyBorder="1" applyAlignment="1">
      <alignment horizontal="centerContinuous"/>
    </xf>
    <xf numFmtId="3" fontId="9" fillId="0" borderId="0" xfId="9" applyNumberFormat="1" applyFont="1" applyFill="1" applyBorder="1" applyAlignment="1">
      <alignment horizontal="center"/>
    </xf>
    <xf numFmtId="3" fontId="9" fillId="0" borderId="0" xfId="9" applyNumberFormat="1" applyFont="1" applyBorder="1" applyAlignment="1">
      <alignment horizontal="right"/>
    </xf>
    <xf numFmtId="3" fontId="3" fillId="0" borderId="0" xfId="9" applyNumberFormat="1" applyBorder="1"/>
    <xf numFmtId="3" fontId="7" fillId="0" borderId="0" xfId="9" applyNumberFormat="1" applyFont="1" applyBorder="1" applyAlignment="1">
      <alignment horizontal="right"/>
    </xf>
    <xf numFmtId="0" fontId="7" fillId="0" borderId="0" xfId="9" applyFont="1" applyBorder="1"/>
    <xf numFmtId="0" fontId="7" fillId="0" borderId="0" xfId="9" applyFont="1" applyBorder="1" applyAlignment="1">
      <alignment horizontal="left"/>
    </xf>
    <xf numFmtId="0" fontId="3" fillId="0" borderId="0" xfId="9" applyBorder="1"/>
    <xf numFmtId="3" fontId="3" fillId="0" borderId="0" xfId="9" applyNumberFormat="1" applyBorder="1" applyAlignment="1">
      <alignment horizontal="right"/>
    </xf>
    <xf numFmtId="0" fontId="9" fillId="0" borderId="0" xfId="9" applyFont="1" applyBorder="1"/>
    <xf numFmtId="0" fontId="9" fillId="0" borderId="12" xfId="9" applyFont="1" applyBorder="1"/>
    <xf numFmtId="0" fontId="3" fillId="0" borderId="19" xfId="9" applyBorder="1"/>
    <xf numFmtId="187" fontId="3" fillId="0" borderId="0" xfId="9" applyNumberFormat="1"/>
    <xf numFmtId="187" fontId="7" fillId="0" borderId="0" xfId="9" applyNumberFormat="1" applyFont="1" applyBorder="1" applyAlignment="1">
      <alignment horizontal="right"/>
    </xf>
    <xf numFmtId="3" fontId="9" fillId="0" borderId="12" xfId="9" applyNumberFormat="1" applyFont="1" applyBorder="1" applyAlignment="1">
      <alignment horizontal="right"/>
    </xf>
    <xf numFmtId="187" fontId="3" fillId="0" borderId="2" xfId="9" applyNumberFormat="1" applyBorder="1"/>
    <xf numFmtId="3" fontId="3" fillId="0" borderId="19" xfId="9" applyNumberFormat="1" applyBorder="1" applyAlignment="1">
      <alignment horizontal="right"/>
    </xf>
    <xf numFmtId="3" fontId="3" fillId="0" borderId="0" xfId="9" applyNumberFormat="1" applyFont="1"/>
    <xf numFmtId="0" fontId="9" fillId="0" borderId="2" xfId="9" applyFont="1" applyBorder="1" applyAlignment="1">
      <alignment horizontal="right"/>
    </xf>
    <xf numFmtId="3" fontId="9" fillId="0" borderId="0" xfId="9" quotePrefix="1" applyNumberFormat="1" applyFont="1" applyFill="1" applyBorder="1" applyAlignment="1">
      <alignment horizontal="center"/>
    </xf>
    <xf numFmtId="0" fontId="9" fillId="0" borderId="18" xfId="9" applyFont="1" applyBorder="1" applyAlignment="1">
      <alignment horizontal="right"/>
    </xf>
    <xf numFmtId="0" fontId="7" fillId="0" borderId="18" xfId="9" applyFont="1" applyBorder="1" applyAlignment="1">
      <alignment horizontal="right"/>
    </xf>
    <xf numFmtId="0" fontId="7" fillId="0" borderId="19" xfId="9" applyFont="1" applyBorder="1" applyAlignment="1">
      <alignment horizontal="right"/>
    </xf>
    <xf numFmtId="0" fontId="7" fillId="0" borderId="21" xfId="9" applyFont="1" applyBorder="1" applyAlignment="1">
      <alignment horizontal="right"/>
    </xf>
    <xf numFmtId="0" fontId="9" fillId="0" borderId="22" xfId="9" applyFont="1" applyBorder="1" applyAlignment="1">
      <alignment horizontal="right"/>
    </xf>
    <xf numFmtId="0" fontId="3" fillId="0" borderId="18" xfId="9" applyBorder="1"/>
    <xf numFmtId="0" fontId="9" fillId="0" borderId="0" xfId="9" applyFont="1" applyBorder="1" applyAlignment="1">
      <alignment horizontal="right"/>
    </xf>
    <xf numFmtId="187" fontId="7" fillId="0" borderId="19" xfId="9" applyNumberFormat="1" applyFont="1" applyBorder="1" applyAlignment="1">
      <alignment horizontal="right"/>
    </xf>
    <xf numFmtId="187" fontId="9" fillId="0" borderId="2" xfId="9" applyNumberFormat="1" applyFont="1" applyBorder="1" applyAlignment="1">
      <alignment horizontal="right"/>
    </xf>
    <xf numFmtId="0" fontId="9" fillId="0" borderId="12" xfId="10" applyFont="1" applyBorder="1" applyAlignment="1">
      <alignment horizontal="center"/>
    </xf>
    <xf numFmtId="0" fontId="9" fillId="0" borderId="8" xfId="10" applyFont="1" applyBorder="1" applyAlignment="1">
      <alignment horizontal="centerContinuous"/>
    </xf>
    <xf numFmtId="0" fontId="3" fillId="0" borderId="8" xfId="10" applyBorder="1" applyAlignment="1">
      <alignment horizontal="centerContinuous"/>
    </xf>
    <xf numFmtId="0" fontId="3" fillId="0" borderId="13" xfId="10" applyBorder="1" applyAlignment="1">
      <alignment horizontal="centerContinuous"/>
    </xf>
    <xf numFmtId="0" fontId="9" fillId="0" borderId="14" xfId="10" applyFont="1" applyBorder="1" applyAlignment="1">
      <alignment horizontal="centerContinuous"/>
    </xf>
    <xf numFmtId="0" fontId="3" fillId="0" borderId="15" xfId="10" applyBorder="1" applyAlignment="1">
      <alignment horizontal="centerContinuous"/>
    </xf>
    <xf numFmtId="0" fontId="3" fillId="0" borderId="16" xfId="10" applyBorder="1" applyAlignment="1">
      <alignment horizontal="centerContinuous"/>
    </xf>
    <xf numFmtId="0" fontId="3" fillId="0" borderId="0" xfId="10"/>
    <xf numFmtId="3" fontId="3" fillId="0" borderId="0" xfId="10" applyNumberFormat="1"/>
    <xf numFmtId="0" fontId="9" fillId="0" borderId="2" xfId="10" applyFont="1" applyBorder="1" applyAlignment="1">
      <alignment horizontal="center"/>
    </xf>
    <xf numFmtId="0" fontId="9" fillId="0" borderId="2" xfId="10" quotePrefix="1" applyFont="1" applyBorder="1" applyAlignment="1">
      <alignment horizontal="center"/>
    </xf>
    <xf numFmtId="17" fontId="9" fillId="0" borderId="17" xfId="10" quotePrefix="1" applyNumberFormat="1" applyFont="1" applyBorder="1" applyAlignment="1">
      <alignment horizontal="centerContinuous"/>
    </xf>
    <xf numFmtId="0" fontId="9" fillId="0" borderId="0" xfId="10" applyFont="1" applyBorder="1" applyAlignment="1">
      <alignment horizontal="centerContinuous"/>
    </xf>
    <xf numFmtId="0" fontId="9" fillId="0" borderId="18" xfId="10" applyFont="1" applyBorder="1" applyAlignment="1">
      <alignment horizontal="centerContinuous"/>
    </xf>
    <xf numFmtId="0" fontId="9" fillId="0" borderId="2" xfId="10" applyFont="1" applyBorder="1" applyAlignment="1">
      <alignment horizontal="centerContinuous"/>
    </xf>
    <xf numFmtId="0" fontId="9" fillId="0" borderId="0" xfId="10" applyFont="1"/>
    <xf numFmtId="17" fontId="9" fillId="0" borderId="19" xfId="10" quotePrefix="1" applyNumberFormat="1" applyFont="1" applyBorder="1" applyAlignment="1">
      <alignment horizontal="center"/>
    </xf>
    <xf numFmtId="0" fontId="9" fillId="0" borderId="20" xfId="10" quotePrefix="1" applyFont="1" applyBorder="1" applyAlignment="1">
      <alignment horizontal="centerContinuous"/>
    </xf>
    <xf numFmtId="0" fontId="9" fillId="0" borderId="6" xfId="10" quotePrefix="1" applyFont="1" applyBorder="1" applyAlignment="1">
      <alignment horizontal="centerContinuous"/>
    </xf>
    <xf numFmtId="0" fontId="9" fillId="0" borderId="21" xfId="10" applyFont="1" applyBorder="1" applyAlignment="1">
      <alignment horizontal="centerContinuous"/>
    </xf>
    <xf numFmtId="0" fontId="9" fillId="0" borderId="19" xfId="10" quotePrefix="1" applyFont="1" applyBorder="1" applyAlignment="1">
      <alignment horizontal="center"/>
    </xf>
    <xf numFmtId="0" fontId="9" fillId="0" borderId="17" xfId="10" applyFont="1" applyBorder="1" applyAlignment="1">
      <alignment horizontal="centerContinuous"/>
    </xf>
    <xf numFmtId="0" fontId="9" fillId="0" borderId="12" xfId="10" applyFont="1" applyBorder="1" applyAlignment="1">
      <alignment horizontal="centerContinuous"/>
    </xf>
    <xf numFmtId="0" fontId="9" fillId="0" borderId="17" xfId="10" applyFont="1" applyBorder="1" applyAlignment="1">
      <alignment horizontal="center"/>
    </xf>
    <xf numFmtId="0" fontId="9" fillId="0" borderId="19" xfId="10" applyFont="1" applyBorder="1"/>
    <xf numFmtId="0" fontId="9" fillId="0" borderId="20" xfId="10" applyFont="1" applyFill="1" applyBorder="1" applyAlignment="1">
      <alignment horizontal="center"/>
    </xf>
    <xf numFmtId="0" fontId="9" fillId="0" borderId="19" xfId="10" applyFont="1" applyBorder="1" applyAlignment="1">
      <alignment horizontal="center"/>
    </xf>
    <xf numFmtId="0" fontId="9" fillId="0" borderId="19" xfId="10" applyFont="1" applyFill="1" applyBorder="1" applyAlignment="1">
      <alignment horizontal="center"/>
    </xf>
    <xf numFmtId="0" fontId="22" fillId="0" borderId="2" xfId="10" applyFont="1" applyBorder="1"/>
    <xf numFmtId="0" fontId="9" fillId="0" borderId="2" xfId="10" applyFont="1" applyBorder="1"/>
    <xf numFmtId="188" fontId="9" fillId="0" borderId="0" xfId="10" quotePrefix="1" applyNumberFormat="1" applyFont="1" applyFill="1" applyBorder="1" applyAlignment="1">
      <alignment horizontal="center"/>
    </xf>
    <xf numFmtId="3" fontId="9" fillId="0" borderId="0" xfId="10" quotePrefix="1" applyNumberFormat="1" applyFont="1" applyAlignment="1">
      <alignment horizontal="center"/>
    </xf>
    <xf numFmtId="0" fontId="7" fillId="0" borderId="2" xfId="10" applyFont="1" applyBorder="1"/>
    <xf numFmtId="188" fontId="7" fillId="0" borderId="2" xfId="10" applyNumberFormat="1" applyFont="1" applyBorder="1" applyAlignment="1">
      <alignment horizontal="right"/>
    </xf>
    <xf numFmtId="0" fontId="3" fillId="0" borderId="2" xfId="10" applyBorder="1" applyAlignment="1">
      <alignment horizontal="left"/>
    </xf>
    <xf numFmtId="3" fontId="9" fillId="0" borderId="0" xfId="10" applyNumberFormat="1" applyFont="1"/>
    <xf numFmtId="188" fontId="7" fillId="0" borderId="2" xfId="10" applyNumberFormat="1" applyFont="1" applyFill="1" applyBorder="1" applyAlignment="1">
      <alignment horizontal="right"/>
    </xf>
    <xf numFmtId="0" fontId="3" fillId="0" borderId="2" xfId="10" applyFill="1" applyBorder="1" applyAlignment="1">
      <alignment horizontal="left"/>
    </xf>
    <xf numFmtId="188" fontId="24" fillId="0" borderId="2" xfId="10" applyNumberFormat="1" applyFont="1" applyFill="1" applyBorder="1" applyAlignment="1">
      <alignment horizontal="right"/>
    </xf>
    <xf numFmtId="0" fontId="7" fillId="0" borderId="2" xfId="10" applyFont="1" applyBorder="1" applyAlignment="1">
      <alignment horizontal="right"/>
    </xf>
    <xf numFmtId="0" fontId="3" fillId="0" borderId="2" xfId="10" applyBorder="1"/>
    <xf numFmtId="0" fontId="7" fillId="0" borderId="19" xfId="10" applyFont="1" applyBorder="1" applyAlignment="1">
      <alignment horizontal="right"/>
    </xf>
    <xf numFmtId="0" fontId="9" fillId="0" borderId="22" xfId="10" applyFont="1" applyBorder="1" applyAlignment="1">
      <alignment horizontal="left"/>
    </xf>
    <xf numFmtId="188" fontId="3" fillId="0" borderId="0" xfId="10" applyNumberFormat="1"/>
    <xf numFmtId="0" fontId="22" fillId="0" borderId="0" xfId="10" applyFont="1"/>
    <xf numFmtId="0" fontId="7" fillId="0" borderId="0" xfId="10" applyFont="1"/>
    <xf numFmtId="0" fontId="3" fillId="0" borderId="2" xfId="10" applyFont="1" applyBorder="1" applyAlignment="1">
      <alignment horizontal="left"/>
    </xf>
    <xf numFmtId="0" fontId="3" fillId="0" borderId="0" xfId="10" applyFont="1"/>
    <xf numFmtId="0" fontId="3" fillId="0" borderId="12" xfId="10" applyBorder="1"/>
    <xf numFmtId="3" fontId="9" fillId="0" borderId="2" xfId="10" applyNumberFormat="1" applyFont="1" applyBorder="1" applyAlignment="1">
      <alignment horizontal="right"/>
    </xf>
    <xf numFmtId="0" fontId="7" fillId="0" borderId="2" xfId="10" applyFont="1" applyBorder="1" applyAlignment="1">
      <alignment horizontal="left"/>
    </xf>
    <xf numFmtId="3" fontId="7" fillId="0" borderId="2" xfId="10" applyNumberFormat="1" applyFont="1" applyBorder="1" applyAlignment="1">
      <alignment horizontal="right"/>
    </xf>
    <xf numFmtId="3" fontId="9" fillId="0" borderId="0" xfId="10" applyNumberFormat="1" applyFont="1" applyFill="1" applyBorder="1" applyAlignment="1">
      <alignment horizontal="left"/>
    </xf>
    <xf numFmtId="3" fontId="3" fillId="0" borderId="2" xfId="10" applyNumberFormat="1" applyBorder="1" applyAlignment="1">
      <alignment horizontal="right"/>
    </xf>
    <xf numFmtId="0" fontId="9" fillId="0" borderId="22" xfId="10" applyFont="1" applyBorder="1"/>
    <xf numFmtId="3" fontId="9" fillId="0" borderId="0" xfId="10" applyNumberFormat="1" applyFont="1" applyBorder="1" applyAlignment="1">
      <alignment horizontal="center"/>
    </xf>
    <xf numFmtId="3" fontId="9" fillId="0" borderId="0" xfId="10" applyNumberFormat="1" applyFont="1" applyBorder="1" applyAlignment="1">
      <alignment horizontal="centerContinuous"/>
    </xf>
    <xf numFmtId="3" fontId="9" fillId="0" borderId="0" xfId="10" quotePrefix="1" applyNumberFormat="1" applyFont="1" applyBorder="1" applyAlignment="1">
      <alignment horizontal="center"/>
    </xf>
    <xf numFmtId="3" fontId="9" fillId="0" borderId="0" xfId="10" quotePrefix="1" applyNumberFormat="1" applyFont="1" applyBorder="1" applyAlignment="1">
      <alignment horizontal="centerContinuous"/>
    </xf>
    <xf numFmtId="3" fontId="9" fillId="0" borderId="0" xfId="10" applyNumberFormat="1" applyFont="1" applyFill="1" applyBorder="1" applyAlignment="1">
      <alignment horizontal="center"/>
    </xf>
    <xf numFmtId="3" fontId="9" fillId="0" borderId="0" xfId="10" applyNumberFormat="1" applyFont="1" applyBorder="1" applyAlignment="1">
      <alignment horizontal="right"/>
    </xf>
    <xf numFmtId="0" fontId="7" fillId="0" borderId="0" xfId="10" applyFont="1" applyBorder="1" applyAlignment="1">
      <alignment horizontal="left"/>
    </xf>
    <xf numFmtId="3" fontId="3" fillId="0" borderId="0" xfId="10" applyNumberFormat="1" applyBorder="1"/>
    <xf numFmtId="3" fontId="7" fillId="0" borderId="0" xfId="10" applyNumberFormat="1" applyFont="1" applyBorder="1" applyAlignment="1">
      <alignment horizontal="right"/>
    </xf>
    <xf numFmtId="0" fontId="3" fillId="0" borderId="0" xfId="10" applyBorder="1"/>
    <xf numFmtId="3" fontId="3" fillId="0" borderId="0" xfId="10" applyNumberFormat="1" applyBorder="1" applyAlignment="1">
      <alignment horizontal="right"/>
    </xf>
    <xf numFmtId="0" fontId="9" fillId="0" borderId="0" xfId="10" applyFont="1" applyBorder="1"/>
    <xf numFmtId="3" fontId="9" fillId="0" borderId="12" xfId="10" applyNumberFormat="1" applyFont="1" applyBorder="1" applyAlignment="1">
      <alignment horizontal="right"/>
    </xf>
    <xf numFmtId="187" fontId="9" fillId="0" borderId="22" xfId="9" applyNumberFormat="1" applyFont="1" applyBorder="1"/>
    <xf numFmtId="187" fontId="9" fillId="0" borderId="15" xfId="9" applyNumberFormat="1" applyFont="1" applyBorder="1"/>
    <xf numFmtId="0" fontId="3" fillId="0" borderId="18" xfId="10" applyBorder="1"/>
    <xf numFmtId="3" fontId="3" fillId="0" borderId="2" xfId="10" applyNumberFormat="1" applyBorder="1"/>
    <xf numFmtId="0" fontId="3" fillId="0" borderId="18" xfId="10" applyFont="1" applyBorder="1"/>
    <xf numFmtId="0" fontId="9" fillId="0" borderId="0" xfId="10" applyFont="1" applyFill="1" applyBorder="1" applyAlignment="1">
      <alignment horizontal="left"/>
    </xf>
    <xf numFmtId="0" fontId="3" fillId="0" borderId="19" xfId="10" applyBorder="1"/>
    <xf numFmtId="0" fontId="9" fillId="0" borderId="2" xfId="10" applyFont="1" applyBorder="1" applyAlignment="1">
      <alignment horizontal="right"/>
    </xf>
    <xf numFmtId="3" fontId="9" fillId="0" borderId="0" xfId="10" quotePrefix="1" applyNumberFormat="1" applyFont="1" applyFill="1" applyBorder="1" applyAlignment="1">
      <alignment horizontal="center"/>
    </xf>
    <xf numFmtId="0" fontId="9" fillId="0" borderId="18" xfId="10" applyFont="1" applyBorder="1" applyAlignment="1">
      <alignment horizontal="right"/>
    </xf>
    <xf numFmtId="0" fontId="7" fillId="0" borderId="18" xfId="10" applyFont="1" applyBorder="1" applyAlignment="1">
      <alignment horizontal="right"/>
    </xf>
    <xf numFmtId="0" fontId="9" fillId="0" borderId="22" xfId="10" applyFont="1" applyBorder="1" applyAlignment="1">
      <alignment horizontal="right"/>
    </xf>
    <xf numFmtId="0" fontId="9" fillId="0" borderId="16" xfId="10" applyFont="1" applyBorder="1" applyAlignment="1">
      <alignment horizontal="right"/>
    </xf>
    <xf numFmtId="0" fontId="7" fillId="0" borderId="0" xfId="10" applyFont="1" applyBorder="1"/>
    <xf numFmtId="0" fontId="9" fillId="0" borderId="0" xfId="10" applyFont="1" applyBorder="1" applyAlignment="1">
      <alignment horizontal="right"/>
    </xf>
    <xf numFmtId="0" fontId="9" fillId="0" borderId="0" xfId="10" applyFont="1" applyFill="1" applyBorder="1" applyAlignment="1">
      <alignment horizontal="right"/>
    </xf>
    <xf numFmtId="0" fontId="9" fillId="0" borderId="23" xfId="10" applyFont="1" applyBorder="1" applyAlignment="1">
      <alignment horizontal="center"/>
    </xf>
    <xf numFmtId="0" fontId="3" fillId="0" borderId="24" xfId="10" applyBorder="1" applyAlignment="1">
      <alignment horizontal="centerContinuous"/>
    </xf>
    <xf numFmtId="17" fontId="3" fillId="0" borderId="24" xfId="10" applyNumberFormat="1" applyBorder="1" applyAlignment="1">
      <alignment horizontal="centerContinuous"/>
    </xf>
    <xf numFmtId="0" fontId="3" fillId="0" borderId="25" xfId="10" applyBorder="1" applyAlignment="1">
      <alignment horizontal="centerContinuous"/>
    </xf>
    <xf numFmtId="0" fontId="9" fillId="0" borderId="26" xfId="10" applyFont="1" applyBorder="1"/>
    <xf numFmtId="0" fontId="3" fillId="0" borderId="27" xfId="10" applyBorder="1" applyAlignment="1">
      <alignment horizontal="centerContinuous"/>
    </xf>
    <xf numFmtId="0" fontId="3" fillId="0" borderId="28" xfId="10" applyBorder="1" applyAlignment="1">
      <alignment horizontal="center"/>
    </xf>
    <xf numFmtId="0" fontId="3" fillId="0" borderId="14" xfId="10" applyBorder="1" applyAlignment="1">
      <alignment horizontal="centerContinuous"/>
    </xf>
    <xf numFmtId="0" fontId="9" fillId="0" borderId="26" xfId="10" applyFont="1" applyBorder="1" applyAlignment="1">
      <alignment horizontal="center"/>
    </xf>
    <xf numFmtId="0" fontId="3" fillId="0" borderId="29" xfId="10" applyBorder="1" applyAlignment="1">
      <alignment horizontal="center"/>
    </xf>
    <xf numFmtId="0" fontId="3" fillId="0" borderId="12" xfId="10" applyBorder="1" applyAlignment="1">
      <alignment horizontal="center"/>
    </xf>
    <xf numFmtId="0" fontId="3" fillId="0" borderId="18" xfId="10" applyBorder="1" applyAlignment="1">
      <alignment horizontal="center"/>
    </xf>
    <xf numFmtId="0" fontId="3" fillId="0" borderId="0" xfId="10" applyBorder="1" applyAlignment="1">
      <alignment horizontal="center"/>
    </xf>
    <xf numFmtId="0" fontId="3" fillId="0" borderId="30" xfId="10" applyBorder="1" applyAlignment="1">
      <alignment horizontal="center"/>
    </xf>
    <xf numFmtId="0" fontId="3" fillId="0" borderId="10" xfId="10" applyBorder="1"/>
    <xf numFmtId="0" fontId="3" fillId="0" borderId="2" xfId="10" applyBorder="1" applyAlignment="1">
      <alignment horizontal="center"/>
    </xf>
    <xf numFmtId="0" fontId="3" fillId="0" borderId="10" xfId="10" applyBorder="1" applyAlignment="1">
      <alignment horizontal="center"/>
    </xf>
    <xf numFmtId="0" fontId="9" fillId="0" borderId="31" xfId="10" applyFont="1" applyBorder="1" applyAlignment="1">
      <alignment horizontal="center"/>
    </xf>
    <xf numFmtId="0" fontId="3" fillId="0" borderId="32" xfId="10" applyBorder="1" applyAlignment="1">
      <alignment horizontal="center"/>
    </xf>
    <xf numFmtId="0" fontId="3" fillId="0" borderId="3" xfId="10" applyBorder="1" applyAlignment="1">
      <alignment horizontal="center"/>
    </xf>
    <xf numFmtId="0" fontId="3" fillId="0" borderId="33" xfId="10" applyBorder="1" applyAlignment="1">
      <alignment horizontal="center"/>
    </xf>
    <xf numFmtId="0" fontId="3" fillId="0" borderId="34" xfId="10" applyBorder="1" applyAlignment="1">
      <alignment horizontal="center"/>
    </xf>
    <xf numFmtId="0" fontId="3" fillId="0" borderId="26" xfId="10" applyBorder="1"/>
    <xf numFmtId="0" fontId="3" fillId="0" borderId="35" xfId="10" applyBorder="1"/>
    <xf numFmtId="0" fontId="3" fillId="0" borderId="1" xfId="10" applyBorder="1"/>
    <xf numFmtId="0" fontId="3" fillId="0" borderId="36" xfId="10" applyBorder="1"/>
    <xf numFmtId="0" fontId="3" fillId="0" borderId="24" xfId="10" applyBorder="1"/>
    <xf numFmtId="0" fontId="3" fillId="0" borderId="25" xfId="10" applyBorder="1"/>
    <xf numFmtId="0" fontId="3" fillId="0" borderId="37" xfId="10" applyBorder="1"/>
    <xf numFmtId="0" fontId="3" fillId="0" borderId="38" xfId="10" applyBorder="1"/>
    <xf numFmtId="0" fontId="3" fillId="0" borderId="39" xfId="10" applyBorder="1"/>
    <xf numFmtId="0" fontId="3" fillId="0" borderId="26" xfId="10" applyBorder="1" applyAlignment="1">
      <alignment horizontal="left" indent="1"/>
    </xf>
    <xf numFmtId="0" fontId="3" fillId="0" borderId="26" xfId="10" applyFill="1" applyBorder="1" applyAlignment="1">
      <alignment horizontal="left" indent="1"/>
    </xf>
    <xf numFmtId="0" fontId="3" fillId="0" borderId="32" xfId="10" applyBorder="1"/>
    <xf numFmtId="0" fontId="3" fillId="0" borderId="3" xfId="10" applyBorder="1"/>
    <xf numFmtId="0" fontId="3" fillId="0" borderId="33" xfId="10" applyBorder="1"/>
    <xf numFmtId="0" fontId="22" fillId="0" borderId="0" xfId="10" applyFont="1" applyFill="1" applyBorder="1" applyAlignment="1">
      <alignment horizontal="left"/>
    </xf>
    <xf numFmtId="0" fontId="7" fillId="0" borderId="0" xfId="10" applyFont="1" applyFill="1" applyBorder="1"/>
    <xf numFmtId="0" fontId="22" fillId="0" borderId="17" xfId="10" applyFont="1" applyBorder="1"/>
    <xf numFmtId="0" fontId="3" fillId="0" borderId="17" xfId="10" applyBorder="1"/>
    <xf numFmtId="0" fontId="3" fillId="0" borderId="17" xfId="10" applyFill="1" applyBorder="1"/>
    <xf numFmtId="0" fontId="7" fillId="0" borderId="0" xfId="10" applyFont="1" applyAlignment="1">
      <alignment horizontal="left"/>
    </xf>
    <xf numFmtId="3" fontId="7" fillId="0" borderId="19" xfId="10" applyNumberFormat="1" applyFont="1" applyBorder="1"/>
    <xf numFmtId="0" fontId="9" fillId="0" borderId="22" xfId="10" applyFont="1" applyFill="1" applyBorder="1"/>
    <xf numFmtId="0" fontId="9" fillId="0" borderId="0" xfId="10" applyFont="1" applyAlignment="1">
      <alignment horizontal="left"/>
    </xf>
    <xf numFmtId="3" fontId="7" fillId="0" borderId="0" xfId="10" applyNumberFormat="1" applyFont="1"/>
    <xf numFmtId="4" fontId="3" fillId="0" borderId="0" xfId="10" applyNumberFormat="1"/>
    <xf numFmtId="187" fontId="9" fillId="0" borderId="2" xfId="9" applyNumberFormat="1" applyFont="1" applyBorder="1"/>
    <xf numFmtId="0" fontId="3" fillId="0" borderId="17" xfId="10" applyFont="1" applyFill="1" applyBorder="1"/>
    <xf numFmtId="16" fontId="3" fillId="0" borderId="35" xfId="10" quotePrefix="1" applyNumberFormat="1" applyFont="1" applyBorder="1" applyAlignment="1">
      <alignment horizontal="centerContinuous"/>
    </xf>
    <xf numFmtId="16" fontId="3" fillId="0" borderId="24" xfId="10" quotePrefix="1" applyNumberFormat="1" applyFont="1" applyBorder="1" applyAlignment="1">
      <alignment horizontal="centerContinuous"/>
    </xf>
    <xf numFmtId="0" fontId="3" fillId="0" borderId="26" xfId="10" applyFont="1" applyBorder="1" applyAlignment="1">
      <alignment horizontal="left" indent="1"/>
    </xf>
    <xf numFmtId="3" fontId="3" fillId="0" borderId="18" xfId="10" applyNumberFormat="1" applyBorder="1"/>
    <xf numFmtId="187" fontId="9" fillId="0" borderId="40" xfId="10" applyNumberFormat="1" applyFont="1" applyBorder="1"/>
    <xf numFmtId="0" fontId="9" fillId="0" borderId="41" xfId="10" applyFont="1" applyBorder="1"/>
    <xf numFmtId="187" fontId="9" fillId="0" borderId="42" xfId="10" applyNumberFormat="1" applyFont="1" applyBorder="1"/>
    <xf numFmtId="187" fontId="3" fillId="0" borderId="2" xfId="10" applyNumberFormat="1" applyBorder="1"/>
    <xf numFmtId="0" fontId="3" fillId="0" borderId="43" xfId="10" applyBorder="1"/>
    <xf numFmtId="187" fontId="9" fillId="0" borderId="44" xfId="10" applyNumberFormat="1" applyFont="1" applyBorder="1"/>
    <xf numFmtId="187" fontId="9" fillId="0" borderId="45" xfId="10" applyNumberFormat="1" applyFont="1" applyBorder="1"/>
    <xf numFmtId="187" fontId="3" fillId="0" borderId="30" xfId="10" applyNumberFormat="1" applyBorder="1"/>
    <xf numFmtId="187" fontId="9" fillId="0" borderId="46" xfId="10" applyNumberFormat="1" applyFont="1" applyBorder="1"/>
    <xf numFmtId="187" fontId="9" fillId="0" borderId="47" xfId="10" applyNumberFormat="1" applyFont="1" applyBorder="1"/>
    <xf numFmtId="187" fontId="9" fillId="0" borderId="48" xfId="10" applyNumberFormat="1" applyFont="1" applyBorder="1"/>
    <xf numFmtId="0" fontId="3" fillId="0" borderId="12" xfId="11" applyBorder="1"/>
    <xf numFmtId="0" fontId="9" fillId="0" borderId="12" xfId="11" applyFont="1" applyBorder="1" applyAlignment="1">
      <alignment horizontal="center"/>
    </xf>
    <xf numFmtId="0" fontId="9" fillId="0" borderId="8" xfId="11" applyFont="1" applyBorder="1" applyAlignment="1">
      <alignment horizontal="centerContinuous"/>
    </xf>
    <xf numFmtId="0" fontId="3" fillId="0" borderId="8" xfId="11" applyBorder="1" applyAlignment="1">
      <alignment horizontal="centerContinuous"/>
    </xf>
    <xf numFmtId="0" fontId="3" fillId="0" borderId="13" xfId="11" applyBorder="1" applyAlignment="1">
      <alignment horizontal="centerContinuous"/>
    </xf>
    <xf numFmtId="0" fontId="9" fillId="0" borderId="14" xfId="11" applyFont="1" applyBorder="1" applyAlignment="1">
      <alignment horizontal="centerContinuous"/>
    </xf>
    <xf numFmtId="0" fontId="3" fillId="0" borderId="15" xfId="11" applyBorder="1" applyAlignment="1">
      <alignment horizontal="centerContinuous"/>
    </xf>
    <xf numFmtId="0" fontId="3" fillId="0" borderId="16" xfId="11" applyBorder="1" applyAlignment="1">
      <alignment horizontal="centerContinuous"/>
    </xf>
    <xf numFmtId="0" fontId="3" fillId="0" borderId="0" xfId="11"/>
    <xf numFmtId="0" fontId="9" fillId="0" borderId="2" xfId="11" applyFont="1" applyBorder="1" applyAlignment="1">
      <alignment horizontal="center"/>
    </xf>
    <xf numFmtId="0" fontId="9" fillId="0" borderId="2" xfId="11" quotePrefix="1" applyFont="1" applyBorder="1" applyAlignment="1">
      <alignment horizontal="center"/>
    </xf>
    <xf numFmtId="17" fontId="9" fillId="0" borderId="17" xfId="11" quotePrefix="1" applyNumberFormat="1" applyFont="1" applyBorder="1" applyAlignment="1">
      <alignment horizontal="centerContinuous"/>
    </xf>
    <xf numFmtId="0" fontId="9" fillId="0" borderId="0" xfId="11" applyFont="1" applyBorder="1" applyAlignment="1">
      <alignment horizontal="centerContinuous"/>
    </xf>
    <xf numFmtId="0" fontId="9" fillId="0" borderId="18" xfId="11" applyFont="1" applyBorder="1" applyAlignment="1">
      <alignment horizontal="centerContinuous"/>
    </xf>
    <xf numFmtId="0" fontId="9" fillId="0" borderId="2" xfId="11" applyFont="1" applyBorder="1" applyAlignment="1">
      <alignment horizontal="centerContinuous"/>
    </xf>
    <xf numFmtId="0" fontId="9" fillId="0" borderId="2" xfId="11" applyFont="1" applyBorder="1"/>
    <xf numFmtId="17" fontId="9" fillId="0" borderId="19" xfId="11" quotePrefix="1" applyNumberFormat="1" applyFont="1" applyBorder="1" applyAlignment="1">
      <alignment horizontal="center"/>
    </xf>
    <xf numFmtId="0" fontId="9" fillId="0" borderId="20" xfId="11" quotePrefix="1" applyFont="1" applyBorder="1" applyAlignment="1">
      <alignment horizontal="centerContinuous"/>
    </xf>
    <xf numFmtId="0" fontId="9" fillId="0" borderId="6" xfId="11" quotePrefix="1" applyFont="1" applyBorder="1" applyAlignment="1">
      <alignment horizontal="centerContinuous"/>
    </xf>
    <xf numFmtId="0" fontId="9" fillId="0" borderId="21" xfId="11" applyFont="1" applyBorder="1" applyAlignment="1">
      <alignment horizontal="centerContinuous"/>
    </xf>
    <xf numFmtId="0" fontId="9" fillId="0" borderId="19" xfId="11" quotePrefix="1" applyFont="1" applyBorder="1" applyAlignment="1">
      <alignment horizontal="center"/>
    </xf>
    <xf numFmtId="0" fontId="9" fillId="0" borderId="17" xfId="11" applyFont="1" applyBorder="1" applyAlignment="1">
      <alignment horizontal="center"/>
    </xf>
    <xf numFmtId="0" fontId="9" fillId="0" borderId="17" xfId="11" applyFont="1" applyBorder="1" applyAlignment="1">
      <alignment horizontal="centerContinuous"/>
    </xf>
    <xf numFmtId="0" fontId="9" fillId="0" borderId="12" xfId="11" applyFont="1" applyBorder="1" applyAlignment="1">
      <alignment horizontal="centerContinuous"/>
    </xf>
    <xf numFmtId="0" fontId="9" fillId="0" borderId="17" xfId="11" applyFont="1" applyBorder="1"/>
    <xf numFmtId="0" fontId="9" fillId="0" borderId="19" xfId="11" applyFont="1" applyBorder="1"/>
    <xf numFmtId="0" fontId="9" fillId="0" borderId="20" xfId="11" applyFont="1" applyBorder="1"/>
    <xf numFmtId="0" fontId="9" fillId="0" borderId="20" xfId="11" applyFont="1" applyFill="1" applyBorder="1" applyAlignment="1">
      <alignment horizontal="center"/>
    </xf>
    <xf numFmtId="0" fontId="9" fillId="0" borderId="19" xfId="11" applyFont="1" applyBorder="1" applyAlignment="1">
      <alignment horizontal="center"/>
    </xf>
    <xf numFmtId="0" fontId="9" fillId="0" borderId="19" xfId="11" applyFont="1" applyFill="1" applyBorder="1" applyAlignment="1">
      <alignment horizontal="center"/>
    </xf>
    <xf numFmtId="0" fontId="19" fillId="0" borderId="2" xfId="11" applyFont="1" applyBorder="1"/>
    <xf numFmtId="3" fontId="3" fillId="0" borderId="2" xfId="11" applyNumberFormat="1" applyBorder="1" applyAlignment="1">
      <alignment horizontal="right"/>
    </xf>
    <xf numFmtId="0" fontId="7" fillId="0" borderId="2" xfId="11" applyFont="1" applyBorder="1"/>
    <xf numFmtId="0" fontId="9" fillId="0" borderId="22" xfId="11" applyFont="1" applyBorder="1"/>
    <xf numFmtId="0" fontId="3" fillId="0" borderId="0" xfId="11" applyBorder="1"/>
    <xf numFmtId="3" fontId="3" fillId="0" borderId="0" xfId="11" applyNumberFormat="1"/>
    <xf numFmtId="0" fontId="22" fillId="0" borderId="0" xfId="11" applyFont="1"/>
    <xf numFmtId="0" fontId="3" fillId="0" borderId="0" xfId="11" applyFill="1" applyBorder="1"/>
    <xf numFmtId="0" fontId="3" fillId="0" borderId="11" xfId="11" applyBorder="1"/>
    <xf numFmtId="0" fontId="3" fillId="0" borderId="2" xfId="11" applyBorder="1" applyAlignment="1">
      <alignment horizontal="right"/>
    </xf>
    <xf numFmtId="0" fontId="9" fillId="0" borderId="22" xfId="11" applyFont="1" applyBorder="1" applyAlignment="1">
      <alignment horizontal="right"/>
    </xf>
    <xf numFmtId="0" fontId="3" fillId="0" borderId="8" xfId="11" applyBorder="1"/>
    <xf numFmtId="0" fontId="9" fillId="0" borderId="0" xfId="11" applyFont="1" applyBorder="1" applyAlignment="1">
      <alignment horizontal="center"/>
    </xf>
    <xf numFmtId="0" fontId="9" fillId="0" borderId="6" xfId="11" applyFont="1" applyBorder="1" applyAlignment="1">
      <alignment horizontal="center"/>
    </xf>
    <xf numFmtId="0" fontId="3" fillId="0" borderId="2" xfId="11" applyBorder="1"/>
    <xf numFmtId="0" fontId="7" fillId="0" borderId="19" xfId="11" applyFont="1" applyBorder="1"/>
    <xf numFmtId="0" fontId="3" fillId="0" borderId="19" xfId="11" applyBorder="1"/>
    <xf numFmtId="0" fontId="3" fillId="0" borderId="6" xfId="11" applyBorder="1"/>
    <xf numFmtId="0" fontId="22" fillId="0" borderId="2" xfId="11" applyFont="1" applyBorder="1"/>
    <xf numFmtId="0" fontId="7" fillId="0" borderId="2" xfId="11" quotePrefix="1" applyFont="1" applyBorder="1"/>
    <xf numFmtId="0" fontId="7" fillId="0" borderId="22" xfId="11" applyFont="1" applyBorder="1"/>
    <xf numFmtId="0" fontId="22" fillId="0" borderId="0" xfId="11" applyFont="1" applyFill="1" applyBorder="1"/>
    <xf numFmtId="0" fontId="3" fillId="0" borderId="0" xfId="12"/>
    <xf numFmtId="0" fontId="9" fillId="0" borderId="0" xfId="12" applyFont="1"/>
    <xf numFmtId="0" fontId="9" fillId="0" borderId="0" xfId="12" quotePrefix="1" applyFont="1"/>
    <xf numFmtId="0" fontId="26" fillId="0" borderId="10" xfId="8" applyFont="1" applyBorder="1"/>
    <xf numFmtId="187" fontId="9" fillId="0" borderId="22" xfId="11" applyNumberFormat="1" applyFont="1" applyBorder="1" applyAlignment="1">
      <alignment horizontal="right"/>
    </xf>
    <xf numFmtId="187" fontId="7" fillId="0" borderId="2" xfId="9" applyNumberFormat="1" applyFont="1" applyBorder="1"/>
    <xf numFmtId="187" fontId="3" fillId="0" borderId="2" xfId="11" applyNumberFormat="1" applyBorder="1" applyAlignment="1">
      <alignment horizontal="right"/>
    </xf>
    <xf numFmtId="0" fontId="12" fillId="0" borderId="37" xfId="8" applyFont="1" applyFill="1" applyBorder="1" applyAlignment="1">
      <alignment horizontal="center"/>
    </xf>
    <xf numFmtId="179" fontId="12" fillId="0" borderId="38" xfId="2" applyNumberFormat="1" applyFont="1" applyFill="1" applyBorder="1" applyAlignment="1">
      <alignment horizontal="center"/>
    </xf>
    <xf numFmtId="0" fontId="12" fillId="0" borderId="39" xfId="8" applyFont="1" applyFill="1" applyBorder="1" applyAlignment="1">
      <alignment horizontal="center"/>
    </xf>
    <xf numFmtId="179" fontId="12" fillId="0" borderId="30" xfId="2" applyNumberFormat="1" applyFont="1" applyFill="1" applyBorder="1" applyAlignment="1">
      <alignment horizontal="center"/>
    </xf>
    <xf numFmtId="0" fontId="12" fillId="0" borderId="32" xfId="8" applyFont="1" applyFill="1" applyBorder="1" applyAlignment="1">
      <alignment horizontal="center"/>
    </xf>
    <xf numFmtId="179" fontId="12" fillId="0" borderId="3" xfId="8" quotePrefix="1" applyNumberFormat="1" applyFont="1" applyFill="1" applyBorder="1" applyAlignment="1">
      <alignment horizontal="center"/>
    </xf>
    <xf numFmtId="179" fontId="12" fillId="0" borderId="3" xfId="2" quotePrefix="1" applyNumberFormat="1" applyFont="1" applyFill="1" applyBorder="1" applyAlignment="1">
      <alignment horizontal="center"/>
    </xf>
    <xf numFmtId="179" fontId="12" fillId="0" borderId="33" xfId="2" applyNumberFormat="1" applyFont="1" applyFill="1" applyBorder="1" applyAlignment="1">
      <alignment horizontal="center"/>
    </xf>
    <xf numFmtId="0" fontId="3" fillId="0" borderId="0" xfId="12" applyFont="1"/>
    <xf numFmtId="4" fontId="0" fillId="0" borderId="0" xfId="0" applyNumberFormat="1"/>
    <xf numFmtId="0" fontId="3" fillId="0" borderId="0" xfId="11" applyFont="1"/>
    <xf numFmtId="0" fontId="9" fillId="0" borderId="13" xfId="11" applyFont="1" applyBorder="1" applyAlignment="1">
      <alignment horizontal="center"/>
    </xf>
    <xf numFmtId="0" fontId="9" fillId="0" borderId="2" xfId="11" applyFont="1" applyBorder="1" applyAlignment="1">
      <alignment horizontal="left"/>
    </xf>
    <xf numFmtId="0" fontId="9" fillId="0" borderId="18" xfId="11" applyFont="1" applyBorder="1" applyAlignment="1">
      <alignment horizontal="center"/>
    </xf>
    <xf numFmtId="0" fontId="9" fillId="0" borderId="21" xfId="11" applyFont="1" applyBorder="1" applyAlignment="1">
      <alignment horizontal="center"/>
    </xf>
    <xf numFmtId="0" fontId="3" fillId="0" borderId="12" xfId="11" applyBorder="1" applyAlignment="1">
      <alignment horizontal="center"/>
    </xf>
    <xf numFmtId="0" fontId="3" fillId="0" borderId="2" xfId="11" applyFont="1" applyBorder="1"/>
    <xf numFmtId="187" fontId="3" fillId="0" borderId="2" xfId="11" applyNumberFormat="1" applyBorder="1"/>
    <xf numFmtId="4" fontId="3" fillId="0" borderId="0" xfId="11" applyNumberFormat="1"/>
    <xf numFmtId="187" fontId="3" fillId="0" borderId="2" xfId="9" applyNumberFormat="1" applyFont="1" applyBorder="1"/>
    <xf numFmtId="187" fontId="9" fillId="0" borderId="22" xfId="11" applyNumberFormat="1" applyFont="1" applyBorder="1"/>
    <xf numFmtId="0" fontId="19" fillId="0" borderId="12" xfId="11" applyFont="1" applyBorder="1"/>
    <xf numFmtId="3" fontId="28" fillId="0" borderId="2" xfId="11" applyNumberFormat="1" applyFont="1" applyBorder="1"/>
    <xf numFmtId="3" fontId="28" fillId="0" borderId="22" xfId="11" applyNumberFormat="1" applyFont="1" applyBorder="1"/>
    <xf numFmtId="3" fontId="29" fillId="0" borderId="2" xfId="11" applyNumberFormat="1" applyFont="1" applyBorder="1"/>
    <xf numFmtId="0" fontId="19" fillId="0" borderId="0" xfId="11" applyFont="1" applyBorder="1"/>
    <xf numFmtId="3" fontId="30" fillId="0" borderId="2" xfId="11" applyNumberFormat="1" applyFont="1" applyBorder="1"/>
    <xf numFmtId="0" fontId="7" fillId="0" borderId="0" xfId="11" applyFont="1"/>
    <xf numFmtId="0" fontId="9" fillId="0" borderId="11" xfId="11" applyFont="1" applyBorder="1" applyAlignment="1">
      <alignment horizontal="centerContinuous"/>
    </xf>
    <xf numFmtId="0" fontId="9" fillId="0" borderId="11" xfId="11" applyFont="1" applyBorder="1" applyAlignment="1">
      <alignment horizontal="center"/>
    </xf>
    <xf numFmtId="0" fontId="9" fillId="0" borderId="17" xfId="11" quotePrefix="1" applyFont="1" applyBorder="1" applyAlignment="1">
      <alignment horizontal="center"/>
    </xf>
    <xf numFmtId="0" fontId="3" fillId="0" borderId="2" xfId="11" applyBorder="1" applyAlignment="1">
      <alignment horizontal="left"/>
    </xf>
    <xf numFmtId="0" fontId="3" fillId="0" borderId="2" xfId="11" applyFill="1" applyBorder="1" applyAlignment="1">
      <alignment horizontal="left"/>
    </xf>
    <xf numFmtId="0" fontId="9" fillId="0" borderId="22" xfId="11" applyFont="1" applyBorder="1" applyAlignment="1">
      <alignment horizontal="left"/>
    </xf>
    <xf numFmtId="0" fontId="3" fillId="0" borderId="2" xfId="11" applyFill="1" applyBorder="1"/>
    <xf numFmtId="0" fontId="9" fillId="0" borderId="12" xfId="11" applyFont="1" applyBorder="1"/>
    <xf numFmtId="0" fontId="9" fillId="0" borderId="19" xfId="11" quotePrefix="1" applyFont="1" applyBorder="1"/>
    <xf numFmtId="0" fontId="3" fillId="0" borderId="2" xfId="11" applyBorder="1" applyAlignment="1">
      <alignment horizontal="left" indent="1"/>
    </xf>
    <xf numFmtId="0" fontId="3" fillId="0" borderId="2" xfId="11" applyBorder="1" applyAlignment="1">
      <alignment horizontal="left" indent="2"/>
    </xf>
    <xf numFmtId="0" fontId="3" fillId="0" borderId="2" xfId="11" applyBorder="1" applyAlignment="1">
      <alignment horizontal="center"/>
    </xf>
    <xf numFmtId="9" fontId="3" fillId="0" borderId="2" xfId="11" applyNumberFormat="1" applyBorder="1" applyAlignment="1">
      <alignment horizontal="center"/>
    </xf>
    <xf numFmtId="0" fontId="3" fillId="0" borderId="19" xfId="11" applyBorder="1" applyAlignment="1">
      <alignment horizontal="left" indent="2"/>
    </xf>
    <xf numFmtId="9" fontId="3" fillId="0" borderId="19" xfId="11" applyNumberFormat="1" applyBorder="1" applyAlignment="1">
      <alignment horizontal="center"/>
    </xf>
    <xf numFmtId="0" fontId="22" fillId="0" borderId="0" xfId="11" applyFont="1" applyFill="1" applyBorder="1" applyAlignment="1">
      <alignment horizontal="left"/>
    </xf>
    <xf numFmtId="0" fontId="3" fillId="0" borderId="0" xfId="11" applyFill="1" applyBorder="1" applyAlignment="1">
      <alignment horizontal="left"/>
    </xf>
    <xf numFmtId="0" fontId="9" fillId="0" borderId="2" xfId="11" applyFont="1" applyBorder="1" applyAlignment="1">
      <alignment horizontal="right"/>
    </xf>
    <xf numFmtId="0" fontId="7" fillId="0" borderId="2" xfId="11" applyFont="1" applyBorder="1" applyAlignment="1">
      <alignment horizontal="left"/>
    </xf>
    <xf numFmtId="0" fontId="9" fillId="0" borderId="0" xfId="11" applyFont="1"/>
    <xf numFmtId="0" fontId="9" fillId="0" borderId="0" xfId="11" applyFont="1" applyBorder="1" applyAlignment="1">
      <alignment horizontal="right"/>
    </xf>
    <xf numFmtId="0" fontId="0" fillId="0" borderId="0" xfId="0" applyAlignment="1">
      <alignment horizontal="center"/>
    </xf>
    <xf numFmtId="0" fontId="0" fillId="0" borderId="18" xfId="0" applyBorder="1"/>
    <xf numFmtId="0" fontId="31" fillId="0" borderId="0" xfId="0" applyFont="1" applyAlignment="1">
      <alignment horizontal="right"/>
    </xf>
    <xf numFmtId="17" fontId="0" fillId="0" borderId="6" xfId="0" applyNumberFormat="1" applyBorder="1"/>
    <xf numFmtId="17" fontId="0" fillId="0" borderId="21" xfId="0" applyNumberFormat="1" applyBorder="1"/>
    <xf numFmtId="0" fontId="31" fillId="0" borderId="6" xfId="0" applyFont="1" applyBorder="1" applyAlignment="1">
      <alignment horizontal="right"/>
    </xf>
    <xf numFmtId="0" fontId="31" fillId="0" borderId="0" xfId="0" applyFont="1"/>
    <xf numFmtId="171" fontId="1" fillId="0" borderId="0" xfId="1" applyFont="1"/>
    <xf numFmtId="171" fontId="1" fillId="0" borderId="18" xfId="1" applyFont="1" applyBorder="1"/>
    <xf numFmtId="171" fontId="32" fillId="0" borderId="0" xfId="1" applyFont="1"/>
    <xf numFmtId="179" fontId="1" fillId="0" borderId="0" xfId="1" applyNumberFormat="1" applyFont="1"/>
    <xf numFmtId="0" fontId="32" fillId="0" borderId="0" xfId="0" applyFont="1"/>
    <xf numFmtId="0" fontId="31" fillId="0" borderId="0" xfId="0" applyFont="1" applyAlignment="1"/>
    <xf numFmtId="43" fontId="1" fillId="0" borderId="0" xfId="1" applyNumberFormat="1" applyFont="1"/>
    <xf numFmtId="43" fontId="1" fillId="0" borderId="18" xfId="1" applyNumberFormat="1" applyFont="1" applyBorder="1"/>
    <xf numFmtId="0" fontId="0" fillId="0" borderId="0" xfId="0" applyAlignment="1"/>
    <xf numFmtId="0" fontId="0" fillId="0" borderId="18" xfId="0" applyBorder="1" applyAlignment="1"/>
    <xf numFmtId="0" fontId="32" fillId="0" borderId="0" xfId="0" applyFont="1" applyAlignment="1"/>
    <xf numFmtId="171" fontId="1" fillId="0" borderId="0" xfId="1"/>
    <xf numFmtId="171" fontId="0" fillId="0" borderId="0" xfId="0" applyNumberFormat="1"/>
    <xf numFmtId="171" fontId="0" fillId="0" borderId="18" xfId="0" applyNumberFormat="1" applyBorder="1"/>
    <xf numFmtId="43" fontId="0" fillId="0" borderId="0" xfId="0" applyNumberFormat="1"/>
    <xf numFmtId="43" fontId="0" fillId="0" borderId="18" xfId="0" applyNumberFormat="1" applyBorder="1"/>
    <xf numFmtId="171" fontId="1" fillId="0" borderId="0" xfId="1" applyNumberFormat="1" applyFont="1"/>
    <xf numFmtId="0" fontId="0" fillId="0" borderId="0" xfId="0" applyBorder="1"/>
    <xf numFmtId="0" fontId="3" fillId="0" borderId="2" xfId="11" applyFont="1" applyBorder="1" applyAlignment="1">
      <alignment horizontal="left"/>
    </xf>
    <xf numFmtId="0" fontId="3" fillId="0" borderId="2" xfId="11" applyFont="1" applyFill="1" applyBorder="1"/>
    <xf numFmtId="180" fontId="0" fillId="0" borderId="0" xfId="0" applyNumberFormat="1"/>
    <xf numFmtId="179" fontId="0" fillId="0" borderId="0" xfId="0" applyNumberFormat="1"/>
    <xf numFmtId="0" fontId="2" fillId="0" borderId="0" xfId="0" applyFont="1"/>
    <xf numFmtId="179" fontId="0" fillId="0" borderId="0" xfId="1" applyNumberFormat="1" applyFont="1"/>
    <xf numFmtId="9" fontId="12" fillId="0" borderId="0" xfId="15" applyFont="1"/>
    <xf numFmtId="3" fontId="3" fillId="0" borderId="17" xfId="11" applyNumberFormat="1" applyFill="1" applyBorder="1" applyAlignment="1">
      <alignment horizontal="right"/>
    </xf>
    <xf numFmtId="43" fontId="3" fillId="0" borderId="0" xfId="14"/>
    <xf numFmtId="43" fontId="9" fillId="0" borderId="0" xfId="14" applyFont="1"/>
    <xf numFmtId="43" fontId="9" fillId="0" borderId="0" xfId="14" applyFont="1" applyAlignment="1">
      <alignment horizontal="right"/>
    </xf>
    <xf numFmtId="17" fontId="3" fillId="0" borderId="0" xfId="14" applyNumberFormat="1"/>
    <xf numFmtId="190" fontId="34" fillId="0" borderId="0" xfId="3" applyNumberFormat="1"/>
    <xf numFmtId="192" fontId="3" fillId="0" borderId="0" xfId="14" applyNumberFormat="1"/>
    <xf numFmtId="191" fontId="3" fillId="0" borderId="0" xfId="14" applyNumberFormat="1"/>
    <xf numFmtId="190" fontId="34" fillId="0" borderId="0" xfId="3" applyNumberFormat="1" applyBorder="1"/>
    <xf numFmtId="171" fontId="2" fillId="0" borderId="0" xfId="1" applyFont="1"/>
    <xf numFmtId="171" fontId="2" fillId="0" borderId="0" xfId="0" applyNumberFormat="1" applyFont="1"/>
    <xf numFmtId="179" fontId="0" fillId="0" borderId="6" xfId="1" applyNumberFormat="1" applyFont="1" applyBorder="1"/>
    <xf numFmtId="179" fontId="32" fillId="0" borderId="0" xfId="1" applyNumberFormat="1" applyFont="1"/>
    <xf numFmtId="0" fontId="35" fillId="0" borderId="0" xfId="13" applyAlignment="1">
      <alignment horizontal="right"/>
    </xf>
    <xf numFmtId="0" fontId="35" fillId="0" borderId="0" xfId="13"/>
    <xf numFmtId="194" fontId="35" fillId="0" borderId="0" xfId="13" applyNumberFormat="1" applyAlignment="1">
      <alignment horizontal="right"/>
    </xf>
    <xf numFmtId="171" fontId="35" fillId="0" borderId="0" xfId="1" applyFont="1" applyAlignment="1">
      <alignment horizontal="right"/>
    </xf>
    <xf numFmtId="179" fontId="35" fillId="0" borderId="0" xfId="1" applyNumberFormat="1" applyFont="1"/>
    <xf numFmtId="171" fontId="35" fillId="0" borderId="0" xfId="1" applyFont="1"/>
    <xf numFmtId="194" fontId="35" fillId="0" borderId="0" xfId="13" applyNumberFormat="1"/>
    <xf numFmtId="0" fontId="35" fillId="0" borderId="0" xfId="13" applyAlignment="1">
      <alignment horizontal="left"/>
    </xf>
    <xf numFmtId="0" fontId="36" fillId="0" borderId="0" xfId="13" applyFont="1"/>
    <xf numFmtId="43" fontId="35" fillId="0" borderId="0" xfId="13" applyNumberFormat="1"/>
    <xf numFmtId="0" fontId="38" fillId="0" borderId="0" xfId="13" applyFont="1" applyAlignment="1">
      <alignment horizontal="right"/>
    </xf>
    <xf numFmtId="171" fontId="38" fillId="0" borderId="0" xfId="1" applyFont="1" applyAlignment="1">
      <alignment horizontal="right"/>
    </xf>
    <xf numFmtId="9" fontId="38" fillId="0" borderId="0" xfId="1" applyNumberFormat="1" applyFont="1"/>
    <xf numFmtId="171" fontId="35" fillId="0" borderId="0" xfId="13" applyNumberFormat="1"/>
    <xf numFmtId="1" fontId="35" fillId="0" borderId="0" xfId="13" applyNumberFormat="1"/>
    <xf numFmtId="171" fontId="36" fillId="0" borderId="0" xfId="1" applyFont="1" applyAlignment="1">
      <alignment horizontal="center"/>
    </xf>
    <xf numFmtId="0" fontId="36" fillId="0" borderId="0" xfId="13" applyFont="1" applyAlignment="1">
      <alignment horizontal="center"/>
    </xf>
    <xf numFmtId="171" fontId="39" fillId="0" borderId="0" xfId="1" applyFont="1" applyAlignment="1">
      <alignment horizontal="right"/>
    </xf>
    <xf numFmtId="0" fontId="39" fillId="0" borderId="0" xfId="13" applyFont="1" applyAlignment="1">
      <alignment horizontal="right"/>
    </xf>
    <xf numFmtId="9" fontId="39" fillId="0" borderId="0" xfId="13" applyNumberFormat="1" applyFont="1"/>
    <xf numFmtId="9" fontId="39" fillId="0" borderId="0" xfId="13" applyNumberFormat="1" applyFont="1" applyAlignment="1">
      <alignment horizontal="right"/>
    </xf>
    <xf numFmtId="179" fontId="39" fillId="0" borderId="0" xfId="1" applyNumberFormat="1" applyFont="1"/>
    <xf numFmtId="179" fontId="35" fillId="0" borderId="0" xfId="13" applyNumberFormat="1"/>
    <xf numFmtId="2" fontId="35" fillId="0" borderId="0" xfId="13" applyNumberFormat="1"/>
    <xf numFmtId="171" fontId="35" fillId="0" borderId="0" xfId="13" applyNumberFormat="1" applyAlignment="1">
      <alignment horizontal="right"/>
    </xf>
    <xf numFmtId="198" fontId="35" fillId="0" borderId="0" xfId="1" applyNumberFormat="1" applyFont="1"/>
    <xf numFmtId="186" fontId="35" fillId="0" borderId="0" xfId="1" applyNumberFormat="1" applyFont="1"/>
    <xf numFmtId="187" fontId="9" fillId="0" borderId="18" xfId="9" applyNumberFormat="1" applyFont="1" applyBorder="1" applyAlignment="1">
      <alignment horizontal="right"/>
    </xf>
    <xf numFmtId="0" fontId="9" fillId="0" borderId="2" xfId="9" applyFont="1" applyBorder="1" applyAlignment="1">
      <alignment horizontal="left"/>
    </xf>
    <xf numFmtId="0" fontId="3" fillId="0" borderId="19" xfId="9" applyFont="1" applyBorder="1" applyAlignment="1">
      <alignment horizontal="left"/>
    </xf>
    <xf numFmtId="3" fontId="7" fillId="0" borderId="19" xfId="9" applyNumberFormat="1" applyFont="1" applyBorder="1" applyAlignment="1">
      <alignment horizontal="right"/>
    </xf>
    <xf numFmtId="0" fontId="3" fillId="0" borderId="2" xfId="9" applyFont="1" applyBorder="1"/>
    <xf numFmtId="0" fontId="3" fillId="0" borderId="19" xfId="9" applyFont="1" applyBorder="1"/>
    <xf numFmtId="187" fontId="7" fillId="0" borderId="12" xfId="9" applyNumberFormat="1" applyFont="1" applyBorder="1" applyAlignment="1">
      <alignment horizontal="right"/>
    </xf>
    <xf numFmtId="3" fontId="7" fillId="0" borderId="12" xfId="9" applyNumberFormat="1" applyFont="1" applyBorder="1" applyAlignment="1">
      <alignment horizontal="right"/>
    </xf>
    <xf numFmtId="187" fontId="7" fillId="0" borderId="6" xfId="9" applyNumberFormat="1" applyFont="1" applyBorder="1" applyAlignment="1">
      <alignment horizontal="right"/>
    </xf>
    <xf numFmtId="3" fontId="7" fillId="0" borderId="6" xfId="9" applyNumberFormat="1" applyFont="1" applyBorder="1" applyAlignment="1">
      <alignment horizontal="right"/>
    </xf>
    <xf numFmtId="0" fontId="3" fillId="0" borderId="22" xfId="9" applyFont="1" applyBorder="1" applyAlignment="1">
      <alignment horizontal="left"/>
    </xf>
    <xf numFmtId="3" fontId="7" fillId="0" borderId="22" xfId="9" applyNumberFormat="1" applyFont="1" applyBorder="1" applyAlignment="1">
      <alignment horizontal="right"/>
    </xf>
    <xf numFmtId="3" fontId="7" fillId="0" borderId="15" xfId="9" applyNumberFormat="1" applyFont="1" applyBorder="1" applyAlignment="1">
      <alignment horizontal="right"/>
    </xf>
    <xf numFmtId="187" fontId="7" fillId="0" borderId="22" xfId="9" applyNumberFormat="1" applyFont="1" applyBorder="1" applyAlignment="1">
      <alignment horizontal="right"/>
    </xf>
    <xf numFmtId="187" fontId="7" fillId="0" borderId="15" xfId="9" applyNumberFormat="1" applyFont="1" applyBorder="1" applyAlignment="1">
      <alignment horizontal="right"/>
    </xf>
    <xf numFmtId="0" fontId="9" fillId="0" borderId="19" xfId="9" applyFont="1" applyBorder="1" applyAlignment="1">
      <alignment horizontal="left"/>
    </xf>
    <xf numFmtId="187" fontId="9" fillId="0" borderId="19" xfId="9" applyNumberFormat="1" applyFont="1" applyBorder="1"/>
    <xf numFmtId="187" fontId="9" fillId="0" borderId="19" xfId="9" applyNumberFormat="1" applyFont="1" applyBorder="1" applyAlignment="1">
      <alignment horizontal="right"/>
    </xf>
    <xf numFmtId="3" fontId="9" fillId="0" borderId="19" xfId="9" applyNumberFormat="1" applyFont="1" applyBorder="1"/>
    <xf numFmtId="3" fontId="9" fillId="0" borderId="19" xfId="9" applyNumberFormat="1" applyFont="1" applyBorder="1" applyAlignment="1">
      <alignment horizontal="right"/>
    </xf>
    <xf numFmtId="0" fontId="2" fillId="0" borderId="0" xfId="0" applyFont="1" applyAlignment="1">
      <alignment horizontal="right"/>
    </xf>
    <xf numFmtId="0" fontId="32" fillId="0" borderId="0" xfId="0" applyFont="1" applyAlignment="1">
      <alignment horizontal="right"/>
    </xf>
    <xf numFmtId="2" fontId="0" fillId="0" borderId="0" xfId="0" applyNumberFormat="1"/>
    <xf numFmtId="2" fontId="0" fillId="0" borderId="0" xfId="0" applyNumberFormat="1" applyAlignment="1">
      <alignment horizontal="right"/>
    </xf>
    <xf numFmtId="0" fontId="2" fillId="0" borderId="6" xfId="0" applyFont="1" applyBorder="1"/>
    <xf numFmtId="0" fontId="0" fillId="0" borderId="6" xfId="0" applyBorder="1"/>
    <xf numFmtId="2" fontId="0" fillId="0" borderId="6" xfId="0" applyNumberFormat="1" applyBorder="1"/>
    <xf numFmtId="0" fontId="0" fillId="0" borderId="9" xfId="0" applyBorder="1"/>
    <xf numFmtId="0" fontId="32" fillId="0" borderId="9" xfId="0" applyFont="1" applyBorder="1"/>
    <xf numFmtId="2" fontId="32" fillId="0" borderId="9" xfId="0" applyNumberFormat="1" applyFont="1" applyBorder="1"/>
    <xf numFmtId="0" fontId="32" fillId="0" borderId="0" xfId="0" applyFont="1" applyBorder="1"/>
    <xf numFmtId="0" fontId="32" fillId="0" borderId="0" xfId="0" applyFont="1" applyBorder="1" applyAlignment="1">
      <alignment horizontal="right"/>
    </xf>
    <xf numFmtId="0" fontId="2" fillId="0" borderId="0" xfId="0" applyFont="1" applyBorder="1"/>
    <xf numFmtId="2" fontId="0" fillId="0" borderId="0" xfId="0" applyNumberFormat="1" applyBorder="1"/>
    <xf numFmtId="0" fontId="2" fillId="0" borderId="0" xfId="0" applyFont="1" applyBorder="1" applyAlignment="1">
      <alignment horizontal="right"/>
    </xf>
    <xf numFmtId="2" fontId="0" fillId="0" borderId="0" xfId="0" applyNumberFormat="1" applyBorder="1" applyAlignment="1">
      <alignment horizontal="right"/>
    </xf>
    <xf numFmtId="2" fontId="32" fillId="0" borderId="0" xfId="0" applyNumberFormat="1" applyFont="1" applyBorder="1"/>
    <xf numFmtId="197" fontId="0" fillId="0" borderId="0" xfId="0" applyNumberFormat="1"/>
    <xf numFmtId="184" fontId="0" fillId="0" borderId="0" xfId="0" applyNumberFormat="1"/>
    <xf numFmtId="1" fontId="2" fillId="0" borderId="0" xfId="0" applyNumberFormat="1" applyFont="1" applyAlignment="1">
      <alignment horizontal="right"/>
    </xf>
    <xf numFmtId="181" fontId="0" fillId="0" borderId="0" xfId="15" applyNumberFormat="1" applyFont="1"/>
    <xf numFmtId="181" fontId="0" fillId="0" borderId="6" xfId="15" applyNumberFormat="1" applyFont="1" applyBorder="1"/>
    <xf numFmtId="181" fontId="32" fillId="0" borderId="9" xfId="15" applyNumberFormat="1" applyFont="1" applyBorder="1"/>
    <xf numFmtId="2" fontId="40" fillId="0" borderId="0" xfId="0" applyNumberFormat="1" applyFont="1" applyAlignment="1">
      <alignment horizontal="right"/>
    </xf>
    <xf numFmtId="0" fontId="0" fillId="2" borderId="0" xfId="0" applyFill="1"/>
    <xf numFmtId="0" fontId="2" fillId="0" borderId="0" xfId="0" quotePrefix="1" applyFont="1"/>
    <xf numFmtId="184" fontId="0" fillId="0" borderId="6" xfId="0" applyNumberFormat="1" applyBorder="1"/>
    <xf numFmtId="193" fontId="32" fillId="0" borderId="0" xfId="1" applyNumberFormat="1" applyFont="1"/>
    <xf numFmtId="191" fontId="0" fillId="0" borderId="0" xfId="0" applyNumberFormat="1"/>
    <xf numFmtId="198" fontId="0" fillId="0" borderId="0" xfId="1" applyNumberFormat="1" applyFont="1"/>
    <xf numFmtId="198" fontId="0" fillId="0" borderId="0" xfId="0" applyNumberFormat="1"/>
    <xf numFmtId="2" fontId="32" fillId="0" borderId="0" xfId="0" applyNumberFormat="1" applyFont="1"/>
    <xf numFmtId="2" fontId="2" fillId="0" borderId="0" xfId="0" applyNumberFormat="1" applyFont="1"/>
    <xf numFmtId="181" fontId="0" fillId="0" borderId="0" xfId="15" applyNumberFormat="1" applyFont="1" applyBorder="1"/>
    <xf numFmtId="181" fontId="32" fillId="0" borderId="0" xfId="15" applyNumberFormat="1" applyFont="1" applyBorder="1"/>
    <xf numFmtId="0" fontId="0" fillId="0" borderId="0" xfId="0" applyFill="1" applyBorder="1"/>
    <xf numFmtId="2" fontId="40" fillId="0" borderId="0" xfId="0" applyNumberFormat="1" applyFont="1"/>
    <xf numFmtId="2" fontId="40" fillId="0" borderId="0" xfId="0" applyNumberFormat="1" applyFont="1" applyBorder="1" applyAlignment="1">
      <alignment horizontal="right"/>
    </xf>
    <xf numFmtId="184" fontId="0" fillId="0" borderId="0" xfId="0" applyNumberFormat="1" applyBorder="1"/>
    <xf numFmtId="182" fontId="0" fillId="0" borderId="0" xfId="0" applyNumberFormat="1" applyBorder="1"/>
    <xf numFmtId="2" fontId="40" fillId="0" borderId="0" xfId="0" applyNumberFormat="1" applyFont="1" applyBorder="1"/>
    <xf numFmtId="196" fontId="0" fillId="0" borderId="0" xfId="0" applyNumberFormat="1" applyBorder="1"/>
    <xf numFmtId="1" fontId="2" fillId="0" borderId="0" xfId="0" applyNumberFormat="1" applyFont="1" applyBorder="1" applyAlignment="1">
      <alignment horizontal="right"/>
    </xf>
    <xf numFmtId="195" fontId="0" fillId="0" borderId="0" xfId="0" applyNumberFormat="1"/>
    <xf numFmtId="182" fontId="0" fillId="0" borderId="0" xfId="0" applyNumberFormat="1"/>
    <xf numFmtId="180" fontId="13" fillId="0" borderId="0" xfId="2" applyNumberFormat="1" applyFont="1" applyFill="1" applyBorder="1" applyAlignment="1">
      <alignment horizontal="center"/>
    </xf>
    <xf numFmtId="179" fontId="3" fillId="0" borderId="0" xfId="8" applyNumberFormat="1" applyFill="1"/>
    <xf numFmtId="0" fontId="9" fillId="0" borderId="0" xfId="8" applyFont="1" applyFill="1"/>
    <xf numFmtId="179" fontId="3" fillId="0" borderId="6" xfId="8" applyNumberFormat="1" applyFill="1" applyBorder="1"/>
    <xf numFmtId="0" fontId="3" fillId="0" borderId="0" xfId="8" applyFont="1" applyFill="1" applyBorder="1"/>
    <xf numFmtId="187" fontId="3" fillId="0" borderId="0" xfId="11" applyNumberFormat="1" applyBorder="1"/>
    <xf numFmtId="0" fontId="21" fillId="0" borderId="0" xfId="0" quotePrefix="1" applyFont="1" applyBorder="1" applyAlignment="1">
      <alignment horizontal="right"/>
    </xf>
    <xf numFmtId="0" fontId="17" fillId="0" borderId="0" xfId="8" quotePrefix="1" applyFont="1" applyBorder="1" applyAlignment="1">
      <alignment horizontal="right"/>
    </xf>
    <xf numFmtId="183" fontId="17" fillId="0" borderId="0" xfId="8" applyNumberFormat="1" applyFont="1" applyBorder="1"/>
    <xf numFmtId="184" fontId="17" fillId="0" borderId="0" xfId="8" applyNumberFormat="1" applyFont="1" applyBorder="1"/>
    <xf numFmtId="179" fontId="42" fillId="0" borderId="0" xfId="8" quotePrefix="1" applyNumberFormat="1" applyFont="1" applyBorder="1" applyAlignment="1">
      <alignment horizontal="right"/>
    </xf>
    <xf numFmtId="207" fontId="9" fillId="0" borderId="22" xfId="11" applyNumberFormat="1" applyFont="1" applyBorder="1" applyAlignment="1">
      <alignment horizontal="right"/>
    </xf>
    <xf numFmtId="187" fontId="7" fillId="0" borderId="21" xfId="9" applyNumberFormat="1" applyFont="1" applyBorder="1" applyAlignment="1">
      <alignment horizontal="right"/>
    </xf>
    <xf numFmtId="0" fontId="3" fillId="0" borderId="12" xfId="9" applyFont="1" applyBorder="1" applyAlignment="1">
      <alignment horizontal="left"/>
    </xf>
    <xf numFmtId="0" fontId="36" fillId="0" borderId="0" xfId="13" applyFont="1" applyAlignment="1">
      <alignment horizontal="right"/>
    </xf>
    <xf numFmtId="171" fontId="35" fillId="0" borderId="0" xfId="1" quotePrefix="1" applyFont="1"/>
    <xf numFmtId="0" fontId="3" fillId="0" borderId="0" xfId="12" applyAlignment="1">
      <alignment horizontal="left"/>
    </xf>
    <xf numFmtId="0" fontId="3" fillId="0" borderId="0" xfId="12" quotePrefix="1" applyAlignment="1">
      <alignment horizontal="left"/>
    </xf>
    <xf numFmtId="0" fontId="3" fillId="0" borderId="0" xfId="12" quotePrefix="1" applyFont="1"/>
    <xf numFmtId="0" fontId="3" fillId="0" borderId="23" xfId="8" applyBorder="1"/>
    <xf numFmtId="0" fontId="3" fillId="0" borderId="49" xfId="8" applyBorder="1"/>
    <xf numFmtId="0" fontId="12" fillId="0" borderId="26" xfId="8" applyFont="1" applyBorder="1" applyAlignment="1">
      <alignment horizontal="center"/>
    </xf>
    <xf numFmtId="43" fontId="13" fillId="0" borderId="0" xfId="2" applyNumberFormat="1" applyFont="1"/>
    <xf numFmtId="181" fontId="13" fillId="0" borderId="0" xfId="16" applyNumberFormat="1" applyFont="1"/>
    <xf numFmtId="0" fontId="34" fillId="0" borderId="0" xfId="8" applyFont="1"/>
    <xf numFmtId="181" fontId="34" fillId="0" borderId="4" xfId="16" applyNumberFormat="1" applyFont="1" applyBorder="1"/>
    <xf numFmtId="0" fontId="12" fillId="0" borderId="47" xfId="8" applyFont="1" applyBorder="1"/>
    <xf numFmtId="9" fontId="13" fillId="0" borderId="0" xfId="16" applyFont="1"/>
    <xf numFmtId="181" fontId="13" fillId="0" borderId="4" xfId="16" applyNumberFormat="1" applyFont="1" applyBorder="1"/>
    <xf numFmtId="9" fontId="13" fillId="0" borderId="0" xfId="15" applyFont="1"/>
    <xf numFmtId="181" fontId="17" fillId="0" borderId="0" xfId="16" applyNumberFormat="1" applyFont="1"/>
    <xf numFmtId="9" fontId="17" fillId="0" borderId="0" xfId="16" applyFont="1"/>
    <xf numFmtId="181" fontId="12" fillId="0" borderId="0" xfId="16" applyNumberFormat="1" applyFont="1"/>
    <xf numFmtId="180" fontId="12" fillId="0" borderId="47" xfId="2" applyNumberFormat="1" applyFont="1" applyBorder="1"/>
    <xf numFmtId="181" fontId="12" fillId="0" borderId="47" xfId="16" applyNumberFormat="1" applyFont="1" applyBorder="1"/>
    <xf numFmtId="181" fontId="12" fillId="0" borderId="5" xfId="16" applyNumberFormat="1" applyFont="1" applyBorder="1"/>
    <xf numFmtId="0" fontId="12" fillId="0" borderId="0" xfId="8" applyFont="1" applyAlignment="1">
      <alignment horizontal="center"/>
    </xf>
    <xf numFmtId="0" fontId="12" fillId="0" borderId="0" xfId="8" applyFont="1" applyBorder="1"/>
    <xf numFmtId="180" fontId="12" fillId="0" borderId="0" xfId="2" applyNumberFormat="1" applyFont="1" applyBorder="1"/>
    <xf numFmtId="181" fontId="12" fillId="0" borderId="0" xfId="16" applyNumberFormat="1" applyFont="1" applyBorder="1"/>
    <xf numFmtId="180" fontId="12" fillId="0" borderId="0" xfId="8" applyNumberFormat="1" applyFont="1"/>
    <xf numFmtId="9" fontId="12" fillId="0" borderId="4" xfId="15" applyFont="1" applyBorder="1"/>
    <xf numFmtId="0" fontId="12" fillId="0" borderId="4" xfId="8" applyFont="1" applyBorder="1"/>
    <xf numFmtId="180" fontId="12" fillId="0" borderId="4" xfId="2" applyNumberFormat="1" applyFont="1" applyBorder="1"/>
    <xf numFmtId="192" fontId="0" fillId="0" borderId="0" xfId="0" applyNumberFormat="1"/>
    <xf numFmtId="195" fontId="0" fillId="0" borderId="6" xfId="0" applyNumberFormat="1" applyBorder="1"/>
    <xf numFmtId="2" fontId="3" fillId="0" borderId="0" xfId="8" applyNumberFormat="1"/>
    <xf numFmtId="0" fontId="12" fillId="0" borderId="0" xfId="8" applyFont="1" applyAlignment="1"/>
    <xf numFmtId="0" fontId="12" fillId="0" borderId="0" xfId="8" applyFont="1" applyBorder="1" applyAlignment="1">
      <alignment horizontal="center"/>
    </xf>
    <xf numFmtId="179" fontId="12" fillId="0" borderId="0" xfId="2" applyNumberFormat="1" applyFont="1" applyFill="1" applyBorder="1" applyAlignment="1">
      <alignment horizontal="center"/>
    </xf>
    <xf numFmtId="179" fontId="12" fillId="0" borderId="33" xfId="2" quotePrefix="1" applyNumberFormat="1" applyFont="1" applyFill="1" applyBorder="1" applyAlignment="1">
      <alignment horizontal="center"/>
    </xf>
    <xf numFmtId="0" fontId="3" fillId="0" borderId="0" xfId="8" applyFont="1"/>
    <xf numFmtId="0" fontId="3" fillId="0" borderId="4" xfId="8" applyBorder="1"/>
    <xf numFmtId="181" fontId="13" fillId="0" borderId="0" xfId="15" applyNumberFormat="1" applyFont="1"/>
    <xf numFmtId="181" fontId="13" fillId="0" borderId="4" xfId="15" applyNumberFormat="1" applyFont="1" applyBorder="1"/>
    <xf numFmtId="181" fontId="12" fillId="0" borderId="4" xfId="15" applyNumberFormat="1" applyFont="1" applyBorder="1"/>
    <xf numFmtId="181" fontId="13" fillId="0" borderId="0" xfId="15" applyNumberFormat="1" applyFont="1" applyBorder="1"/>
    <xf numFmtId="181" fontId="12" fillId="0" borderId="0" xfId="15" applyNumberFormat="1" applyFont="1"/>
    <xf numFmtId="9" fontId="13" fillId="0" borderId="4" xfId="15" applyFont="1" applyBorder="1"/>
    <xf numFmtId="181" fontId="12" fillId="0" borderId="0" xfId="15" applyNumberFormat="1" applyFont="1" applyBorder="1"/>
    <xf numFmtId="9" fontId="12" fillId="0" borderId="0" xfId="15" applyFont="1" applyBorder="1"/>
    <xf numFmtId="0" fontId="12" fillId="0" borderId="17" xfId="0" applyFont="1" applyBorder="1"/>
    <xf numFmtId="0" fontId="17" fillId="0" borderId="17" xfId="0" applyFont="1" applyBorder="1"/>
    <xf numFmtId="0" fontId="13" fillId="0" borderId="17" xfId="0" applyFont="1" applyBorder="1"/>
    <xf numFmtId="0" fontId="16" fillId="0" borderId="17" xfId="0" applyFont="1" applyFill="1" applyBorder="1"/>
    <xf numFmtId="0" fontId="16" fillId="0" borderId="0" xfId="0" applyFont="1" applyBorder="1"/>
    <xf numFmtId="0" fontId="13" fillId="0" borderId="17" xfId="0" applyFont="1" applyBorder="1" applyAlignment="1"/>
    <xf numFmtId="0" fontId="13" fillId="0" borderId="17" xfId="0" applyFont="1" applyBorder="1" applyAlignment="1">
      <alignment horizontal="left"/>
    </xf>
    <xf numFmtId="0" fontId="13" fillId="0" borderId="43" xfId="0" applyFont="1" applyBorder="1" applyAlignment="1"/>
    <xf numFmtId="0" fontId="16" fillId="0" borderId="4" xfId="0" applyFont="1" applyBorder="1"/>
    <xf numFmtId="0" fontId="16" fillId="0" borderId="47" xfId="0" applyFont="1" applyBorder="1"/>
    <xf numFmtId="0" fontId="12" fillId="0" borderId="47" xfId="0" applyFont="1" applyBorder="1"/>
    <xf numFmtId="0" fontId="17" fillId="0" borderId="17" xfId="0" applyFont="1" applyBorder="1" applyAlignment="1"/>
    <xf numFmtId="0" fontId="17" fillId="0" borderId="43" xfId="0" applyFont="1" applyBorder="1" applyAlignment="1"/>
    <xf numFmtId="9" fontId="12" fillId="0" borderId="47" xfId="15" applyFont="1" applyBorder="1"/>
    <xf numFmtId="9" fontId="13" fillId="0" borderId="0" xfId="15" applyFont="1" applyBorder="1"/>
    <xf numFmtId="0" fontId="46" fillId="0" borderId="0" xfId="0" applyNumberFormat="1" applyFont="1" applyBorder="1"/>
    <xf numFmtId="0" fontId="47" fillId="0" borderId="0" xfId="0" applyNumberFormat="1" applyFont="1" applyBorder="1"/>
    <xf numFmtId="0" fontId="20" fillId="0" borderId="0" xfId="0" applyNumberFormat="1" applyFont="1" applyBorder="1" applyAlignment="1">
      <alignment horizontal="left" indent="1"/>
    </xf>
    <xf numFmtId="0" fontId="32" fillId="0" borderId="0" xfId="0" applyNumberFormat="1" applyFont="1" applyBorder="1"/>
    <xf numFmtId="0" fontId="32" fillId="0" borderId="0" xfId="0" applyNumberFormat="1" applyFont="1" applyBorder="1" applyAlignment="1"/>
    <xf numFmtId="0" fontId="9" fillId="0" borderId="0" xfId="0" applyNumberFormat="1" applyFont="1" applyBorder="1" applyAlignment="1"/>
    <xf numFmtId="0" fontId="12" fillId="0" borderId="0" xfId="0" applyNumberFormat="1" applyFont="1" applyBorder="1" applyAlignment="1"/>
    <xf numFmtId="181" fontId="12" fillId="0" borderId="0" xfId="8" applyNumberFormat="1" applyFont="1"/>
    <xf numFmtId="0" fontId="13" fillId="0" borderId="0" xfId="11" applyFont="1" applyBorder="1"/>
    <xf numFmtId="0" fontId="13" fillId="0" borderId="4" xfId="11" applyFont="1" applyBorder="1"/>
    <xf numFmtId="9" fontId="12" fillId="0" borderId="0" xfId="8" applyNumberFormat="1" applyFont="1"/>
    <xf numFmtId="0" fontId="13" fillId="0" borderId="17" xfId="11" applyFont="1" applyBorder="1"/>
    <xf numFmtId="0" fontId="13" fillId="0" borderId="43" xfId="11" applyFont="1" applyBorder="1"/>
    <xf numFmtId="0" fontId="12" fillId="0" borderId="0" xfId="0" applyFont="1"/>
    <xf numFmtId="0" fontId="12" fillId="0" borderId="4" xfId="0" applyFont="1" applyBorder="1"/>
    <xf numFmtId="0" fontId="16" fillId="0" borderId="4" xfId="0" applyFont="1" applyBorder="1" applyAlignment="1">
      <alignment horizontal="right"/>
    </xf>
    <xf numFmtId="0" fontId="16" fillId="0" borderId="4" xfId="0" applyFont="1" applyBorder="1" applyAlignment="1">
      <alignment horizontal="center"/>
    </xf>
    <xf numFmtId="0" fontId="13" fillId="0" borderId="0" xfId="0" applyFont="1"/>
    <xf numFmtId="179" fontId="13" fillId="0" borderId="0" xfId="1" applyNumberFormat="1" applyFont="1"/>
    <xf numFmtId="0" fontId="13" fillId="0" borderId="0" xfId="0" applyFont="1" applyAlignment="1">
      <alignment horizontal="center"/>
    </xf>
    <xf numFmtId="0" fontId="12" fillId="0" borderId="0" xfId="8" applyFont="1" applyAlignment="1">
      <alignment horizontal="right"/>
    </xf>
    <xf numFmtId="0" fontId="13" fillId="0" borderId="0" xfId="8" applyFont="1" applyAlignment="1">
      <alignment horizontal="right"/>
    </xf>
    <xf numFmtId="215" fontId="3" fillId="0" borderId="0" xfId="10" applyNumberFormat="1"/>
    <xf numFmtId="215" fontId="9" fillId="0" borderId="0" xfId="10" applyNumberFormat="1" applyFont="1"/>
    <xf numFmtId="215" fontId="7" fillId="0" borderId="0" xfId="10" quotePrefix="1" applyNumberFormat="1" applyFont="1" applyFill="1" applyBorder="1" applyAlignment="1">
      <alignment horizontal="right"/>
    </xf>
    <xf numFmtId="215" fontId="7" fillId="0" borderId="0" xfId="10" applyNumberFormat="1" applyFont="1" applyAlignment="1">
      <alignment horizontal="right"/>
    </xf>
    <xf numFmtId="0" fontId="4" fillId="0" borderId="0" xfId="8" applyFont="1" applyAlignment="1">
      <alignment horizontal="center"/>
    </xf>
    <xf numFmtId="0" fontId="5" fillId="0" borderId="0" xfId="8" applyFont="1" applyAlignment="1">
      <alignment horizontal="center"/>
    </xf>
    <xf numFmtId="0" fontId="8" fillId="0" borderId="0" xfId="8" applyFont="1" applyAlignment="1">
      <alignment horizontal="center"/>
    </xf>
    <xf numFmtId="0" fontId="9" fillId="0" borderId="0" xfId="12" applyFont="1" applyAlignment="1">
      <alignment horizontal="center"/>
    </xf>
    <xf numFmtId="0" fontId="8" fillId="0" borderId="0" xfId="12" applyFont="1" applyAlignment="1">
      <alignment horizontal="center"/>
    </xf>
    <xf numFmtId="0" fontId="12" fillId="0" borderId="0" xfId="8" applyFont="1" applyAlignment="1">
      <alignment horizontal="center"/>
    </xf>
    <xf numFmtId="0" fontId="9" fillId="0" borderId="0" xfId="8" applyFont="1" applyAlignment="1">
      <alignment horizontal="center"/>
    </xf>
    <xf numFmtId="0" fontId="32" fillId="0" borderId="0" xfId="0" applyFont="1" applyAlignment="1">
      <alignment horizontal="center"/>
    </xf>
    <xf numFmtId="0" fontId="9" fillId="0" borderId="0" xfId="9" applyFont="1" applyAlignment="1">
      <alignment horizontal="center"/>
    </xf>
    <xf numFmtId="0" fontId="9" fillId="0" borderId="0" xfId="10" applyFont="1" applyAlignment="1">
      <alignment horizontal="center"/>
    </xf>
    <xf numFmtId="0" fontId="9" fillId="0" borderId="0" xfId="11" applyFont="1" applyAlignment="1">
      <alignment horizontal="center"/>
    </xf>
    <xf numFmtId="0" fontId="12" fillId="0" borderId="50" xfId="8" applyFont="1" applyFill="1" applyBorder="1" applyAlignment="1">
      <alignment horizontal="center" vertical="center" wrapText="1"/>
    </xf>
    <xf numFmtId="0" fontId="12" fillId="0" borderId="17" xfId="8" applyFont="1" applyFill="1" applyBorder="1" applyAlignment="1">
      <alignment horizontal="center" vertical="center"/>
    </xf>
    <xf numFmtId="0" fontId="12" fillId="0" borderId="43" xfId="8" applyFont="1" applyFill="1" applyBorder="1" applyAlignment="1">
      <alignment horizontal="center" vertical="center"/>
    </xf>
    <xf numFmtId="0" fontId="12" fillId="0" borderId="1" xfId="8" applyFont="1" applyFill="1" applyBorder="1" applyAlignment="1">
      <alignment horizontal="center" vertical="center" wrapText="1"/>
    </xf>
    <xf numFmtId="0" fontId="12" fillId="0" borderId="2" xfId="8" applyFont="1" applyFill="1" applyBorder="1" applyAlignment="1">
      <alignment horizontal="center" vertical="center"/>
    </xf>
    <xf numFmtId="0" fontId="12" fillId="0" borderId="3" xfId="8" applyFont="1" applyFill="1" applyBorder="1" applyAlignment="1">
      <alignment horizontal="center" vertical="center"/>
    </xf>
    <xf numFmtId="0" fontId="12" fillId="0" borderId="1" xfId="8" applyFont="1" applyFill="1" applyBorder="1" applyAlignment="1">
      <alignment horizontal="center" vertical="top" wrapText="1"/>
    </xf>
    <xf numFmtId="0" fontId="12" fillId="0" borderId="2" xfId="8" applyFont="1" applyFill="1" applyBorder="1" applyAlignment="1">
      <alignment horizontal="center" vertical="top"/>
    </xf>
    <xf numFmtId="0" fontId="12" fillId="0" borderId="3" xfId="8" applyFont="1" applyFill="1" applyBorder="1" applyAlignment="1">
      <alignment horizontal="center" vertical="top"/>
    </xf>
    <xf numFmtId="0" fontId="12" fillId="0" borderId="35" xfId="8" applyFont="1" applyBorder="1" applyAlignment="1">
      <alignment horizontal="center" vertical="center"/>
    </xf>
    <xf numFmtId="0" fontId="12" fillId="0" borderId="10" xfId="8" applyFont="1" applyBorder="1" applyAlignment="1">
      <alignment horizontal="center" vertical="center"/>
    </xf>
    <xf numFmtId="0" fontId="12" fillId="0" borderId="31" xfId="8" applyFont="1" applyBorder="1" applyAlignment="1">
      <alignment horizontal="center" vertical="center"/>
    </xf>
    <xf numFmtId="0" fontId="12" fillId="0" borderId="50" xfId="8" applyFont="1" applyBorder="1" applyAlignment="1">
      <alignment horizontal="center" vertical="center"/>
    </xf>
    <xf numFmtId="0" fontId="12" fillId="0" borderId="24" xfId="8" applyFont="1" applyBorder="1" applyAlignment="1">
      <alignment horizontal="center" vertical="center"/>
    </xf>
    <xf numFmtId="0" fontId="12" fillId="0" borderId="43" xfId="8" applyFont="1" applyBorder="1" applyAlignment="1">
      <alignment horizontal="center" vertical="center"/>
    </xf>
    <xf numFmtId="0" fontId="12" fillId="0" borderId="4" xfId="8" applyFont="1" applyBorder="1" applyAlignment="1">
      <alignment horizontal="center" vertical="center"/>
    </xf>
    <xf numFmtId="0" fontId="12" fillId="0" borderId="50" xfId="8" applyFont="1" applyBorder="1" applyAlignment="1">
      <alignment horizontal="center" vertical="justify" wrapText="1"/>
    </xf>
    <xf numFmtId="0" fontId="12" fillId="0" borderId="24" xfId="8" applyFont="1" applyBorder="1" applyAlignment="1">
      <alignment horizontal="center" vertical="justify"/>
    </xf>
    <xf numFmtId="0" fontId="12" fillId="0" borderId="25" xfId="8" applyFont="1" applyBorder="1" applyAlignment="1">
      <alignment horizontal="center" vertical="justify"/>
    </xf>
    <xf numFmtId="0" fontId="12" fillId="0" borderId="43" xfId="8" applyFont="1" applyBorder="1" applyAlignment="1">
      <alignment horizontal="center" vertical="justify"/>
    </xf>
    <xf numFmtId="0" fontId="12" fillId="0" borderId="4" xfId="8" applyFont="1" applyBorder="1" applyAlignment="1">
      <alignment horizontal="center" vertical="justify"/>
    </xf>
    <xf numFmtId="0" fontId="12" fillId="0" borderId="51" xfId="8" applyFont="1" applyBorder="1" applyAlignment="1">
      <alignment horizontal="center" vertical="justify"/>
    </xf>
    <xf numFmtId="179" fontId="12" fillId="0" borderId="1" xfId="8" applyNumberFormat="1" applyFont="1" applyFill="1" applyBorder="1" applyAlignment="1">
      <alignment horizontal="center" vertical="center" wrapText="1"/>
    </xf>
    <xf numFmtId="179" fontId="12" fillId="0" borderId="2" xfId="8" applyNumberFormat="1" applyFont="1" applyFill="1" applyBorder="1" applyAlignment="1">
      <alignment horizontal="center" vertical="center"/>
    </xf>
    <xf numFmtId="179" fontId="12" fillId="0" borderId="3" xfId="8" applyNumberFormat="1" applyFont="1" applyFill="1" applyBorder="1" applyAlignment="1">
      <alignment horizontal="center" vertical="center"/>
    </xf>
    <xf numFmtId="0" fontId="12" fillId="0" borderId="50" xfId="8" quotePrefix="1" applyFont="1" applyBorder="1" applyAlignment="1">
      <alignment horizontal="center" vertical="center"/>
    </xf>
    <xf numFmtId="0" fontId="12" fillId="0" borderId="43" xfId="8" quotePrefix="1" applyFont="1" applyBorder="1" applyAlignment="1">
      <alignment horizontal="center" vertical="center"/>
    </xf>
    <xf numFmtId="179" fontId="12" fillId="0" borderId="1" xfId="2" applyNumberFormat="1" applyFont="1" applyFill="1" applyBorder="1" applyAlignment="1">
      <alignment horizontal="center" vertical="top" wrapText="1"/>
    </xf>
    <xf numFmtId="179" fontId="12" fillId="0" borderId="2" xfId="2" applyNumberFormat="1" applyFont="1" applyFill="1" applyBorder="1" applyAlignment="1">
      <alignment horizontal="center" vertical="top"/>
    </xf>
    <xf numFmtId="179" fontId="12" fillId="0" borderId="3" xfId="2" applyNumberFormat="1" applyFont="1" applyFill="1" applyBorder="1" applyAlignment="1">
      <alignment horizontal="center" vertical="top"/>
    </xf>
    <xf numFmtId="0" fontId="8" fillId="0" borderId="0" xfId="8" applyFont="1" applyFill="1" applyAlignment="1">
      <alignment horizontal="center"/>
    </xf>
    <xf numFmtId="0" fontId="14" fillId="0" borderId="0" xfId="8" applyFont="1" applyFill="1" applyAlignment="1">
      <alignment horizontal="center"/>
    </xf>
    <xf numFmtId="179" fontId="12" fillId="0" borderId="38" xfId="2" applyNumberFormat="1" applyFont="1" applyFill="1" applyBorder="1" applyAlignment="1">
      <alignment horizontal="center" vertical="top" wrapText="1"/>
    </xf>
    <xf numFmtId="179" fontId="12" fillId="0" borderId="30" xfId="2" applyNumberFormat="1" applyFont="1" applyFill="1" applyBorder="1" applyAlignment="1">
      <alignment horizontal="center" vertical="top"/>
    </xf>
    <xf numFmtId="179" fontId="12" fillId="0" borderId="33" xfId="2" applyNumberFormat="1" applyFont="1" applyFill="1" applyBorder="1" applyAlignment="1">
      <alignment horizontal="center" vertical="top"/>
    </xf>
    <xf numFmtId="0" fontId="12" fillId="0" borderId="24" xfId="8" applyFont="1" applyFill="1" applyBorder="1" applyAlignment="1">
      <alignment horizontal="center" vertical="center"/>
    </xf>
    <xf numFmtId="0" fontId="12" fillId="0" borderId="0" xfId="8" applyFont="1" applyFill="1" applyBorder="1" applyAlignment="1">
      <alignment horizontal="center" vertical="center"/>
    </xf>
    <xf numFmtId="0" fontId="12" fillId="0" borderId="4" xfId="8" applyFont="1" applyFill="1" applyBorder="1" applyAlignment="1">
      <alignment horizontal="center" vertical="center"/>
    </xf>
    <xf numFmtId="0" fontId="32" fillId="0" borderId="0" xfId="0" applyFont="1" applyBorder="1" applyAlignment="1">
      <alignment horizontal="center"/>
    </xf>
  </cellXfs>
  <cellStyles count="17">
    <cellStyle name="Comma" xfId="1" builtinId="3"/>
    <cellStyle name="Comma 2" xfId="2"/>
    <cellStyle name="Comma_Werkspapiere_Mohakare_09_Newest" xfId="3"/>
    <cellStyle name="Comma0" xfId="4"/>
    <cellStyle name="Currency0" xfId="5"/>
    <cellStyle name="Date" xfId="6"/>
    <cellStyle name="Fixed" xfId="7"/>
    <cellStyle name="Normal" xfId="0" builtinId="0"/>
    <cellStyle name="Normal 2" xfId="8"/>
    <cellStyle name="Normal_02 Budget Content &amp; Format 0607 MTREF - Annexure 2 - Budget Schedules" xfId="9"/>
    <cellStyle name="Normal_03 Budget Content &amp; Format 0607 MTREF - Annexure 3 -  Budget Related Charts" xfId="10"/>
    <cellStyle name="Normal_04 Budget Content &amp; Format 0607 MTREF - Annexure 4 - Supporting Documents" xfId="11"/>
    <cellStyle name="Normal_Mohokare_BDGT_09-10_GRAP" xfId="12"/>
    <cellStyle name="Normal_Rates_Levies" xfId="13"/>
    <cellStyle name="Normal_Werkspapiere_Mohakare_09_Newest" xfId="14"/>
    <cellStyle name="Percent" xfId="15" builtinId="5"/>
    <cellStyle name="Percent 2" xfId="1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hartsheet" Target="chartsheets/sheet2.xml"/><Relationship Id="rId39" Type="http://schemas.openxmlformats.org/officeDocument/2006/relationships/worksheet" Target="worksheets/sheet30.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25.xml"/><Relationship Id="rId42" Type="http://schemas.openxmlformats.org/officeDocument/2006/relationships/worksheet" Target="worksheets/sheet33.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hartsheet" Target="chartsheets/sheet1.xml"/><Relationship Id="rId33" Type="http://schemas.openxmlformats.org/officeDocument/2006/relationships/chartsheet" Target="chartsheets/sheet9.xml"/><Relationship Id="rId38" Type="http://schemas.openxmlformats.org/officeDocument/2006/relationships/worksheet" Target="worksheets/sheet29.xml"/><Relationship Id="rId46" Type="http://schemas.openxmlformats.org/officeDocument/2006/relationships/worksheet" Target="worksheets/sheet3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hartsheet" Target="chartsheets/sheet5.xml"/><Relationship Id="rId41" Type="http://schemas.openxmlformats.org/officeDocument/2006/relationships/worksheet" Target="worksheets/sheet32.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hartsheet" Target="chartsheets/sheet8.xml"/><Relationship Id="rId37" Type="http://schemas.openxmlformats.org/officeDocument/2006/relationships/worksheet" Target="worksheets/sheet28.xml"/><Relationship Id="rId40" Type="http://schemas.openxmlformats.org/officeDocument/2006/relationships/worksheet" Target="worksheets/sheet31.xml"/><Relationship Id="rId45" Type="http://schemas.openxmlformats.org/officeDocument/2006/relationships/worksheet" Target="worksheets/sheet36.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hartsheet" Target="chartsheets/sheet4.xml"/><Relationship Id="rId36" Type="http://schemas.openxmlformats.org/officeDocument/2006/relationships/worksheet" Target="worksheets/sheet27.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hartsheet" Target="chartsheets/sheet7.xml"/><Relationship Id="rId44" Type="http://schemas.openxmlformats.org/officeDocument/2006/relationships/worksheet" Target="worksheets/sheet35.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hartsheet" Target="chartsheets/sheet3.xml"/><Relationship Id="rId30" Type="http://schemas.openxmlformats.org/officeDocument/2006/relationships/chartsheet" Target="chartsheets/sheet6.xml"/><Relationship Id="rId35" Type="http://schemas.openxmlformats.org/officeDocument/2006/relationships/worksheet" Target="worksheets/sheet26.xml"/><Relationship Id="rId43" Type="http://schemas.openxmlformats.org/officeDocument/2006/relationships/worksheet" Target="worksheets/sheet34.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t>Revenue by Major Source (see next chart for break down of other) - Annexure G</a:t>
            </a:r>
          </a:p>
        </c:rich>
      </c:tx>
      <c:layout>
        <c:manualLayout>
          <c:xMode val="edge"/>
          <c:yMode val="edge"/>
          <c:x val="0.20475697280578517"/>
          <c:y val="2.0270296721384404E-2"/>
        </c:manualLayout>
      </c:layout>
      <c:overlay val="0"/>
      <c:spPr>
        <a:noFill/>
        <a:ln w="25400">
          <a:noFill/>
        </a:ln>
      </c:spPr>
    </c:title>
    <c:autoTitleDeleted val="0"/>
    <c:view3D>
      <c:rotX val="15"/>
      <c:hPercent val="5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4477766287487073"/>
          <c:y val="0.10304054054054054"/>
          <c:w val="0.84488107549120994"/>
          <c:h val="0.65540540540540537"/>
        </c:manualLayout>
      </c:layout>
      <c:bar3DChart>
        <c:barDir val="col"/>
        <c:grouping val="stacked"/>
        <c:varyColors val="0"/>
        <c:ser>
          <c:idx val="0"/>
          <c:order val="0"/>
          <c:tx>
            <c:strRef>
              <c:f>' Table 1 - Rev by Source'!$J$9</c:f>
              <c:strCache>
                <c:ptCount val="1"/>
                <c:pt idx="0">
                  <c:v>Electricity tariffs</c:v>
                </c:pt>
              </c:strCache>
            </c:strRef>
          </c:tx>
          <c:spPr>
            <a:solidFill>
              <a:srgbClr val="9999FF"/>
            </a:solidFill>
            <a:ln w="12700">
              <a:solidFill>
                <a:srgbClr val="000000"/>
              </a:solidFill>
              <a:prstDash val="solid"/>
            </a:ln>
          </c:spPr>
          <c:invertIfNegative val="0"/>
          <c:cat>
            <c:strRef>
              <c:f>' Table 1 - Rev by Source'!$K$8:$Q$8</c:f>
              <c:strCache>
                <c:ptCount val="7"/>
                <c:pt idx="0">
                  <c:v>08/09 Aud</c:v>
                </c:pt>
                <c:pt idx="1">
                  <c:v>09/10 Bud</c:v>
                </c:pt>
                <c:pt idx="2">
                  <c:v>09/10 Adj</c:v>
                </c:pt>
                <c:pt idx="3">
                  <c:v>09/10 Est</c:v>
                </c:pt>
                <c:pt idx="4">
                  <c:v>10/11 Bud</c:v>
                </c:pt>
                <c:pt idx="5">
                  <c:v>11/12 Proj</c:v>
                </c:pt>
                <c:pt idx="6">
                  <c:v>12/13 Proj</c:v>
                </c:pt>
              </c:strCache>
            </c:strRef>
          </c:cat>
          <c:val>
            <c:numRef>
              <c:f>' Table 1 - Rev by Source'!$K$9:$Q$9</c:f>
              <c:numCache>
                <c:formatCode>#,##0</c:formatCode>
                <c:ptCount val="7"/>
                <c:pt idx="0">
                  <c:v>0</c:v>
                </c:pt>
                <c:pt idx="1">
                  <c:v>0</c:v>
                </c:pt>
                <c:pt idx="2">
                  <c:v>0</c:v>
                </c:pt>
                <c:pt idx="3">
                  <c:v>0</c:v>
                </c:pt>
                <c:pt idx="4">
                  <c:v>15465206</c:v>
                </c:pt>
                <c:pt idx="5">
                  <c:v>19455229</c:v>
                </c:pt>
                <c:pt idx="6">
                  <c:v>24494134</c:v>
                </c:pt>
              </c:numCache>
            </c:numRef>
          </c:val>
        </c:ser>
        <c:ser>
          <c:idx val="1"/>
          <c:order val="1"/>
          <c:tx>
            <c:strRef>
              <c:f>' Table 1 - Rev by Source'!$J$10</c:f>
              <c:strCache>
                <c:ptCount val="1"/>
                <c:pt idx="0">
                  <c:v>Property rates</c:v>
                </c:pt>
              </c:strCache>
            </c:strRef>
          </c:tx>
          <c:spPr>
            <a:solidFill>
              <a:srgbClr val="993366"/>
            </a:solidFill>
            <a:ln w="12700">
              <a:solidFill>
                <a:srgbClr val="000000"/>
              </a:solidFill>
              <a:prstDash val="solid"/>
            </a:ln>
          </c:spPr>
          <c:invertIfNegative val="0"/>
          <c:cat>
            <c:strRef>
              <c:f>' Table 1 - Rev by Source'!$K$8:$Q$8</c:f>
              <c:strCache>
                <c:ptCount val="7"/>
                <c:pt idx="0">
                  <c:v>08/09 Aud</c:v>
                </c:pt>
                <c:pt idx="1">
                  <c:v>09/10 Bud</c:v>
                </c:pt>
                <c:pt idx="2">
                  <c:v>09/10 Adj</c:v>
                </c:pt>
                <c:pt idx="3">
                  <c:v>09/10 Est</c:v>
                </c:pt>
                <c:pt idx="4">
                  <c:v>10/11 Bud</c:v>
                </c:pt>
                <c:pt idx="5">
                  <c:v>11/12 Proj</c:v>
                </c:pt>
                <c:pt idx="6">
                  <c:v>12/13 Proj</c:v>
                </c:pt>
              </c:strCache>
            </c:strRef>
          </c:cat>
          <c:val>
            <c:numRef>
              <c:f>' Table 1 - Rev by Source'!$K$10:$Q$10</c:f>
              <c:numCache>
                <c:formatCode>#,##0</c:formatCode>
                <c:ptCount val="7"/>
                <c:pt idx="0">
                  <c:v>5494829</c:v>
                </c:pt>
                <c:pt idx="1">
                  <c:v>6416580</c:v>
                </c:pt>
                <c:pt idx="2">
                  <c:v>6416580</c:v>
                </c:pt>
                <c:pt idx="3">
                  <c:v>8179864.96</c:v>
                </c:pt>
                <c:pt idx="4">
                  <c:v>10695157</c:v>
                </c:pt>
                <c:pt idx="5">
                  <c:v>11336867</c:v>
                </c:pt>
                <c:pt idx="6">
                  <c:v>12017077</c:v>
                </c:pt>
              </c:numCache>
            </c:numRef>
          </c:val>
        </c:ser>
        <c:ser>
          <c:idx val="2"/>
          <c:order val="2"/>
          <c:tx>
            <c:strRef>
              <c:f>' Table 1 - Rev by Source'!$J$11</c:f>
              <c:strCache>
                <c:ptCount val="1"/>
                <c:pt idx="0">
                  <c:v>Grants &amp; subsidies</c:v>
                </c:pt>
              </c:strCache>
            </c:strRef>
          </c:tx>
          <c:spPr>
            <a:solidFill>
              <a:srgbClr val="FFFFCC"/>
            </a:solidFill>
            <a:ln w="12700">
              <a:solidFill>
                <a:srgbClr val="000000"/>
              </a:solidFill>
              <a:prstDash val="solid"/>
            </a:ln>
          </c:spPr>
          <c:invertIfNegative val="0"/>
          <c:cat>
            <c:strRef>
              <c:f>' Table 1 - Rev by Source'!$K$8:$Q$8</c:f>
              <c:strCache>
                <c:ptCount val="7"/>
                <c:pt idx="0">
                  <c:v>08/09 Aud</c:v>
                </c:pt>
                <c:pt idx="1">
                  <c:v>09/10 Bud</c:v>
                </c:pt>
                <c:pt idx="2">
                  <c:v>09/10 Adj</c:v>
                </c:pt>
                <c:pt idx="3">
                  <c:v>09/10 Est</c:v>
                </c:pt>
                <c:pt idx="4">
                  <c:v>10/11 Bud</c:v>
                </c:pt>
                <c:pt idx="5">
                  <c:v>11/12 Proj</c:v>
                </c:pt>
                <c:pt idx="6">
                  <c:v>12/13 Proj</c:v>
                </c:pt>
              </c:strCache>
            </c:strRef>
          </c:cat>
          <c:val>
            <c:numRef>
              <c:f>' Table 1 - Rev by Source'!$K$11:$Q$11</c:f>
              <c:numCache>
                <c:formatCode>#,##0</c:formatCode>
                <c:ptCount val="7"/>
                <c:pt idx="0">
                  <c:v>26184476</c:v>
                </c:pt>
                <c:pt idx="1">
                  <c:v>36202000</c:v>
                </c:pt>
                <c:pt idx="2">
                  <c:v>37099350</c:v>
                </c:pt>
                <c:pt idx="3">
                  <c:v>36462500</c:v>
                </c:pt>
                <c:pt idx="4">
                  <c:v>46949155</c:v>
                </c:pt>
                <c:pt idx="5">
                  <c:v>49926685</c:v>
                </c:pt>
                <c:pt idx="6">
                  <c:v>54674270</c:v>
                </c:pt>
              </c:numCache>
            </c:numRef>
          </c:val>
        </c:ser>
        <c:ser>
          <c:idx val="3"/>
          <c:order val="3"/>
          <c:tx>
            <c:strRef>
              <c:f>' Table 1 - Rev by Source'!$J$12</c:f>
              <c:strCache>
                <c:ptCount val="1"/>
                <c:pt idx="0">
                  <c:v>Water tariffs</c:v>
                </c:pt>
              </c:strCache>
            </c:strRef>
          </c:tx>
          <c:spPr>
            <a:solidFill>
              <a:srgbClr val="CCFFFF"/>
            </a:solidFill>
            <a:ln w="12700">
              <a:solidFill>
                <a:srgbClr val="000000"/>
              </a:solidFill>
              <a:prstDash val="solid"/>
            </a:ln>
          </c:spPr>
          <c:invertIfNegative val="0"/>
          <c:cat>
            <c:strRef>
              <c:f>' Table 1 - Rev by Source'!$K$8:$Q$8</c:f>
              <c:strCache>
                <c:ptCount val="7"/>
                <c:pt idx="0">
                  <c:v>08/09 Aud</c:v>
                </c:pt>
                <c:pt idx="1">
                  <c:v>09/10 Bud</c:v>
                </c:pt>
                <c:pt idx="2">
                  <c:v>09/10 Adj</c:v>
                </c:pt>
                <c:pt idx="3">
                  <c:v>09/10 Est</c:v>
                </c:pt>
                <c:pt idx="4">
                  <c:v>10/11 Bud</c:v>
                </c:pt>
                <c:pt idx="5">
                  <c:v>11/12 Proj</c:v>
                </c:pt>
                <c:pt idx="6">
                  <c:v>12/13 Proj</c:v>
                </c:pt>
              </c:strCache>
            </c:strRef>
          </c:cat>
          <c:val>
            <c:numRef>
              <c:f>' Table 1 - Rev by Source'!$K$12:$Q$12</c:f>
              <c:numCache>
                <c:formatCode>#,##0</c:formatCode>
                <c:ptCount val="7"/>
                <c:pt idx="0">
                  <c:v>3529338</c:v>
                </c:pt>
                <c:pt idx="1">
                  <c:v>9633667</c:v>
                </c:pt>
                <c:pt idx="2">
                  <c:v>9633667</c:v>
                </c:pt>
                <c:pt idx="3">
                  <c:v>5457608.4000000004</c:v>
                </c:pt>
                <c:pt idx="4">
                  <c:v>8814684</c:v>
                </c:pt>
                <c:pt idx="5">
                  <c:v>10136887</c:v>
                </c:pt>
                <c:pt idx="6">
                  <c:v>11657420</c:v>
                </c:pt>
              </c:numCache>
            </c:numRef>
          </c:val>
        </c:ser>
        <c:ser>
          <c:idx val="4"/>
          <c:order val="4"/>
          <c:tx>
            <c:strRef>
              <c:f>' Table 1 - Rev by Source'!$J$13</c:f>
              <c:strCache>
                <c:ptCount val="1"/>
                <c:pt idx="0">
                  <c:v>Other</c:v>
                </c:pt>
              </c:strCache>
            </c:strRef>
          </c:tx>
          <c:spPr>
            <a:solidFill>
              <a:srgbClr val="660066"/>
            </a:solidFill>
            <a:ln w="12700">
              <a:solidFill>
                <a:srgbClr val="000000"/>
              </a:solidFill>
              <a:prstDash val="solid"/>
            </a:ln>
          </c:spPr>
          <c:invertIfNegative val="0"/>
          <c:cat>
            <c:strRef>
              <c:f>' Table 1 - Rev by Source'!$K$8:$Q$8</c:f>
              <c:strCache>
                <c:ptCount val="7"/>
                <c:pt idx="0">
                  <c:v>08/09 Aud</c:v>
                </c:pt>
                <c:pt idx="1">
                  <c:v>09/10 Bud</c:v>
                </c:pt>
                <c:pt idx="2">
                  <c:v>09/10 Adj</c:v>
                </c:pt>
                <c:pt idx="3">
                  <c:v>09/10 Est</c:v>
                </c:pt>
                <c:pt idx="4">
                  <c:v>10/11 Bud</c:v>
                </c:pt>
                <c:pt idx="5">
                  <c:v>11/12 Proj</c:v>
                </c:pt>
                <c:pt idx="6">
                  <c:v>12/13 Proj</c:v>
                </c:pt>
              </c:strCache>
            </c:strRef>
          </c:cat>
          <c:val>
            <c:numRef>
              <c:f>' Table 1 - Rev by Source'!$K$13:$Q$13</c:f>
              <c:numCache>
                <c:formatCode>#,##0</c:formatCode>
                <c:ptCount val="7"/>
                <c:pt idx="0">
                  <c:v>8653329</c:v>
                </c:pt>
                <c:pt idx="1">
                  <c:v>10052787</c:v>
                </c:pt>
                <c:pt idx="2">
                  <c:v>10627387</c:v>
                </c:pt>
                <c:pt idx="3">
                  <c:v>10203761.6</c:v>
                </c:pt>
                <c:pt idx="4">
                  <c:v>10603846</c:v>
                </c:pt>
                <c:pt idx="5">
                  <c:v>12009482</c:v>
                </c:pt>
                <c:pt idx="6">
                  <c:v>14066152</c:v>
                </c:pt>
              </c:numCache>
            </c:numRef>
          </c:val>
        </c:ser>
        <c:dLbls>
          <c:showLegendKey val="0"/>
          <c:showVal val="0"/>
          <c:showCatName val="0"/>
          <c:showSerName val="0"/>
          <c:showPercent val="0"/>
          <c:showBubbleSize val="0"/>
        </c:dLbls>
        <c:gapWidth val="150"/>
        <c:shape val="box"/>
        <c:axId val="189329792"/>
        <c:axId val="189331328"/>
        <c:axId val="0"/>
      </c:bar3DChart>
      <c:catAx>
        <c:axId val="18932979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89331328"/>
        <c:crosses val="autoZero"/>
        <c:auto val="1"/>
        <c:lblAlgn val="ctr"/>
        <c:lblOffset val="100"/>
        <c:tickLblSkip val="1"/>
        <c:tickMarkSkip val="1"/>
        <c:noMultiLvlLbl val="0"/>
      </c:catAx>
      <c:valAx>
        <c:axId val="189331328"/>
        <c:scaling>
          <c:orientation val="minMax"/>
        </c:scaling>
        <c:delete val="0"/>
        <c:axPos val="l"/>
        <c:majorGridlines>
          <c:spPr>
            <a:ln w="3175">
              <a:solidFill>
                <a:srgbClr val="000000"/>
              </a:solidFill>
              <a:prstDash val="solid"/>
            </a:ln>
          </c:spPr>
        </c:majorGridlines>
        <c:title>
          <c:tx>
            <c:rich>
              <a:bodyPr rot="0" vert="horz"/>
              <a:lstStyle/>
              <a:p>
                <a:pPr algn="ctr">
                  <a:defRPr sz="975" b="1" i="0" u="none" strike="noStrike" baseline="0">
                    <a:solidFill>
                      <a:srgbClr val="000000"/>
                    </a:solidFill>
                    <a:latin typeface="Arial"/>
                    <a:ea typeface="Arial"/>
                    <a:cs typeface="Arial"/>
                  </a:defRPr>
                </a:pPr>
                <a:r>
                  <a:t>R('000)</a:t>
                </a:r>
              </a:p>
            </c:rich>
          </c:tx>
          <c:layout>
            <c:manualLayout>
              <c:xMode val="edge"/>
              <c:yMode val="edge"/>
              <c:x val="7.859356792019255E-2"/>
              <c:y val="0.4341216246274300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89329792"/>
        <c:crosses val="autoZero"/>
        <c:crossBetween val="between"/>
      </c:valAx>
      <c:dTable>
        <c:showHorzBorder val="1"/>
        <c:showVertBorder val="1"/>
        <c:showOutline val="1"/>
        <c:showKeys val="1"/>
        <c:spPr>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noFill/>
    <a:ln w="9525">
      <a:noFill/>
    </a:ln>
  </c:spPr>
  <c:txPr>
    <a:bodyPr/>
    <a:lstStyle/>
    <a:p>
      <a:pPr>
        <a:defRPr sz="975" b="0" i="0" u="none" strike="noStrike" baseline="0">
          <a:solidFill>
            <a:srgbClr val="000000"/>
          </a:solidFill>
          <a:latin typeface="Arial"/>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t>Revenue By Minor Source (break down of other from previous chart) - Annexure H</a:t>
            </a:r>
          </a:p>
        </c:rich>
      </c:tx>
      <c:layout>
        <c:manualLayout>
          <c:xMode val="edge"/>
          <c:yMode val="edge"/>
          <c:x val="0.19648391980048138"/>
          <c:y val="2.0270296721384404E-2"/>
        </c:manualLayout>
      </c:layout>
      <c:overlay val="0"/>
      <c:spPr>
        <a:noFill/>
        <a:ln w="25400">
          <a:noFill/>
        </a:ln>
      </c:spPr>
    </c:title>
    <c:autoTitleDeleted val="0"/>
    <c:view3D>
      <c:rotX val="15"/>
      <c:hPercent val="5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25439503619441572"/>
          <c:y val="0.10304054054054054"/>
          <c:w val="0.73526370217166492"/>
          <c:h val="0.58108108108108103"/>
        </c:manualLayout>
      </c:layout>
      <c:bar3DChart>
        <c:barDir val="col"/>
        <c:grouping val="stacked"/>
        <c:varyColors val="0"/>
        <c:ser>
          <c:idx val="0"/>
          <c:order val="0"/>
          <c:tx>
            <c:strRef>
              <c:f>' Table 1 - Rev by Source'!$J$19</c:f>
              <c:strCache>
                <c:ptCount val="1"/>
                <c:pt idx="0">
                  <c:v>Dividends</c:v>
                </c:pt>
              </c:strCache>
            </c:strRef>
          </c:tx>
          <c:spPr>
            <a:solidFill>
              <a:srgbClr val="9999FF"/>
            </a:solidFill>
            <a:ln w="12700">
              <a:solidFill>
                <a:srgbClr val="000000"/>
              </a:solidFill>
              <a:prstDash val="solid"/>
            </a:ln>
          </c:spPr>
          <c:invertIfNegative val="0"/>
          <c:cat>
            <c:strRef>
              <c:f>' Table 1 - Rev by Source'!$K$18:$Q$18</c:f>
              <c:strCache>
                <c:ptCount val="7"/>
                <c:pt idx="0">
                  <c:v>08/09 Aud</c:v>
                </c:pt>
                <c:pt idx="1">
                  <c:v>09/10 Bud</c:v>
                </c:pt>
                <c:pt idx="2">
                  <c:v>09/10 Adj</c:v>
                </c:pt>
                <c:pt idx="3">
                  <c:v>09/10 Est</c:v>
                </c:pt>
                <c:pt idx="4">
                  <c:v>10/11 Bud</c:v>
                </c:pt>
                <c:pt idx="5">
                  <c:v>11/12 Proj</c:v>
                </c:pt>
                <c:pt idx="6">
                  <c:v>12/13 Proj</c:v>
                </c:pt>
              </c:strCache>
            </c:strRef>
          </c:cat>
          <c:val>
            <c:numRef>
              <c:f>' Table 1 - Rev by Source'!$K$19:$Q$19</c:f>
              <c:numCache>
                <c:formatCode>#,##0</c:formatCode>
                <c:ptCount val="7"/>
                <c:pt idx="0">
                  <c:v>3158</c:v>
                </c:pt>
                <c:pt idx="1">
                  <c:v>4211</c:v>
                </c:pt>
                <c:pt idx="2">
                  <c:v>4211</c:v>
                </c:pt>
                <c:pt idx="3">
                  <c:v>5204</c:v>
                </c:pt>
                <c:pt idx="4">
                  <c:v>0</c:v>
                </c:pt>
                <c:pt idx="5">
                  <c:v>0</c:v>
                </c:pt>
                <c:pt idx="6">
                  <c:v>0</c:v>
                </c:pt>
              </c:numCache>
            </c:numRef>
          </c:val>
        </c:ser>
        <c:ser>
          <c:idx val="1"/>
          <c:order val="1"/>
          <c:tx>
            <c:strRef>
              <c:f>' Table 1 - Rev by Source'!$J$20</c:f>
              <c:strCache>
                <c:ptCount val="1"/>
                <c:pt idx="0">
                  <c:v>Fines</c:v>
                </c:pt>
              </c:strCache>
            </c:strRef>
          </c:tx>
          <c:spPr>
            <a:solidFill>
              <a:srgbClr val="993366"/>
            </a:solidFill>
            <a:ln w="12700">
              <a:solidFill>
                <a:srgbClr val="000000"/>
              </a:solidFill>
              <a:prstDash val="solid"/>
            </a:ln>
          </c:spPr>
          <c:invertIfNegative val="0"/>
          <c:cat>
            <c:strRef>
              <c:f>' Table 1 - Rev by Source'!$K$18:$Q$18</c:f>
              <c:strCache>
                <c:ptCount val="7"/>
                <c:pt idx="0">
                  <c:v>08/09 Aud</c:v>
                </c:pt>
                <c:pt idx="1">
                  <c:v>09/10 Bud</c:v>
                </c:pt>
                <c:pt idx="2">
                  <c:v>09/10 Adj</c:v>
                </c:pt>
                <c:pt idx="3">
                  <c:v>09/10 Est</c:v>
                </c:pt>
                <c:pt idx="4">
                  <c:v>10/11 Bud</c:v>
                </c:pt>
                <c:pt idx="5">
                  <c:v>11/12 Proj</c:v>
                </c:pt>
                <c:pt idx="6">
                  <c:v>12/13 Proj</c:v>
                </c:pt>
              </c:strCache>
            </c:strRef>
          </c:cat>
          <c:val>
            <c:numRef>
              <c:f>' Table 1 - Rev by Source'!$K$20:$Q$20</c:f>
              <c:numCache>
                <c:formatCode>#,##0</c:formatCode>
                <c:ptCount val="7"/>
                <c:pt idx="0">
                  <c:v>1033960</c:v>
                </c:pt>
                <c:pt idx="1">
                  <c:v>1360885</c:v>
                </c:pt>
                <c:pt idx="2">
                  <c:v>1360885</c:v>
                </c:pt>
                <c:pt idx="3">
                  <c:v>1081886.3999999999</c:v>
                </c:pt>
                <c:pt idx="4">
                  <c:v>1100000</c:v>
                </c:pt>
                <c:pt idx="5">
                  <c:v>1166000</c:v>
                </c:pt>
                <c:pt idx="6">
                  <c:v>1235960</c:v>
                </c:pt>
              </c:numCache>
            </c:numRef>
          </c:val>
        </c:ser>
        <c:ser>
          <c:idx val="2"/>
          <c:order val="2"/>
          <c:tx>
            <c:strRef>
              <c:f>' Table 1 - Rev by Source'!$J$21</c:f>
              <c:strCache>
                <c:ptCount val="1"/>
                <c:pt idx="0">
                  <c:v>Rental of facilities and equipment</c:v>
                </c:pt>
              </c:strCache>
            </c:strRef>
          </c:tx>
          <c:spPr>
            <a:solidFill>
              <a:srgbClr val="FFFFCC"/>
            </a:solidFill>
            <a:ln w="12700">
              <a:solidFill>
                <a:srgbClr val="000000"/>
              </a:solidFill>
              <a:prstDash val="solid"/>
            </a:ln>
          </c:spPr>
          <c:invertIfNegative val="0"/>
          <c:cat>
            <c:strRef>
              <c:f>' Table 1 - Rev by Source'!$K$18:$Q$18</c:f>
              <c:strCache>
                <c:ptCount val="7"/>
                <c:pt idx="0">
                  <c:v>08/09 Aud</c:v>
                </c:pt>
                <c:pt idx="1">
                  <c:v>09/10 Bud</c:v>
                </c:pt>
                <c:pt idx="2">
                  <c:v>09/10 Adj</c:v>
                </c:pt>
                <c:pt idx="3">
                  <c:v>09/10 Est</c:v>
                </c:pt>
                <c:pt idx="4">
                  <c:v>10/11 Bud</c:v>
                </c:pt>
                <c:pt idx="5">
                  <c:v>11/12 Proj</c:v>
                </c:pt>
                <c:pt idx="6">
                  <c:v>12/13 Proj</c:v>
                </c:pt>
              </c:strCache>
            </c:strRef>
          </c:cat>
          <c:val>
            <c:numRef>
              <c:f>' Table 1 - Rev by Source'!$K$21:$Q$21</c:f>
              <c:numCache>
                <c:formatCode>#,##0</c:formatCode>
                <c:ptCount val="7"/>
                <c:pt idx="0">
                  <c:v>421958</c:v>
                </c:pt>
                <c:pt idx="1">
                  <c:v>332868</c:v>
                </c:pt>
                <c:pt idx="2">
                  <c:v>332868</c:v>
                </c:pt>
                <c:pt idx="3">
                  <c:v>463792.79999999993</c:v>
                </c:pt>
                <c:pt idx="4">
                  <c:v>511171</c:v>
                </c:pt>
                <c:pt idx="5">
                  <c:v>542416</c:v>
                </c:pt>
                <c:pt idx="6">
                  <c:v>575593</c:v>
                </c:pt>
              </c:numCache>
            </c:numRef>
          </c:val>
        </c:ser>
        <c:ser>
          <c:idx val="3"/>
          <c:order val="3"/>
          <c:tx>
            <c:strRef>
              <c:f>' Table 1 - Rev by Source'!$J$22</c:f>
              <c:strCache>
                <c:ptCount val="1"/>
                <c:pt idx="0">
                  <c:v>Interest earned - external investments</c:v>
                </c:pt>
              </c:strCache>
            </c:strRef>
          </c:tx>
          <c:spPr>
            <a:solidFill>
              <a:srgbClr val="CCFFFF"/>
            </a:solidFill>
            <a:ln w="12700">
              <a:solidFill>
                <a:srgbClr val="000000"/>
              </a:solidFill>
              <a:prstDash val="solid"/>
            </a:ln>
          </c:spPr>
          <c:invertIfNegative val="0"/>
          <c:cat>
            <c:strRef>
              <c:f>' Table 1 - Rev by Source'!$K$18:$Q$18</c:f>
              <c:strCache>
                <c:ptCount val="7"/>
                <c:pt idx="0">
                  <c:v>08/09 Aud</c:v>
                </c:pt>
                <c:pt idx="1">
                  <c:v>09/10 Bud</c:v>
                </c:pt>
                <c:pt idx="2">
                  <c:v>09/10 Adj</c:v>
                </c:pt>
                <c:pt idx="3">
                  <c:v>09/10 Est</c:v>
                </c:pt>
                <c:pt idx="4">
                  <c:v>10/11 Bud</c:v>
                </c:pt>
                <c:pt idx="5">
                  <c:v>11/12 Proj</c:v>
                </c:pt>
                <c:pt idx="6">
                  <c:v>12/13 Proj</c:v>
                </c:pt>
              </c:strCache>
            </c:strRef>
          </c:cat>
          <c:val>
            <c:numRef>
              <c:f>' Table 1 - Rev by Source'!$K$22:$Q$22</c:f>
              <c:numCache>
                <c:formatCode>#,##0</c:formatCode>
                <c:ptCount val="7"/>
                <c:pt idx="0">
                  <c:v>76165</c:v>
                </c:pt>
                <c:pt idx="1">
                  <c:v>36100</c:v>
                </c:pt>
                <c:pt idx="2">
                  <c:v>36100</c:v>
                </c:pt>
                <c:pt idx="3">
                  <c:v>50349.599999999999</c:v>
                </c:pt>
                <c:pt idx="4">
                  <c:v>75300</c:v>
                </c:pt>
                <c:pt idx="5">
                  <c:v>75830</c:v>
                </c:pt>
                <c:pt idx="6">
                  <c:v>76413</c:v>
                </c:pt>
              </c:numCache>
            </c:numRef>
          </c:val>
        </c:ser>
        <c:ser>
          <c:idx val="4"/>
          <c:order val="4"/>
          <c:tx>
            <c:strRef>
              <c:f>' Table 1 - Rev by Source'!$J$23</c:f>
              <c:strCache>
                <c:ptCount val="1"/>
                <c:pt idx="0">
                  <c:v>Refuse tariffs</c:v>
                </c:pt>
              </c:strCache>
            </c:strRef>
          </c:tx>
          <c:spPr>
            <a:solidFill>
              <a:srgbClr val="660066"/>
            </a:solidFill>
            <a:ln w="12700">
              <a:solidFill>
                <a:srgbClr val="000000"/>
              </a:solidFill>
              <a:prstDash val="solid"/>
            </a:ln>
          </c:spPr>
          <c:invertIfNegative val="0"/>
          <c:cat>
            <c:strRef>
              <c:f>' Table 1 - Rev by Source'!$K$18:$Q$18</c:f>
              <c:strCache>
                <c:ptCount val="7"/>
                <c:pt idx="0">
                  <c:v>08/09 Aud</c:v>
                </c:pt>
                <c:pt idx="1">
                  <c:v>09/10 Bud</c:v>
                </c:pt>
                <c:pt idx="2">
                  <c:v>09/10 Adj</c:v>
                </c:pt>
                <c:pt idx="3">
                  <c:v>09/10 Est</c:v>
                </c:pt>
                <c:pt idx="4">
                  <c:v>10/11 Bud</c:v>
                </c:pt>
                <c:pt idx="5">
                  <c:v>11/12 Proj</c:v>
                </c:pt>
                <c:pt idx="6">
                  <c:v>12/13 Proj</c:v>
                </c:pt>
              </c:strCache>
            </c:strRef>
          </c:cat>
          <c:val>
            <c:numRef>
              <c:f>' Table 1 - Rev by Source'!$K$23:$Q$23</c:f>
              <c:numCache>
                <c:formatCode>#,##0</c:formatCode>
                <c:ptCount val="7"/>
                <c:pt idx="0">
                  <c:v>3014546</c:v>
                </c:pt>
                <c:pt idx="1">
                  <c:v>3120604</c:v>
                </c:pt>
                <c:pt idx="2">
                  <c:v>3120604</c:v>
                </c:pt>
                <c:pt idx="3">
                  <c:v>3124473.5999999996</c:v>
                </c:pt>
                <c:pt idx="4">
                  <c:v>3458160</c:v>
                </c:pt>
                <c:pt idx="5">
                  <c:v>3976884</c:v>
                </c:pt>
                <c:pt idx="6">
                  <c:v>4573417</c:v>
                </c:pt>
              </c:numCache>
            </c:numRef>
          </c:val>
        </c:ser>
        <c:ser>
          <c:idx val="5"/>
          <c:order val="5"/>
          <c:tx>
            <c:strRef>
              <c:f>' Table 1 - Rev by Source'!$J$24</c:f>
              <c:strCache>
                <c:ptCount val="1"/>
                <c:pt idx="0">
                  <c:v>Sanitation tariffs</c:v>
                </c:pt>
              </c:strCache>
            </c:strRef>
          </c:tx>
          <c:spPr>
            <a:solidFill>
              <a:srgbClr val="FF8080"/>
            </a:solidFill>
            <a:ln w="12700">
              <a:solidFill>
                <a:srgbClr val="000000"/>
              </a:solidFill>
              <a:prstDash val="solid"/>
            </a:ln>
          </c:spPr>
          <c:invertIfNegative val="0"/>
          <c:cat>
            <c:strRef>
              <c:f>' Table 1 - Rev by Source'!$K$18:$Q$18</c:f>
              <c:strCache>
                <c:ptCount val="7"/>
                <c:pt idx="0">
                  <c:v>08/09 Aud</c:v>
                </c:pt>
                <c:pt idx="1">
                  <c:v>09/10 Bud</c:v>
                </c:pt>
                <c:pt idx="2">
                  <c:v>09/10 Adj</c:v>
                </c:pt>
                <c:pt idx="3">
                  <c:v>09/10 Est</c:v>
                </c:pt>
                <c:pt idx="4">
                  <c:v>10/11 Bud</c:v>
                </c:pt>
                <c:pt idx="5">
                  <c:v>11/12 Proj</c:v>
                </c:pt>
                <c:pt idx="6">
                  <c:v>12/13 Proj</c:v>
                </c:pt>
              </c:strCache>
            </c:strRef>
          </c:cat>
          <c:val>
            <c:numRef>
              <c:f>' Table 1 - Rev by Source'!$K$24:$Q$24</c:f>
              <c:numCache>
                <c:formatCode>#,##0</c:formatCode>
                <c:ptCount val="7"/>
                <c:pt idx="0">
                  <c:v>3471379</c:v>
                </c:pt>
                <c:pt idx="1">
                  <c:v>4737202</c:v>
                </c:pt>
                <c:pt idx="2">
                  <c:v>4737202</c:v>
                </c:pt>
                <c:pt idx="3">
                  <c:v>4677733.1999999993</c:v>
                </c:pt>
                <c:pt idx="4">
                  <c:v>5128704</c:v>
                </c:pt>
                <c:pt idx="5">
                  <c:v>5898010</c:v>
                </c:pt>
                <c:pt idx="6">
                  <c:v>7233408</c:v>
                </c:pt>
              </c:numCache>
            </c:numRef>
          </c:val>
        </c:ser>
        <c:ser>
          <c:idx val="6"/>
          <c:order val="6"/>
          <c:tx>
            <c:strRef>
              <c:f>' Table 1 - Rev by Source'!$J$25</c:f>
              <c:strCache>
                <c:ptCount val="1"/>
                <c:pt idx="0">
                  <c:v>Other service charges</c:v>
                </c:pt>
              </c:strCache>
            </c:strRef>
          </c:tx>
          <c:spPr>
            <a:solidFill>
              <a:srgbClr val="0066CC"/>
            </a:solidFill>
            <a:ln w="12700">
              <a:solidFill>
                <a:srgbClr val="000000"/>
              </a:solidFill>
              <a:prstDash val="solid"/>
            </a:ln>
          </c:spPr>
          <c:invertIfNegative val="0"/>
          <c:cat>
            <c:strRef>
              <c:f>' Table 1 - Rev by Source'!$K$18:$Q$18</c:f>
              <c:strCache>
                <c:ptCount val="7"/>
                <c:pt idx="0">
                  <c:v>08/09 Aud</c:v>
                </c:pt>
                <c:pt idx="1">
                  <c:v>09/10 Bud</c:v>
                </c:pt>
                <c:pt idx="2">
                  <c:v>09/10 Adj</c:v>
                </c:pt>
                <c:pt idx="3">
                  <c:v>09/10 Est</c:v>
                </c:pt>
                <c:pt idx="4">
                  <c:v>10/11 Bud</c:v>
                </c:pt>
                <c:pt idx="5">
                  <c:v>11/12 Proj</c:v>
                </c:pt>
                <c:pt idx="6">
                  <c:v>12/13 Proj</c:v>
                </c:pt>
              </c:strCache>
            </c:strRef>
          </c:cat>
          <c:val>
            <c:numRef>
              <c:f>' Table 1 - Rev by Source'!$K$25:$Q$25</c:f>
              <c:numCache>
                <c:formatCode>#,##0</c:formatCode>
                <c:ptCount val="7"/>
                <c:pt idx="0">
                  <c:v>632163</c:v>
                </c:pt>
                <c:pt idx="1">
                  <c:v>460917</c:v>
                </c:pt>
                <c:pt idx="2">
                  <c:v>1035517</c:v>
                </c:pt>
                <c:pt idx="3">
                  <c:v>800322</c:v>
                </c:pt>
                <c:pt idx="4">
                  <c:v>330511</c:v>
                </c:pt>
                <c:pt idx="5">
                  <c:v>350342</c:v>
                </c:pt>
                <c:pt idx="6">
                  <c:v>371361</c:v>
                </c:pt>
              </c:numCache>
            </c:numRef>
          </c:val>
        </c:ser>
        <c:dLbls>
          <c:showLegendKey val="0"/>
          <c:showVal val="0"/>
          <c:showCatName val="0"/>
          <c:showSerName val="0"/>
          <c:showPercent val="0"/>
          <c:showBubbleSize val="0"/>
        </c:dLbls>
        <c:gapWidth val="150"/>
        <c:shape val="box"/>
        <c:axId val="189376384"/>
        <c:axId val="189377920"/>
        <c:axId val="0"/>
      </c:bar3DChart>
      <c:catAx>
        <c:axId val="18937638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89377920"/>
        <c:crosses val="autoZero"/>
        <c:auto val="1"/>
        <c:lblAlgn val="ctr"/>
        <c:lblOffset val="100"/>
        <c:tickLblSkip val="1"/>
        <c:tickMarkSkip val="1"/>
        <c:noMultiLvlLbl val="0"/>
      </c:catAx>
      <c:valAx>
        <c:axId val="189377920"/>
        <c:scaling>
          <c:orientation val="minMax"/>
        </c:scaling>
        <c:delete val="0"/>
        <c:axPos val="l"/>
        <c:majorGridlines>
          <c:spPr>
            <a:ln w="3175">
              <a:solidFill>
                <a:srgbClr val="000000"/>
              </a:solidFill>
              <a:prstDash val="solid"/>
            </a:ln>
          </c:spPr>
        </c:majorGridlines>
        <c:title>
          <c:tx>
            <c:rich>
              <a:bodyPr rot="0" vert="horz"/>
              <a:lstStyle/>
              <a:p>
                <a:pPr algn="ctr">
                  <a:defRPr sz="975" b="1" i="0" u="none" strike="noStrike" baseline="0">
                    <a:solidFill>
                      <a:srgbClr val="000000"/>
                    </a:solidFill>
                    <a:latin typeface="Arial"/>
                    <a:ea typeface="Arial"/>
                    <a:cs typeface="Arial"/>
                  </a:defRPr>
                </a:pPr>
                <a:r>
                  <a:t>R'000</a:t>
                </a:r>
              </a:p>
            </c:rich>
          </c:tx>
          <c:layout>
            <c:manualLayout>
              <c:xMode val="edge"/>
              <c:yMode val="edge"/>
              <c:x val="0.18924505287461477"/>
              <c:y val="0.3935810311846612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89376384"/>
        <c:crosses val="autoZero"/>
        <c:crossBetween val="between"/>
      </c:valAx>
      <c:dTable>
        <c:showHorzBorder val="1"/>
        <c:showVertBorder val="1"/>
        <c:showOutline val="1"/>
        <c:showKeys val="1"/>
        <c:spPr>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noFill/>
    <a:ln w="9525">
      <a:noFill/>
    </a:ln>
  </c:spPr>
  <c:txPr>
    <a:bodyPr/>
    <a:lstStyle/>
    <a:p>
      <a:pPr>
        <a:defRPr sz="975"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t>Operating Expenditure by Major Vote (see next chart for breakdown of other) - Annexure I</a:t>
            </a:r>
          </a:p>
        </c:rich>
      </c:tx>
      <c:layout>
        <c:manualLayout>
          <c:xMode val="edge"/>
          <c:yMode val="edge"/>
          <c:x val="0.14788000566319251"/>
          <c:y val="2.0270296721384404E-2"/>
        </c:manualLayout>
      </c:layout>
      <c:overlay val="0"/>
      <c:spPr>
        <a:noFill/>
        <a:ln w="25400">
          <a:noFill/>
        </a:ln>
      </c:spPr>
    </c:title>
    <c:autoTitleDeleted val="0"/>
    <c:view3D>
      <c:rotX val="15"/>
      <c:hPercent val="57"/>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2078593588417787"/>
          <c:y val="7.9391891891891886E-2"/>
          <c:w val="0.78179937952430201"/>
          <c:h val="0.51351351351351349"/>
        </c:manualLayout>
      </c:layout>
      <c:bar3DChart>
        <c:barDir val="col"/>
        <c:grouping val="stacked"/>
        <c:varyColors val="0"/>
        <c:ser>
          <c:idx val="0"/>
          <c:order val="0"/>
          <c:tx>
            <c:strRef>
              <c:f>'Table 2 - Opex by Vote'!$J$8</c:f>
              <c:strCache>
                <c:ptCount val="1"/>
                <c:pt idx="0">
                  <c:v>Electricity</c:v>
                </c:pt>
              </c:strCache>
            </c:strRef>
          </c:tx>
          <c:spPr>
            <a:solidFill>
              <a:srgbClr val="9999FF"/>
            </a:solidFill>
            <a:ln w="12700">
              <a:solidFill>
                <a:srgbClr val="000000"/>
              </a:solidFill>
              <a:prstDash val="solid"/>
            </a:ln>
          </c:spPr>
          <c:invertIfNegative val="0"/>
          <c:cat>
            <c:strRef>
              <c:f>'Table 2 - Opex by Vote'!$K$7:$Q$7</c:f>
              <c:strCache>
                <c:ptCount val="7"/>
                <c:pt idx="0">
                  <c:v>08/09 Aud</c:v>
                </c:pt>
                <c:pt idx="1">
                  <c:v>09/10 Bud</c:v>
                </c:pt>
                <c:pt idx="2">
                  <c:v>09/10 Adj</c:v>
                </c:pt>
                <c:pt idx="3">
                  <c:v>09/10 Est</c:v>
                </c:pt>
                <c:pt idx="4">
                  <c:v>10/11 Bud</c:v>
                </c:pt>
                <c:pt idx="5">
                  <c:v>11/12 Proj</c:v>
                </c:pt>
                <c:pt idx="6">
                  <c:v>12/13 Proj</c:v>
                </c:pt>
              </c:strCache>
            </c:strRef>
          </c:cat>
          <c:val>
            <c:numRef>
              <c:f>'Table 2 - Opex by Vote'!$K$8:$Q$8</c:f>
              <c:numCache>
                <c:formatCode>#,##0</c:formatCode>
                <c:ptCount val="7"/>
                <c:pt idx="0">
                  <c:v>44064</c:v>
                </c:pt>
                <c:pt idx="1">
                  <c:v>340418</c:v>
                </c:pt>
                <c:pt idx="2">
                  <c:v>340418</c:v>
                </c:pt>
                <c:pt idx="3">
                  <c:v>337134</c:v>
                </c:pt>
                <c:pt idx="4">
                  <c:v>11114918</c:v>
                </c:pt>
                <c:pt idx="5">
                  <c:v>13626884</c:v>
                </c:pt>
                <c:pt idx="6">
                  <c:v>16758796</c:v>
                </c:pt>
              </c:numCache>
            </c:numRef>
          </c:val>
        </c:ser>
        <c:ser>
          <c:idx val="1"/>
          <c:order val="1"/>
          <c:tx>
            <c:strRef>
              <c:f>'Table 2 - Opex by Vote'!$J$9</c:f>
              <c:strCache>
                <c:ptCount val="1"/>
                <c:pt idx="0">
                  <c:v>Water</c:v>
                </c:pt>
              </c:strCache>
            </c:strRef>
          </c:tx>
          <c:spPr>
            <a:solidFill>
              <a:srgbClr val="993366"/>
            </a:solidFill>
            <a:ln w="12700">
              <a:solidFill>
                <a:srgbClr val="000000"/>
              </a:solidFill>
              <a:prstDash val="solid"/>
            </a:ln>
          </c:spPr>
          <c:invertIfNegative val="0"/>
          <c:cat>
            <c:strRef>
              <c:f>'Table 2 - Opex by Vote'!$K$7:$Q$7</c:f>
              <c:strCache>
                <c:ptCount val="7"/>
                <c:pt idx="0">
                  <c:v>08/09 Aud</c:v>
                </c:pt>
                <c:pt idx="1">
                  <c:v>09/10 Bud</c:v>
                </c:pt>
                <c:pt idx="2">
                  <c:v>09/10 Adj</c:v>
                </c:pt>
                <c:pt idx="3">
                  <c:v>09/10 Est</c:v>
                </c:pt>
                <c:pt idx="4">
                  <c:v>10/11 Bud</c:v>
                </c:pt>
                <c:pt idx="5">
                  <c:v>11/12 Proj</c:v>
                </c:pt>
                <c:pt idx="6">
                  <c:v>12/13 Proj</c:v>
                </c:pt>
              </c:strCache>
            </c:strRef>
          </c:cat>
          <c:val>
            <c:numRef>
              <c:f>'Table 2 - Opex by Vote'!$K$9:$Q$9</c:f>
              <c:numCache>
                <c:formatCode>#,##0</c:formatCode>
                <c:ptCount val="7"/>
                <c:pt idx="0">
                  <c:v>7094443</c:v>
                </c:pt>
                <c:pt idx="1">
                  <c:v>6930726</c:v>
                </c:pt>
                <c:pt idx="2">
                  <c:v>6930726</c:v>
                </c:pt>
                <c:pt idx="3">
                  <c:v>5338705.2000000011</c:v>
                </c:pt>
                <c:pt idx="4">
                  <c:v>8562718</c:v>
                </c:pt>
                <c:pt idx="5">
                  <c:v>9006002</c:v>
                </c:pt>
                <c:pt idx="6">
                  <c:v>9734985</c:v>
                </c:pt>
              </c:numCache>
            </c:numRef>
          </c:val>
        </c:ser>
        <c:ser>
          <c:idx val="2"/>
          <c:order val="2"/>
          <c:tx>
            <c:strRef>
              <c:f>'Table 2 - Opex by Vote'!$J$10</c:f>
              <c:strCache>
                <c:ptCount val="1"/>
                <c:pt idx="0">
                  <c:v>Community &amp; Social Services</c:v>
                </c:pt>
              </c:strCache>
            </c:strRef>
          </c:tx>
          <c:spPr>
            <a:solidFill>
              <a:srgbClr val="FFFFCC"/>
            </a:solidFill>
            <a:ln w="12700">
              <a:solidFill>
                <a:srgbClr val="000000"/>
              </a:solidFill>
              <a:prstDash val="solid"/>
            </a:ln>
          </c:spPr>
          <c:invertIfNegative val="0"/>
          <c:cat>
            <c:strRef>
              <c:f>'Table 2 - Opex by Vote'!$K$7:$Q$7</c:f>
              <c:strCache>
                <c:ptCount val="7"/>
                <c:pt idx="0">
                  <c:v>08/09 Aud</c:v>
                </c:pt>
                <c:pt idx="1">
                  <c:v>09/10 Bud</c:v>
                </c:pt>
                <c:pt idx="2">
                  <c:v>09/10 Adj</c:v>
                </c:pt>
                <c:pt idx="3">
                  <c:v>09/10 Est</c:v>
                </c:pt>
                <c:pt idx="4">
                  <c:v>10/11 Bud</c:v>
                </c:pt>
                <c:pt idx="5">
                  <c:v>11/12 Proj</c:v>
                </c:pt>
                <c:pt idx="6">
                  <c:v>12/13 Proj</c:v>
                </c:pt>
              </c:strCache>
            </c:strRef>
          </c:cat>
          <c:val>
            <c:numRef>
              <c:f>'Table 2 - Opex by Vote'!$K$10:$Q$10</c:f>
              <c:numCache>
                <c:formatCode>#,##0</c:formatCode>
                <c:ptCount val="7"/>
                <c:pt idx="0">
                  <c:v>1720513</c:v>
                </c:pt>
                <c:pt idx="1">
                  <c:v>3667555</c:v>
                </c:pt>
                <c:pt idx="2">
                  <c:v>3067555</c:v>
                </c:pt>
                <c:pt idx="3">
                  <c:v>2305503.6</c:v>
                </c:pt>
                <c:pt idx="4">
                  <c:v>2951771</c:v>
                </c:pt>
                <c:pt idx="5">
                  <c:v>3164735</c:v>
                </c:pt>
                <c:pt idx="6">
                  <c:v>3393254</c:v>
                </c:pt>
              </c:numCache>
            </c:numRef>
          </c:val>
        </c:ser>
        <c:ser>
          <c:idx val="3"/>
          <c:order val="3"/>
          <c:tx>
            <c:strRef>
              <c:f>'Table 2 - Opex by Vote'!$J$11</c:f>
              <c:strCache>
                <c:ptCount val="1"/>
                <c:pt idx="0">
                  <c:v>Finance &amp; Admin</c:v>
                </c:pt>
              </c:strCache>
            </c:strRef>
          </c:tx>
          <c:spPr>
            <a:solidFill>
              <a:srgbClr val="CCFFFF"/>
            </a:solidFill>
            <a:ln w="12700">
              <a:solidFill>
                <a:srgbClr val="000000"/>
              </a:solidFill>
              <a:prstDash val="solid"/>
            </a:ln>
          </c:spPr>
          <c:invertIfNegative val="0"/>
          <c:cat>
            <c:strRef>
              <c:f>'Table 2 - Opex by Vote'!$K$7:$Q$7</c:f>
              <c:strCache>
                <c:ptCount val="7"/>
                <c:pt idx="0">
                  <c:v>08/09 Aud</c:v>
                </c:pt>
                <c:pt idx="1">
                  <c:v>09/10 Bud</c:v>
                </c:pt>
                <c:pt idx="2">
                  <c:v>09/10 Adj</c:v>
                </c:pt>
                <c:pt idx="3">
                  <c:v>09/10 Est</c:v>
                </c:pt>
                <c:pt idx="4">
                  <c:v>10/11 Bud</c:v>
                </c:pt>
                <c:pt idx="5">
                  <c:v>11/12 Proj</c:v>
                </c:pt>
                <c:pt idx="6">
                  <c:v>12/13 Proj</c:v>
                </c:pt>
              </c:strCache>
            </c:strRef>
          </c:cat>
          <c:val>
            <c:numRef>
              <c:f>'Table 2 - Opex by Vote'!$K$11:$Q$11</c:f>
              <c:numCache>
                <c:formatCode>#,##0</c:formatCode>
                <c:ptCount val="7"/>
                <c:pt idx="0">
                  <c:v>15555672</c:v>
                </c:pt>
                <c:pt idx="1">
                  <c:v>15049532</c:v>
                </c:pt>
                <c:pt idx="2">
                  <c:v>15901532</c:v>
                </c:pt>
                <c:pt idx="3">
                  <c:v>17312548.799999997</c:v>
                </c:pt>
                <c:pt idx="4">
                  <c:v>21068441</c:v>
                </c:pt>
                <c:pt idx="5">
                  <c:v>21449825</c:v>
                </c:pt>
                <c:pt idx="6">
                  <c:v>22732583</c:v>
                </c:pt>
              </c:numCache>
            </c:numRef>
          </c:val>
        </c:ser>
        <c:ser>
          <c:idx val="4"/>
          <c:order val="4"/>
          <c:tx>
            <c:strRef>
              <c:f>'Table 2 - Opex by Vote'!$J$12</c:f>
              <c:strCache>
                <c:ptCount val="1"/>
                <c:pt idx="0">
                  <c:v>Public Safety</c:v>
                </c:pt>
              </c:strCache>
            </c:strRef>
          </c:tx>
          <c:spPr>
            <a:solidFill>
              <a:srgbClr val="660066"/>
            </a:solidFill>
            <a:ln w="12700">
              <a:solidFill>
                <a:srgbClr val="000000"/>
              </a:solidFill>
              <a:prstDash val="solid"/>
            </a:ln>
          </c:spPr>
          <c:invertIfNegative val="0"/>
          <c:cat>
            <c:strRef>
              <c:f>'Table 2 - Opex by Vote'!$K$7:$Q$7</c:f>
              <c:strCache>
                <c:ptCount val="7"/>
                <c:pt idx="0">
                  <c:v>08/09 Aud</c:v>
                </c:pt>
                <c:pt idx="1">
                  <c:v>09/10 Bud</c:v>
                </c:pt>
                <c:pt idx="2">
                  <c:v>09/10 Adj</c:v>
                </c:pt>
                <c:pt idx="3">
                  <c:v>09/10 Est</c:v>
                </c:pt>
                <c:pt idx="4">
                  <c:v>10/11 Bud</c:v>
                </c:pt>
                <c:pt idx="5">
                  <c:v>11/12 Proj</c:v>
                </c:pt>
                <c:pt idx="6">
                  <c:v>12/13 Proj</c:v>
                </c:pt>
              </c:strCache>
            </c:strRef>
          </c:cat>
          <c:val>
            <c:numRef>
              <c:f>'Table 2 - Opex by Vote'!$K$12:$Q$12</c:f>
              <c:numCache>
                <c:formatCode>#,##0</c:formatCode>
                <c:ptCount val="7"/>
                <c:pt idx="0">
                  <c:v>2806713</c:v>
                </c:pt>
                <c:pt idx="1">
                  <c:v>2485440</c:v>
                </c:pt>
                <c:pt idx="2">
                  <c:v>2335440</c:v>
                </c:pt>
                <c:pt idx="3">
                  <c:v>6564259.1999999993</c:v>
                </c:pt>
                <c:pt idx="4">
                  <c:v>2635680</c:v>
                </c:pt>
                <c:pt idx="5">
                  <c:v>2811797</c:v>
                </c:pt>
                <c:pt idx="6">
                  <c:v>2999965</c:v>
                </c:pt>
              </c:numCache>
            </c:numRef>
          </c:val>
        </c:ser>
        <c:ser>
          <c:idx val="5"/>
          <c:order val="5"/>
          <c:tx>
            <c:strRef>
              <c:f>'Table 2 - Opex by Vote'!$J$13</c:f>
              <c:strCache>
                <c:ptCount val="1"/>
                <c:pt idx="0">
                  <c:v>Other</c:v>
                </c:pt>
              </c:strCache>
            </c:strRef>
          </c:tx>
          <c:spPr>
            <a:solidFill>
              <a:srgbClr val="FF8080"/>
            </a:solidFill>
            <a:ln w="12700">
              <a:solidFill>
                <a:srgbClr val="000000"/>
              </a:solidFill>
              <a:prstDash val="solid"/>
            </a:ln>
          </c:spPr>
          <c:invertIfNegative val="0"/>
          <c:cat>
            <c:strRef>
              <c:f>'Table 2 - Opex by Vote'!$K$7:$Q$7</c:f>
              <c:strCache>
                <c:ptCount val="7"/>
                <c:pt idx="0">
                  <c:v>08/09 Aud</c:v>
                </c:pt>
                <c:pt idx="1">
                  <c:v>09/10 Bud</c:v>
                </c:pt>
                <c:pt idx="2">
                  <c:v>09/10 Adj</c:v>
                </c:pt>
                <c:pt idx="3">
                  <c:v>09/10 Est</c:v>
                </c:pt>
                <c:pt idx="4">
                  <c:v>10/11 Bud</c:v>
                </c:pt>
                <c:pt idx="5">
                  <c:v>11/12 Proj</c:v>
                </c:pt>
                <c:pt idx="6">
                  <c:v>12/13 Proj</c:v>
                </c:pt>
              </c:strCache>
            </c:strRef>
          </c:cat>
          <c:val>
            <c:numRef>
              <c:f>'Table 2 - Opex by Vote'!$K$13:$Q$13</c:f>
              <c:numCache>
                <c:formatCode>#,##0</c:formatCode>
                <c:ptCount val="7"/>
                <c:pt idx="0">
                  <c:v>15145226</c:v>
                </c:pt>
                <c:pt idx="1">
                  <c:v>15923635</c:v>
                </c:pt>
                <c:pt idx="2">
                  <c:v>15769943</c:v>
                </c:pt>
                <c:pt idx="3">
                  <c:v>11681745.599999998</c:v>
                </c:pt>
                <c:pt idx="4">
                  <c:v>26122190</c:v>
                </c:pt>
                <c:pt idx="5">
                  <c:v>28600808</c:v>
                </c:pt>
                <c:pt idx="6">
                  <c:v>30932569</c:v>
                </c:pt>
              </c:numCache>
            </c:numRef>
          </c:val>
        </c:ser>
        <c:ser>
          <c:idx val="6"/>
          <c:order val="6"/>
          <c:tx>
            <c:strRef>
              <c:f>'Table 2 - Opex by Vote'!$J$14</c:f>
              <c:strCache>
                <c:ptCount val="1"/>
                <c:pt idx="0">
                  <c:v>Health</c:v>
                </c:pt>
              </c:strCache>
            </c:strRef>
          </c:tx>
          <c:spPr>
            <a:solidFill>
              <a:srgbClr val="0066CC"/>
            </a:solidFill>
            <a:ln w="12700">
              <a:solidFill>
                <a:srgbClr val="000000"/>
              </a:solidFill>
              <a:prstDash val="solid"/>
            </a:ln>
          </c:spPr>
          <c:invertIfNegative val="0"/>
          <c:cat>
            <c:strRef>
              <c:f>'Table 2 - Opex by Vote'!$K$7:$Q$7</c:f>
              <c:strCache>
                <c:ptCount val="7"/>
                <c:pt idx="0">
                  <c:v>08/09 Aud</c:v>
                </c:pt>
                <c:pt idx="1">
                  <c:v>09/10 Bud</c:v>
                </c:pt>
                <c:pt idx="2">
                  <c:v>09/10 Adj</c:v>
                </c:pt>
                <c:pt idx="3">
                  <c:v>09/10 Est</c:v>
                </c:pt>
                <c:pt idx="4">
                  <c:v>10/11 Bud</c:v>
                </c:pt>
                <c:pt idx="5">
                  <c:v>11/12 Proj</c:v>
                </c:pt>
                <c:pt idx="6">
                  <c:v>12/13 Proj</c:v>
                </c:pt>
              </c:strCache>
            </c:strRef>
          </c:cat>
          <c:val>
            <c:numRef>
              <c:f>'Table 2 - Opex by Vote'!$K$14:$Q$14</c:f>
              <c:numCache>
                <c:formatCode>#,##0</c:formatCode>
                <c:ptCount val="7"/>
                <c:pt idx="0">
                  <c:v>0</c:v>
                </c:pt>
                <c:pt idx="1">
                  <c:v>0</c:v>
                </c:pt>
                <c:pt idx="2">
                  <c:v>0</c:v>
                </c:pt>
                <c:pt idx="3">
                  <c:v>67014</c:v>
                </c:pt>
                <c:pt idx="4">
                  <c:v>216573</c:v>
                </c:pt>
                <c:pt idx="5">
                  <c:v>233542</c:v>
                </c:pt>
                <c:pt idx="6">
                  <c:v>251849</c:v>
                </c:pt>
              </c:numCache>
            </c:numRef>
          </c:val>
        </c:ser>
        <c:ser>
          <c:idx val="7"/>
          <c:order val="7"/>
          <c:tx>
            <c:strRef>
              <c:f>'Table 2 - Opex by Vote'!$J$15</c:f>
              <c:strCache>
                <c:ptCount val="1"/>
                <c:pt idx="0">
                  <c:v>Executive &amp; Council</c:v>
                </c:pt>
              </c:strCache>
            </c:strRef>
          </c:tx>
          <c:spPr>
            <a:solidFill>
              <a:srgbClr val="CCCCFF"/>
            </a:solidFill>
            <a:ln w="12700">
              <a:solidFill>
                <a:srgbClr val="000000"/>
              </a:solidFill>
              <a:prstDash val="solid"/>
            </a:ln>
          </c:spPr>
          <c:invertIfNegative val="0"/>
          <c:cat>
            <c:strRef>
              <c:f>'Table 2 - Opex by Vote'!$K$7:$Q$7</c:f>
              <c:strCache>
                <c:ptCount val="7"/>
                <c:pt idx="0">
                  <c:v>08/09 Aud</c:v>
                </c:pt>
                <c:pt idx="1">
                  <c:v>09/10 Bud</c:v>
                </c:pt>
                <c:pt idx="2">
                  <c:v>09/10 Adj</c:v>
                </c:pt>
                <c:pt idx="3">
                  <c:v>09/10 Est</c:v>
                </c:pt>
                <c:pt idx="4">
                  <c:v>10/11 Bud</c:v>
                </c:pt>
                <c:pt idx="5">
                  <c:v>11/12 Proj</c:v>
                </c:pt>
                <c:pt idx="6">
                  <c:v>12/13 Proj</c:v>
                </c:pt>
              </c:strCache>
            </c:strRef>
          </c:cat>
          <c:val>
            <c:numRef>
              <c:f>'Table 2 - Opex by Vote'!$K$15:$Q$15</c:f>
              <c:numCache>
                <c:formatCode>#,##0</c:formatCode>
                <c:ptCount val="7"/>
                <c:pt idx="0">
                  <c:v>4157649.76</c:v>
                </c:pt>
                <c:pt idx="1">
                  <c:v>7025016</c:v>
                </c:pt>
                <c:pt idx="2">
                  <c:v>7475016</c:v>
                </c:pt>
                <c:pt idx="3">
                  <c:v>5598481.9000000013</c:v>
                </c:pt>
                <c:pt idx="4">
                  <c:v>8941513</c:v>
                </c:pt>
                <c:pt idx="5">
                  <c:v>9591984</c:v>
                </c:pt>
                <c:pt idx="6">
                  <c:v>10318335</c:v>
                </c:pt>
              </c:numCache>
            </c:numRef>
          </c:val>
        </c:ser>
        <c:ser>
          <c:idx val="8"/>
          <c:order val="8"/>
          <c:tx>
            <c:strRef>
              <c:f>'Table 2 - Opex by Vote'!$J$16</c:f>
              <c:strCache>
                <c:ptCount val="1"/>
                <c:pt idx="0">
                  <c:v>Sport and Recreation</c:v>
                </c:pt>
              </c:strCache>
            </c:strRef>
          </c:tx>
          <c:spPr>
            <a:solidFill>
              <a:srgbClr val="000080"/>
            </a:solidFill>
            <a:ln w="12700">
              <a:solidFill>
                <a:srgbClr val="000000"/>
              </a:solidFill>
              <a:prstDash val="solid"/>
            </a:ln>
          </c:spPr>
          <c:invertIfNegative val="0"/>
          <c:cat>
            <c:strRef>
              <c:f>'Table 2 - Opex by Vote'!$K$7:$Q$7</c:f>
              <c:strCache>
                <c:ptCount val="7"/>
                <c:pt idx="0">
                  <c:v>08/09 Aud</c:v>
                </c:pt>
                <c:pt idx="1">
                  <c:v>09/10 Bud</c:v>
                </c:pt>
                <c:pt idx="2">
                  <c:v>09/10 Adj</c:v>
                </c:pt>
                <c:pt idx="3">
                  <c:v>09/10 Est</c:v>
                </c:pt>
                <c:pt idx="4">
                  <c:v>10/11 Bud</c:v>
                </c:pt>
                <c:pt idx="5">
                  <c:v>11/12 Proj</c:v>
                </c:pt>
                <c:pt idx="6">
                  <c:v>12/13 Proj</c:v>
                </c:pt>
              </c:strCache>
            </c:strRef>
          </c:cat>
          <c:val>
            <c:numRef>
              <c:f>'Table 2 - Opex by Vote'!$K$16:$Q$16</c:f>
              <c:numCache>
                <c:formatCode>#,##0</c:formatCode>
                <c:ptCount val="7"/>
                <c:pt idx="0">
                  <c:v>1202942</c:v>
                </c:pt>
                <c:pt idx="1">
                  <c:v>2240946</c:v>
                </c:pt>
                <c:pt idx="2">
                  <c:v>2240946</c:v>
                </c:pt>
                <c:pt idx="3">
                  <c:v>1359164.4000000001</c:v>
                </c:pt>
                <c:pt idx="4">
                  <c:v>3064690</c:v>
                </c:pt>
                <c:pt idx="5">
                  <c:v>3317579</c:v>
                </c:pt>
                <c:pt idx="6">
                  <c:v>3593454</c:v>
                </c:pt>
              </c:numCache>
            </c:numRef>
          </c:val>
        </c:ser>
        <c:ser>
          <c:idx val="9"/>
          <c:order val="9"/>
          <c:tx>
            <c:strRef>
              <c:f>'Table 2 - Opex by Vote'!$J$17</c:f>
              <c:strCache>
                <c:ptCount val="1"/>
                <c:pt idx="0">
                  <c:v>Housing</c:v>
                </c:pt>
              </c:strCache>
            </c:strRef>
          </c:tx>
          <c:spPr>
            <a:solidFill>
              <a:srgbClr val="FF00FF"/>
            </a:solidFill>
            <a:ln w="12700">
              <a:solidFill>
                <a:srgbClr val="000000"/>
              </a:solidFill>
              <a:prstDash val="solid"/>
            </a:ln>
          </c:spPr>
          <c:invertIfNegative val="0"/>
          <c:cat>
            <c:strRef>
              <c:f>'Table 2 - Opex by Vote'!$K$7:$Q$7</c:f>
              <c:strCache>
                <c:ptCount val="7"/>
                <c:pt idx="0">
                  <c:v>08/09 Aud</c:v>
                </c:pt>
                <c:pt idx="1">
                  <c:v>09/10 Bud</c:v>
                </c:pt>
                <c:pt idx="2">
                  <c:v>09/10 Adj</c:v>
                </c:pt>
                <c:pt idx="3">
                  <c:v>09/10 Est</c:v>
                </c:pt>
                <c:pt idx="4">
                  <c:v>10/11 Bud</c:v>
                </c:pt>
                <c:pt idx="5">
                  <c:v>11/12 Proj</c:v>
                </c:pt>
                <c:pt idx="6">
                  <c:v>12/13 Proj</c:v>
                </c:pt>
              </c:strCache>
            </c:strRef>
          </c:cat>
          <c:val>
            <c:numRef>
              <c:f>'Table 2 - Opex by Vote'!$K$17:$Q$17</c:f>
              <c:numCache>
                <c:formatCode>#,##0</c:formatCode>
                <c:ptCount val="7"/>
                <c:pt idx="0">
                  <c:v>538459</c:v>
                </c:pt>
                <c:pt idx="1">
                  <c:v>546450</c:v>
                </c:pt>
                <c:pt idx="2">
                  <c:v>550765</c:v>
                </c:pt>
                <c:pt idx="3">
                  <c:v>454564.8000000001</c:v>
                </c:pt>
                <c:pt idx="4">
                  <c:v>864992</c:v>
                </c:pt>
                <c:pt idx="5">
                  <c:v>933759</c:v>
                </c:pt>
                <c:pt idx="6">
                  <c:v>1008000</c:v>
                </c:pt>
              </c:numCache>
            </c:numRef>
          </c:val>
        </c:ser>
        <c:dLbls>
          <c:showLegendKey val="0"/>
          <c:showVal val="0"/>
          <c:showCatName val="0"/>
          <c:showSerName val="0"/>
          <c:showPercent val="0"/>
          <c:showBubbleSize val="0"/>
        </c:dLbls>
        <c:gapWidth val="150"/>
        <c:shape val="box"/>
        <c:axId val="188881536"/>
        <c:axId val="188891520"/>
        <c:axId val="0"/>
      </c:bar3DChart>
      <c:catAx>
        <c:axId val="1888815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891520"/>
        <c:crosses val="autoZero"/>
        <c:auto val="1"/>
        <c:lblAlgn val="ctr"/>
        <c:lblOffset val="100"/>
        <c:tickLblSkip val="1"/>
        <c:tickMarkSkip val="1"/>
        <c:noMultiLvlLbl val="0"/>
      </c:catAx>
      <c:valAx>
        <c:axId val="188891520"/>
        <c:scaling>
          <c:orientation val="minMax"/>
        </c:scaling>
        <c:delete val="0"/>
        <c:axPos val="l"/>
        <c:majorGridlines>
          <c:spPr>
            <a:ln w="3175">
              <a:solidFill>
                <a:srgbClr val="000000"/>
              </a:solidFill>
              <a:prstDash val="solid"/>
            </a:ln>
          </c:spPr>
        </c:majorGridlines>
        <c:title>
          <c:tx>
            <c:rich>
              <a:bodyPr rot="0" vert="horz"/>
              <a:lstStyle/>
              <a:p>
                <a:pPr algn="ctr">
                  <a:defRPr sz="1000" b="1" i="0" u="none" strike="noStrike" baseline="0">
                    <a:solidFill>
                      <a:srgbClr val="000000"/>
                    </a:solidFill>
                    <a:latin typeface="Arial"/>
                    <a:ea typeface="Arial"/>
                    <a:cs typeface="Arial"/>
                  </a:defRPr>
                </a:pPr>
                <a:r>
                  <a:t>R('000)</a:t>
                </a:r>
              </a:p>
            </c:rich>
          </c:tx>
          <c:layout>
            <c:manualLayout>
              <c:xMode val="edge"/>
              <c:yMode val="edge"/>
              <c:x val="0.19751810587991853"/>
              <c:y val="0.3344595400151251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881536"/>
        <c:crosses val="autoZero"/>
        <c:crossBetween val="between"/>
      </c:valAx>
      <c:dTable>
        <c:showHorzBorder val="1"/>
        <c:showVertBorder val="1"/>
        <c:showOutline val="1"/>
        <c:showKeys val="1"/>
        <c:spPr>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t>Operating Expenditure by Minor Vote (breakdown of other from previous chart) - Annexure J</a:t>
            </a:r>
          </a:p>
        </c:rich>
      </c:tx>
      <c:layout>
        <c:manualLayout>
          <c:xMode val="edge"/>
          <c:yMode val="edge"/>
          <c:x val="0.13650472114222237"/>
          <c:y val="2.0270296721384404E-2"/>
        </c:manualLayout>
      </c:layout>
      <c:overlay val="0"/>
      <c:spPr>
        <a:noFill/>
        <a:ln w="25400">
          <a:noFill/>
        </a:ln>
      </c:spPr>
    </c:title>
    <c:autoTitleDeleted val="0"/>
    <c:view3D>
      <c:rotX val="15"/>
      <c:hPercent val="5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9131334022750776"/>
          <c:y val="0.10472972972972973"/>
          <c:w val="0.79834539813857286"/>
          <c:h val="0.65371621621621623"/>
        </c:manualLayout>
      </c:layout>
      <c:bar3DChart>
        <c:barDir val="col"/>
        <c:grouping val="stacked"/>
        <c:varyColors val="0"/>
        <c:ser>
          <c:idx val="0"/>
          <c:order val="0"/>
          <c:tx>
            <c:strRef>
              <c:f>'Table 2 - Opex by Vote'!$J$25</c:f>
              <c:strCache>
                <c:ptCount val="1"/>
                <c:pt idx="0">
                  <c:v>Waste Management</c:v>
                </c:pt>
              </c:strCache>
            </c:strRef>
          </c:tx>
          <c:spPr>
            <a:solidFill>
              <a:srgbClr val="9999FF"/>
            </a:solidFill>
            <a:ln w="12700">
              <a:solidFill>
                <a:srgbClr val="000000"/>
              </a:solidFill>
              <a:prstDash val="solid"/>
            </a:ln>
          </c:spPr>
          <c:invertIfNegative val="0"/>
          <c:cat>
            <c:strRef>
              <c:f>'Table 2 - Opex by Vote'!$K$24:$Q$24</c:f>
              <c:strCache>
                <c:ptCount val="7"/>
                <c:pt idx="0">
                  <c:v>08/09 Aud</c:v>
                </c:pt>
                <c:pt idx="1">
                  <c:v>09/10 Bud</c:v>
                </c:pt>
                <c:pt idx="2">
                  <c:v>09/10 Adj</c:v>
                </c:pt>
                <c:pt idx="3">
                  <c:v>09/10 Est</c:v>
                </c:pt>
                <c:pt idx="4">
                  <c:v>10/11 Bud</c:v>
                </c:pt>
                <c:pt idx="5">
                  <c:v>11/12 Proj</c:v>
                </c:pt>
                <c:pt idx="6">
                  <c:v>12/13 Proj</c:v>
                </c:pt>
              </c:strCache>
            </c:strRef>
          </c:cat>
          <c:val>
            <c:numRef>
              <c:f>'Table 2 - Opex by Vote'!$K$25:$Q$25</c:f>
              <c:numCache>
                <c:formatCode>#,##0</c:formatCode>
                <c:ptCount val="7"/>
                <c:pt idx="0">
                  <c:v>5178613</c:v>
                </c:pt>
                <c:pt idx="1">
                  <c:v>4761043</c:v>
                </c:pt>
                <c:pt idx="2">
                  <c:v>4761043</c:v>
                </c:pt>
                <c:pt idx="3">
                  <c:v>2717603.9999999995</c:v>
                </c:pt>
                <c:pt idx="4">
                  <c:v>7923143</c:v>
                </c:pt>
                <c:pt idx="5">
                  <c:v>8593247</c:v>
                </c:pt>
                <c:pt idx="6">
                  <c:v>9313912</c:v>
                </c:pt>
              </c:numCache>
            </c:numRef>
          </c:val>
        </c:ser>
        <c:ser>
          <c:idx val="1"/>
          <c:order val="1"/>
          <c:tx>
            <c:strRef>
              <c:f>'Table 2 - Opex by Vote'!$J$26</c:f>
              <c:strCache>
                <c:ptCount val="1"/>
                <c:pt idx="0">
                  <c:v>Waste Water Management</c:v>
                </c:pt>
              </c:strCache>
            </c:strRef>
          </c:tx>
          <c:spPr>
            <a:solidFill>
              <a:srgbClr val="993366"/>
            </a:solidFill>
            <a:ln w="12700">
              <a:solidFill>
                <a:srgbClr val="000000"/>
              </a:solidFill>
              <a:prstDash val="solid"/>
            </a:ln>
          </c:spPr>
          <c:invertIfNegative val="0"/>
          <c:cat>
            <c:strRef>
              <c:f>'Table 2 - Opex by Vote'!$K$24:$Q$24</c:f>
              <c:strCache>
                <c:ptCount val="7"/>
                <c:pt idx="0">
                  <c:v>08/09 Aud</c:v>
                </c:pt>
                <c:pt idx="1">
                  <c:v>09/10 Bud</c:v>
                </c:pt>
                <c:pt idx="2">
                  <c:v>09/10 Adj</c:v>
                </c:pt>
                <c:pt idx="3">
                  <c:v>09/10 Est</c:v>
                </c:pt>
                <c:pt idx="4">
                  <c:v>10/11 Bud</c:v>
                </c:pt>
                <c:pt idx="5">
                  <c:v>11/12 Proj</c:v>
                </c:pt>
                <c:pt idx="6">
                  <c:v>12/13 Proj</c:v>
                </c:pt>
              </c:strCache>
            </c:strRef>
          </c:cat>
          <c:val>
            <c:numRef>
              <c:f>'Table 2 - Opex by Vote'!$K$26:$Q$26</c:f>
              <c:numCache>
                <c:formatCode>#,##0</c:formatCode>
                <c:ptCount val="7"/>
                <c:pt idx="0">
                  <c:v>7474715</c:v>
                </c:pt>
                <c:pt idx="1">
                  <c:v>7391984</c:v>
                </c:pt>
                <c:pt idx="2">
                  <c:v>7291984</c:v>
                </c:pt>
                <c:pt idx="3">
                  <c:v>5509267.1999999993</c:v>
                </c:pt>
                <c:pt idx="4">
                  <c:v>8272033</c:v>
                </c:pt>
                <c:pt idx="5">
                  <c:v>8937360</c:v>
                </c:pt>
                <c:pt idx="6">
                  <c:v>9682213</c:v>
                </c:pt>
              </c:numCache>
            </c:numRef>
          </c:val>
        </c:ser>
        <c:ser>
          <c:idx val="2"/>
          <c:order val="2"/>
          <c:tx>
            <c:strRef>
              <c:f>'Table 2 - Opex by Vote'!$J$27</c:f>
              <c:strCache>
                <c:ptCount val="1"/>
                <c:pt idx="0">
                  <c:v>Road Transport</c:v>
                </c:pt>
              </c:strCache>
            </c:strRef>
          </c:tx>
          <c:spPr>
            <a:solidFill>
              <a:srgbClr val="FFFFCC"/>
            </a:solidFill>
            <a:ln w="12700">
              <a:solidFill>
                <a:srgbClr val="000000"/>
              </a:solidFill>
              <a:prstDash val="solid"/>
            </a:ln>
          </c:spPr>
          <c:invertIfNegative val="0"/>
          <c:cat>
            <c:strRef>
              <c:f>'Table 2 - Opex by Vote'!$K$24:$Q$24</c:f>
              <c:strCache>
                <c:ptCount val="7"/>
                <c:pt idx="0">
                  <c:v>08/09 Aud</c:v>
                </c:pt>
                <c:pt idx="1">
                  <c:v>09/10 Bud</c:v>
                </c:pt>
                <c:pt idx="2">
                  <c:v>09/10 Adj</c:v>
                </c:pt>
                <c:pt idx="3">
                  <c:v>09/10 Est</c:v>
                </c:pt>
                <c:pt idx="4">
                  <c:v>10/11 Bud</c:v>
                </c:pt>
                <c:pt idx="5">
                  <c:v>11/12 Proj</c:v>
                </c:pt>
                <c:pt idx="6">
                  <c:v>12/13 Proj</c:v>
                </c:pt>
              </c:strCache>
            </c:strRef>
          </c:cat>
          <c:val>
            <c:numRef>
              <c:f>'Table 2 - Opex by Vote'!$K$27:$Q$27</c:f>
              <c:numCache>
                <c:formatCode>#,##0</c:formatCode>
                <c:ptCount val="7"/>
                <c:pt idx="0">
                  <c:v>1994731</c:v>
                </c:pt>
                <c:pt idx="1">
                  <c:v>2686026</c:v>
                </c:pt>
                <c:pt idx="2">
                  <c:v>2532334</c:v>
                </c:pt>
                <c:pt idx="3">
                  <c:v>2921811.6</c:v>
                </c:pt>
                <c:pt idx="4">
                  <c:v>7805533</c:v>
                </c:pt>
                <c:pt idx="5">
                  <c:v>8317953</c:v>
                </c:pt>
                <c:pt idx="6">
                  <c:v>9022406</c:v>
                </c:pt>
              </c:numCache>
            </c:numRef>
          </c:val>
        </c:ser>
        <c:ser>
          <c:idx val="3"/>
          <c:order val="3"/>
          <c:tx>
            <c:strRef>
              <c:f>'Table 2 - Opex by Vote'!$J$28</c:f>
              <c:strCache>
                <c:ptCount val="1"/>
                <c:pt idx="0">
                  <c:v>Planning &amp; Development</c:v>
                </c:pt>
              </c:strCache>
            </c:strRef>
          </c:tx>
          <c:spPr>
            <a:solidFill>
              <a:srgbClr val="CCFFFF"/>
            </a:solidFill>
            <a:ln w="12700">
              <a:solidFill>
                <a:srgbClr val="000000"/>
              </a:solidFill>
              <a:prstDash val="solid"/>
            </a:ln>
          </c:spPr>
          <c:invertIfNegative val="0"/>
          <c:cat>
            <c:strRef>
              <c:f>'Table 2 - Opex by Vote'!$K$24:$Q$24</c:f>
              <c:strCache>
                <c:ptCount val="7"/>
                <c:pt idx="0">
                  <c:v>08/09 Aud</c:v>
                </c:pt>
                <c:pt idx="1">
                  <c:v>09/10 Bud</c:v>
                </c:pt>
                <c:pt idx="2">
                  <c:v>09/10 Adj</c:v>
                </c:pt>
                <c:pt idx="3">
                  <c:v>09/10 Est</c:v>
                </c:pt>
                <c:pt idx="4">
                  <c:v>10/11 Bud</c:v>
                </c:pt>
                <c:pt idx="5">
                  <c:v>11/12 Proj</c:v>
                </c:pt>
                <c:pt idx="6">
                  <c:v>12/13 Proj</c:v>
                </c:pt>
              </c:strCache>
            </c:strRef>
          </c:cat>
          <c:val>
            <c:numRef>
              <c:f>'Table 2 - Opex by Vote'!$K$28:$Q$28</c:f>
              <c:numCache>
                <c:formatCode>#,##0</c:formatCode>
                <c:ptCount val="7"/>
                <c:pt idx="0">
                  <c:v>467343</c:v>
                </c:pt>
                <c:pt idx="1">
                  <c:v>936532</c:v>
                </c:pt>
                <c:pt idx="2">
                  <c:v>1036532</c:v>
                </c:pt>
                <c:pt idx="3">
                  <c:v>526707.6</c:v>
                </c:pt>
                <c:pt idx="4">
                  <c:v>1966028</c:v>
                </c:pt>
                <c:pt idx="5">
                  <c:v>2587468</c:v>
                </c:pt>
                <c:pt idx="6">
                  <c:v>2739372</c:v>
                </c:pt>
              </c:numCache>
            </c:numRef>
          </c:val>
        </c:ser>
        <c:ser>
          <c:idx val="4"/>
          <c:order val="4"/>
          <c:tx>
            <c:strRef>
              <c:f>'Table 2 - Opex by Vote'!$J$29</c:f>
              <c:strCache>
                <c:ptCount val="1"/>
                <c:pt idx="0">
                  <c:v>Cattle Farming</c:v>
                </c:pt>
              </c:strCache>
            </c:strRef>
          </c:tx>
          <c:spPr>
            <a:solidFill>
              <a:srgbClr val="660066"/>
            </a:solidFill>
            <a:ln w="12700">
              <a:solidFill>
                <a:srgbClr val="000000"/>
              </a:solidFill>
              <a:prstDash val="solid"/>
            </a:ln>
          </c:spPr>
          <c:invertIfNegative val="0"/>
          <c:cat>
            <c:strRef>
              <c:f>'Table 2 - Opex by Vote'!$K$24:$Q$24</c:f>
              <c:strCache>
                <c:ptCount val="7"/>
                <c:pt idx="0">
                  <c:v>08/09 Aud</c:v>
                </c:pt>
                <c:pt idx="1">
                  <c:v>09/10 Bud</c:v>
                </c:pt>
                <c:pt idx="2">
                  <c:v>09/10 Adj</c:v>
                </c:pt>
                <c:pt idx="3">
                  <c:v>09/10 Est</c:v>
                </c:pt>
                <c:pt idx="4">
                  <c:v>10/11 Bud</c:v>
                </c:pt>
                <c:pt idx="5">
                  <c:v>11/12 Proj</c:v>
                </c:pt>
                <c:pt idx="6">
                  <c:v>12/13 Proj</c:v>
                </c:pt>
              </c:strCache>
            </c:strRef>
          </c:cat>
          <c:val>
            <c:numRef>
              <c:f>'Table 2 - Opex by Vote'!$K$29:$Q$29</c:f>
              <c:numCache>
                <c:formatCode>#,##0</c:formatCode>
                <c:ptCount val="7"/>
                <c:pt idx="0">
                  <c:v>29824</c:v>
                </c:pt>
                <c:pt idx="1">
                  <c:v>148050</c:v>
                </c:pt>
                <c:pt idx="2">
                  <c:v>148050</c:v>
                </c:pt>
                <c:pt idx="3">
                  <c:v>6355.2000000000007</c:v>
                </c:pt>
                <c:pt idx="4">
                  <c:v>155453</c:v>
                </c:pt>
                <c:pt idx="5">
                  <c:v>164780</c:v>
                </c:pt>
                <c:pt idx="6">
                  <c:v>174666</c:v>
                </c:pt>
              </c:numCache>
            </c:numRef>
          </c:val>
        </c:ser>
        <c:dLbls>
          <c:showLegendKey val="0"/>
          <c:showVal val="0"/>
          <c:showCatName val="0"/>
          <c:showSerName val="0"/>
          <c:showPercent val="0"/>
          <c:showBubbleSize val="0"/>
        </c:dLbls>
        <c:gapWidth val="150"/>
        <c:shape val="box"/>
        <c:axId val="189285120"/>
        <c:axId val="189286656"/>
        <c:axId val="0"/>
      </c:bar3DChart>
      <c:catAx>
        <c:axId val="1892851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286656"/>
        <c:crosses val="autoZero"/>
        <c:auto val="1"/>
        <c:lblAlgn val="ctr"/>
        <c:lblOffset val="100"/>
        <c:tickLblSkip val="1"/>
        <c:tickMarkSkip val="1"/>
        <c:noMultiLvlLbl val="0"/>
      </c:catAx>
      <c:valAx>
        <c:axId val="189286656"/>
        <c:scaling>
          <c:orientation val="minMax"/>
        </c:scaling>
        <c:delete val="0"/>
        <c:axPos val="l"/>
        <c:majorGridlines>
          <c:spPr>
            <a:ln w="3175">
              <a:solidFill>
                <a:srgbClr val="000000"/>
              </a:solidFill>
              <a:prstDash val="solid"/>
            </a:ln>
          </c:spPr>
        </c:majorGridlines>
        <c:title>
          <c:tx>
            <c:rich>
              <a:bodyPr rot="0" vert="horz"/>
              <a:lstStyle/>
              <a:p>
                <a:pPr algn="ctr">
                  <a:defRPr sz="1000" b="1" i="0" u="none" strike="noStrike" baseline="0">
                    <a:solidFill>
                      <a:srgbClr val="000000"/>
                    </a:solidFill>
                    <a:latin typeface="Arial"/>
                    <a:ea typeface="Arial"/>
                    <a:cs typeface="Arial"/>
                  </a:defRPr>
                </a:pPr>
                <a:r>
                  <a:t>R('000)</a:t>
                </a:r>
              </a:p>
            </c:rich>
          </c:tx>
          <c:layout>
            <c:manualLayout>
              <c:xMode val="edge"/>
              <c:yMode val="edge"/>
              <c:x val="0.11065148495442219"/>
              <c:y val="0.4341216246274300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285120"/>
        <c:crosses val="autoZero"/>
        <c:crossBetween val="between"/>
      </c:valAx>
      <c:dTable>
        <c:showHorzBorder val="1"/>
        <c:showVertBorder val="1"/>
        <c:showOutline val="1"/>
        <c:showKeys val="1"/>
        <c:spPr>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t>Capital Expenditure by Major Vote (see next chart for breakdown of other) - Annexure K</a:t>
            </a:r>
          </a:p>
        </c:rich>
      </c:tx>
      <c:layout>
        <c:manualLayout>
          <c:xMode val="edge"/>
          <c:yMode val="edge"/>
          <c:x val="0.15511887258905913"/>
          <c:y val="2.0270296721384404E-2"/>
        </c:manualLayout>
      </c:layout>
      <c:overlay val="0"/>
      <c:spPr>
        <a:noFill/>
        <a:ln w="25400">
          <a:noFill/>
        </a:ln>
      </c:spPr>
    </c:title>
    <c:autoTitleDeleted val="0"/>
    <c:view3D>
      <c:rotX val="15"/>
      <c:hPercent val="5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9131334022750776"/>
          <c:y val="0.10472972972972973"/>
          <c:w val="0.79834539813857286"/>
          <c:h val="0.50506756756756754"/>
        </c:manualLayout>
      </c:layout>
      <c:bar3DChart>
        <c:barDir val="col"/>
        <c:grouping val="stacked"/>
        <c:varyColors val="0"/>
        <c:ser>
          <c:idx val="0"/>
          <c:order val="0"/>
          <c:tx>
            <c:strRef>
              <c:f>'Table 3 - Capex by Vote'!$J$8</c:f>
              <c:strCache>
                <c:ptCount val="1"/>
                <c:pt idx="0">
                  <c:v>Waste Water Management</c:v>
                </c:pt>
              </c:strCache>
            </c:strRef>
          </c:tx>
          <c:spPr>
            <a:solidFill>
              <a:srgbClr val="9999FF"/>
            </a:solidFill>
            <a:ln w="12700">
              <a:solidFill>
                <a:srgbClr val="000000"/>
              </a:solidFill>
              <a:prstDash val="solid"/>
            </a:ln>
          </c:spPr>
          <c:invertIfNegative val="0"/>
          <c:cat>
            <c:strRef>
              <c:f>'Table 3 - Capex by Vote'!$K$7:$Q$7</c:f>
              <c:strCache>
                <c:ptCount val="7"/>
                <c:pt idx="0">
                  <c:v>08/09 Aud</c:v>
                </c:pt>
                <c:pt idx="1">
                  <c:v>09/10 Bud</c:v>
                </c:pt>
                <c:pt idx="2">
                  <c:v>09/10 Adj</c:v>
                </c:pt>
                <c:pt idx="3">
                  <c:v>09/10 Est</c:v>
                </c:pt>
                <c:pt idx="4">
                  <c:v>10/11 Bud</c:v>
                </c:pt>
                <c:pt idx="5">
                  <c:v>11/12 Proj</c:v>
                </c:pt>
                <c:pt idx="6">
                  <c:v>12/13 Proj</c:v>
                </c:pt>
              </c:strCache>
            </c:strRef>
          </c:cat>
          <c:val>
            <c:numRef>
              <c:f>'Table 3 - Capex by Vote'!$K$8:$Q$8</c:f>
              <c:numCache>
                <c:formatCode>#,##0</c:formatCode>
                <c:ptCount val="7"/>
                <c:pt idx="0">
                  <c:v>3777478</c:v>
                </c:pt>
                <c:pt idx="1">
                  <c:v>4301271</c:v>
                </c:pt>
                <c:pt idx="2">
                  <c:v>4301271</c:v>
                </c:pt>
                <c:pt idx="3">
                  <c:v>8665901</c:v>
                </c:pt>
                <c:pt idx="4">
                  <c:v>6892247</c:v>
                </c:pt>
                <c:pt idx="5">
                  <c:v>0</c:v>
                </c:pt>
                <c:pt idx="6">
                  <c:v>0</c:v>
                </c:pt>
              </c:numCache>
            </c:numRef>
          </c:val>
        </c:ser>
        <c:ser>
          <c:idx val="1"/>
          <c:order val="1"/>
          <c:tx>
            <c:strRef>
              <c:f>'Table 3 - Capex by Vote'!$J$9</c:f>
              <c:strCache>
                <c:ptCount val="1"/>
                <c:pt idx="0">
                  <c:v>Electricity</c:v>
                </c:pt>
              </c:strCache>
            </c:strRef>
          </c:tx>
          <c:spPr>
            <a:solidFill>
              <a:srgbClr val="993366"/>
            </a:solidFill>
            <a:ln w="12700">
              <a:solidFill>
                <a:srgbClr val="000000"/>
              </a:solidFill>
              <a:prstDash val="solid"/>
            </a:ln>
          </c:spPr>
          <c:invertIfNegative val="0"/>
          <c:cat>
            <c:strRef>
              <c:f>'Table 3 - Capex by Vote'!$K$7:$Q$7</c:f>
              <c:strCache>
                <c:ptCount val="7"/>
                <c:pt idx="0">
                  <c:v>08/09 Aud</c:v>
                </c:pt>
                <c:pt idx="1">
                  <c:v>09/10 Bud</c:v>
                </c:pt>
                <c:pt idx="2">
                  <c:v>09/10 Adj</c:v>
                </c:pt>
                <c:pt idx="3">
                  <c:v>09/10 Est</c:v>
                </c:pt>
                <c:pt idx="4">
                  <c:v>10/11 Bud</c:v>
                </c:pt>
                <c:pt idx="5">
                  <c:v>11/12 Proj</c:v>
                </c:pt>
                <c:pt idx="6">
                  <c:v>12/13 Proj</c:v>
                </c:pt>
              </c:strCache>
            </c:strRef>
          </c:cat>
          <c:val>
            <c:numRef>
              <c:f>'Table 3 - Capex by Vote'!$K$9:$Q$9</c:f>
              <c:numCache>
                <c:formatCode>#,##0</c:formatCode>
                <c:ptCount val="7"/>
                <c:pt idx="0">
                  <c:v>0</c:v>
                </c:pt>
                <c:pt idx="1">
                  <c:v>3859915</c:v>
                </c:pt>
                <c:pt idx="2">
                  <c:v>3859915</c:v>
                </c:pt>
                <c:pt idx="3">
                  <c:v>1035845</c:v>
                </c:pt>
                <c:pt idx="4">
                  <c:v>2824071</c:v>
                </c:pt>
                <c:pt idx="5">
                  <c:v>300000</c:v>
                </c:pt>
                <c:pt idx="6">
                  <c:v>500000</c:v>
                </c:pt>
              </c:numCache>
            </c:numRef>
          </c:val>
        </c:ser>
        <c:ser>
          <c:idx val="2"/>
          <c:order val="2"/>
          <c:tx>
            <c:strRef>
              <c:f>'Table 3 - Capex by Vote'!$J$10</c:f>
              <c:strCache>
                <c:ptCount val="1"/>
                <c:pt idx="0">
                  <c:v>Road Transport</c:v>
                </c:pt>
              </c:strCache>
            </c:strRef>
          </c:tx>
          <c:spPr>
            <a:solidFill>
              <a:srgbClr val="FFFFCC"/>
            </a:solidFill>
            <a:ln w="12700">
              <a:solidFill>
                <a:srgbClr val="000000"/>
              </a:solidFill>
              <a:prstDash val="solid"/>
            </a:ln>
          </c:spPr>
          <c:invertIfNegative val="0"/>
          <c:cat>
            <c:strRef>
              <c:f>'Table 3 - Capex by Vote'!$K$7:$Q$7</c:f>
              <c:strCache>
                <c:ptCount val="7"/>
                <c:pt idx="0">
                  <c:v>08/09 Aud</c:v>
                </c:pt>
                <c:pt idx="1">
                  <c:v>09/10 Bud</c:v>
                </c:pt>
                <c:pt idx="2">
                  <c:v>09/10 Adj</c:v>
                </c:pt>
                <c:pt idx="3">
                  <c:v>09/10 Est</c:v>
                </c:pt>
                <c:pt idx="4">
                  <c:v>10/11 Bud</c:v>
                </c:pt>
                <c:pt idx="5">
                  <c:v>11/12 Proj</c:v>
                </c:pt>
                <c:pt idx="6">
                  <c:v>12/13 Proj</c:v>
                </c:pt>
              </c:strCache>
            </c:strRef>
          </c:cat>
          <c:val>
            <c:numRef>
              <c:f>'Table 3 - Capex by Vote'!$K$10:$Q$10</c:f>
              <c:numCache>
                <c:formatCode>#,##0</c:formatCode>
                <c:ptCount val="7"/>
                <c:pt idx="0">
                  <c:v>43827</c:v>
                </c:pt>
                <c:pt idx="1">
                  <c:v>0</c:v>
                </c:pt>
                <c:pt idx="2">
                  <c:v>797884</c:v>
                </c:pt>
                <c:pt idx="3">
                  <c:v>797884</c:v>
                </c:pt>
                <c:pt idx="4">
                  <c:v>0</c:v>
                </c:pt>
                <c:pt idx="5">
                  <c:v>0</c:v>
                </c:pt>
                <c:pt idx="6">
                  <c:v>0</c:v>
                </c:pt>
              </c:numCache>
            </c:numRef>
          </c:val>
        </c:ser>
        <c:ser>
          <c:idx val="3"/>
          <c:order val="3"/>
          <c:tx>
            <c:strRef>
              <c:f>'Table 3 - Capex by Vote'!$J$11</c:f>
              <c:strCache>
                <c:ptCount val="1"/>
                <c:pt idx="0">
                  <c:v>Water</c:v>
                </c:pt>
              </c:strCache>
            </c:strRef>
          </c:tx>
          <c:spPr>
            <a:solidFill>
              <a:srgbClr val="CCFFFF"/>
            </a:solidFill>
            <a:ln w="12700">
              <a:solidFill>
                <a:srgbClr val="000000"/>
              </a:solidFill>
              <a:prstDash val="solid"/>
            </a:ln>
          </c:spPr>
          <c:invertIfNegative val="0"/>
          <c:cat>
            <c:strRef>
              <c:f>'Table 3 - Capex by Vote'!$K$7:$Q$7</c:f>
              <c:strCache>
                <c:ptCount val="7"/>
                <c:pt idx="0">
                  <c:v>08/09 Aud</c:v>
                </c:pt>
                <c:pt idx="1">
                  <c:v>09/10 Bud</c:v>
                </c:pt>
                <c:pt idx="2">
                  <c:v>09/10 Adj</c:v>
                </c:pt>
                <c:pt idx="3">
                  <c:v>09/10 Est</c:v>
                </c:pt>
                <c:pt idx="4">
                  <c:v>10/11 Bud</c:v>
                </c:pt>
                <c:pt idx="5">
                  <c:v>11/12 Proj</c:v>
                </c:pt>
                <c:pt idx="6">
                  <c:v>12/13 Proj</c:v>
                </c:pt>
              </c:strCache>
            </c:strRef>
          </c:cat>
          <c:val>
            <c:numRef>
              <c:f>'Table 3 - Capex by Vote'!$K$11:$Q$11</c:f>
              <c:numCache>
                <c:formatCode>#,##0</c:formatCode>
                <c:ptCount val="7"/>
                <c:pt idx="0">
                  <c:v>1722004</c:v>
                </c:pt>
                <c:pt idx="1">
                  <c:v>11721818</c:v>
                </c:pt>
                <c:pt idx="2">
                  <c:v>14555468</c:v>
                </c:pt>
                <c:pt idx="3">
                  <c:v>906367</c:v>
                </c:pt>
                <c:pt idx="4">
                  <c:v>12913000</c:v>
                </c:pt>
                <c:pt idx="5">
                  <c:v>15531000</c:v>
                </c:pt>
                <c:pt idx="6">
                  <c:v>18884000</c:v>
                </c:pt>
              </c:numCache>
            </c:numRef>
          </c:val>
        </c:ser>
        <c:ser>
          <c:idx val="4"/>
          <c:order val="4"/>
          <c:tx>
            <c:strRef>
              <c:f>'Table 3 - Capex by Vote'!$J$12</c:f>
              <c:strCache>
                <c:ptCount val="1"/>
                <c:pt idx="0">
                  <c:v>Waste Management</c:v>
                </c:pt>
              </c:strCache>
            </c:strRef>
          </c:tx>
          <c:spPr>
            <a:solidFill>
              <a:srgbClr val="660066"/>
            </a:solidFill>
            <a:ln w="12700">
              <a:solidFill>
                <a:srgbClr val="000000"/>
              </a:solidFill>
              <a:prstDash val="solid"/>
            </a:ln>
          </c:spPr>
          <c:invertIfNegative val="0"/>
          <c:cat>
            <c:strRef>
              <c:f>'Table 3 - Capex by Vote'!$K$7:$Q$7</c:f>
              <c:strCache>
                <c:ptCount val="7"/>
                <c:pt idx="0">
                  <c:v>08/09 Aud</c:v>
                </c:pt>
                <c:pt idx="1">
                  <c:v>09/10 Bud</c:v>
                </c:pt>
                <c:pt idx="2">
                  <c:v>09/10 Adj</c:v>
                </c:pt>
                <c:pt idx="3">
                  <c:v>09/10 Est</c:v>
                </c:pt>
                <c:pt idx="4">
                  <c:v>10/11 Bud</c:v>
                </c:pt>
                <c:pt idx="5">
                  <c:v>11/12 Proj</c:v>
                </c:pt>
                <c:pt idx="6">
                  <c:v>12/13 Proj</c:v>
                </c:pt>
              </c:strCache>
            </c:strRef>
          </c:cat>
          <c:val>
            <c:numRef>
              <c:f>'Table 3 - Capex by Vote'!$K$12:$Q$12</c:f>
              <c:numCache>
                <c:formatCode>#,##0</c:formatCode>
                <c:ptCount val="7"/>
                <c:pt idx="0">
                  <c:v>0</c:v>
                </c:pt>
                <c:pt idx="1">
                  <c:v>0</c:v>
                </c:pt>
                <c:pt idx="2">
                  <c:v>0</c:v>
                </c:pt>
                <c:pt idx="3">
                  <c:v>0</c:v>
                </c:pt>
                <c:pt idx="4">
                  <c:v>0</c:v>
                </c:pt>
                <c:pt idx="5">
                  <c:v>0</c:v>
                </c:pt>
                <c:pt idx="6">
                  <c:v>0</c:v>
                </c:pt>
              </c:numCache>
            </c:numRef>
          </c:val>
        </c:ser>
        <c:ser>
          <c:idx val="5"/>
          <c:order val="5"/>
          <c:tx>
            <c:strRef>
              <c:f>'Table 3 - Capex by Vote'!$J$13</c:f>
              <c:strCache>
                <c:ptCount val="1"/>
                <c:pt idx="0">
                  <c:v>Other</c:v>
                </c:pt>
              </c:strCache>
            </c:strRef>
          </c:tx>
          <c:spPr>
            <a:solidFill>
              <a:srgbClr val="FF8080"/>
            </a:solidFill>
            <a:ln w="12700">
              <a:solidFill>
                <a:srgbClr val="000000"/>
              </a:solidFill>
              <a:prstDash val="solid"/>
            </a:ln>
          </c:spPr>
          <c:invertIfNegative val="0"/>
          <c:cat>
            <c:strRef>
              <c:f>'Table 3 - Capex by Vote'!$K$7:$Q$7</c:f>
              <c:strCache>
                <c:ptCount val="7"/>
                <c:pt idx="0">
                  <c:v>08/09 Aud</c:v>
                </c:pt>
                <c:pt idx="1">
                  <c:v>09/10 Bud</c:v>
                </c:pt>
                <c:pt idx="2">
                  <c:v>09/10 Adj</c:v>
                </c:pt>
                <c:pt idx="3">
                  <c:v>09/10 Est</c:v>
                </c:pt>
                <c:pt idx="4">
                  <c:v>10/11 Bud</c:v>
                </c:pt>
                <c:pt idx="5">
                  <c:v>11/12 Proj</c:v>
                </c:pt>
                <c:pt idx="6">
                  <c:v>12/13 Proj</c:v>
                </c:pt>
              </c:strCache>
            </c:strRef>
          </c:cat>
          <c:val>
            <c:numRef>
              <c:f>'Table 3 - Capex by Vote'!$K$13:$Q$13</c:f>
              <c:numCache>
                <c:formatCode>#,##0</c:formatCode>
                <c:ptCount val="7"/>
                <c:pt idx="0">
                  <c:v>395686</c:v>
                </c:pt>
                <c:pt idx="1">
                  <c:v>4313221</c:v>
                </c:pt>
                <c:pt idx="2">
                  <c:v>6313221</c:v>
                </c:pt>
                <c:pt idx="3">
                  <c:v>459351</c:v>
                </c:pt>
                <c:pt idx="4">
                  <c:v>52353870</c:v>
                </c:pt>
                <c:pt idx="5">
                  <c:v>2000000</c:v>
                </c:pt>
                <c:pt idx="6">
                  <c:v>0</c:v>
                </c:pt>
              </c:numCache>
            </c:numRef>
          </c:val>
        </c:ser>
        <c:ser>
          <c:idx val="6"/>
          <c:order val="6"/>
          <c:tx>
            <c:strRef>
              <c:f>'Table 3 - Capex by Vote'!$J$14</c:f>
              <c:strCache>
                <c:ptCount val="1"/>
                <c:pt idx="0">
                  <c:v>Housing</c:v>
                </c:pt>
              </c:strCache>
            </c:strRef>
          </c:tx>
          <c:spPr>
            <a:solidFill>
              <a:srgbClr val="0066CC"/>
            </a:solidFill>
            <a:ln w="12700">
              <a:solidFill>
                <a:srgbClr val="000000"/>
              </a:solidFill>
              <a:prstDash val="solid"/>
            </a:ln>
          </c:spPr>
          <c:invertIfNegative val="0"/>
          <c:cat>
            <c:strRef>
              <c:f>'Table 3 - Capex by Vote'!$K$7:$Q$7</c:f>
              <c:strCache>
                <c:ptCount val="7"/>
                <c:pt idx="0">
                  <c:v>08/09 Aud</c:v>
                </c:pt>
                <c:pt idx="1">
                  <c:v>09/10 Bud</c:v>
                </c:pt>
                <c:pt idx="2">
                  <c:v>09/10 Adj</c:v>
                </c:pt>
                <c:pt idx="3">
                  <c:v>09/10 Est</c:v>
                </c:pt>
                <c:pt idx="4">
                  <c:v>10/11 Bud</c:v>
                </c:pt>
                <c:pt idx="5">
                  <c:v>11/12 Proj</c:v>
                </c:pt>
                <c:pt idx="6">
                  <c:v>12/13 Proj</c:v>
                </c:pt>
              </c:strCache>
            </c:strRef>
          </c:cat>
          <c:val>
            <c:numRef>
              <c:f>'Table 3 - Capex by Vote'!$K$14:$Q$14</c:f>
              <c:numCache>
                <c:formatCode>#,##0</c:formatCode>
                <c:ptCount val="7"/>
                <c:pt idx="0">
                  <c:v>0</c:v>
                </c:pt>
                <c:pt idx="1">
                  <c:v>0</c:v>
                </c:pt>
                <c:pt idx="2">
                  <c:v>0</c:v>
                </c:pt>
                <c:pt idx="3">
                  <c:v>0</c:v>
                </c:pt>
                <c:pt idx="4">
                  <c:v>0</c:v>
                </c:pt>
                <c:pt idx="5">
                  <c:v>0</c:v>
                </c:pt>
                <c:pt idx="6">
                  <c:v>0</c:v>
                </c:pt>
              </c:numCache>
            </c:numRef>
          </c:val>
        </c:ser>
        <c:ser>
          <c:idx val="7"/>
          <c:order val="7"/>
          <c:tx>
            <c:strRef>
              <c:f>'Table 3 - Capex by Vote'!$J$15</c:f>
              <c:strCache>
                <c:ptCount val="1"/>
                <c:pt idx="0">
                  <c:v>Public Safety</c:v>
                </c:pt>
              </c:strCache>
            </c:strRef>
          </c:tx>
          <c:spPr>
            <a:solidFill>
              <a:srgbClr val="CCCCFF"/>
            </a:solidFill>
            <a:ln w="12700">
              <a:solidFill>
                <a:srgbClr val="000000"/>
              </a:solidFill>
              <a:prstDash val="solid"/>
            </a:ln>
          </c:spPr>
          <c:invertIfNegative val="0"/>
          <c:cat>
            <c:strRef>
              <c:f>'Table 3 - Capex by Vote'!$K$7:$Q$7</c:f>
              <c:strCache>
                <c:ptCount val="7"/>
                <c:pt idx="0">
                  <c:v>08/09 Aud</c:v>
                </c:pt>
                <c:pt idx="1">
                  <c:v>09/10 Bud</c:v>
                </c:pt>
                <c:pt idx="2">
                  <c:v>09/10 Adj</c:v>
                </c:pt>
                <c:pt idx="3">
                  <c:v>09/10 Est</c:v>
                </c:pt>
                <c:pt idx="4">
                  <c:v>10/11 Bud</c:v>
                </c:pt>
                <c:pt idx="5">
                  <c:v>11/12 Proj</c:v>
                </c:pt>
                <c:pt idx="6">
                  <c:v>12/13 Proj</c:v>
                </c:pt>
              </c:strCache>
            </c:strRef>
          </c:cat>
          <c:val>
            <c:numRef>
              <c:f>'Table 3 - Capex by Vote'!$K$15:$Q$15</c:f>
              <c:numCache>
                <c:formatCode>#,##0</c:formatCode>
                <c:ptCount val="7"/>
                <c:pt idx="0">
                  <c:v>0</c:v>
                </c:pt>
                <c:pt idx="1">
                  <c:v>0</c:v>
                </c:pt>
                <c:pt idx="2">
                  <c:v>0</c:v>
                </c:pt>
                <c:pt idx="3">
                  <c:v>0</c:v>
                </c:pt>
                <c:pt idx="4">
                  <c:v>0</c:v>
                </c:pt>
                <c:pt idx="5">
                  <c:v>0</c:v>
                </c:pt>
                <c:pt idx="6">
                  <c:v>0</c:v>
                </c:pt>
              </c:numCache>
            </c:numRef>
          </c:val>
        </c:ser>
        <c:ser>
          <c:idx val="8"/>
          <c:order val="8"/>
          <c:tx>
            <c:strRef>
              <c:f>'Table 3 - Capex by Vote'!$J$16</c:f>
              <c:strCache>
                <c:ptCount val="1"/>
                <c:pt idx="0">
                  <c:v>Sport and Recreation</c:v>
                </c:pt>
              </c:strCache>
            </c:strRef>
          </c:tx>
          <c:spPr>
            <a:solidFill>
              <a:srgbClr val="000080"/>
            </a:solidFill>
            <a:ln w="12700">
              <a:solidFill>
                <a:srgbClr val="000000"/>
              </a:solidFill>
              <a:prstDash val="solid"/>
            </a:ln>
          </c:spPr>
          <c:invertIfNegative val="0"/>
          <c:cat>
            <c:strRef>
              <c:f>'Table 3 - Capex by Vote'!$K$7:$Q$7</c:f>
              <c:strCache>
                <c:ptCount val="7"/>
                <c:pt idx="0">
                  <c:v>08/09 Aud</c:v>
                </c:pt>
                <c:pt idx="1">
                  <c:v>09/10 Bud</c:v>
                </c:pt>
                <c:pt idx="2">
                  <c:v>09/10 Adj</c:v>
                </c:pt>
                <c:pt idx="3">
                  <c:v>09/10 Est</c:v>
                </c:pt>
                <c:pt idx="4">
                  <c:v>10/11 Bud</c:v>
                </c:pt>
                <c:pt idx="5">
                  <c:v>11/12 Proj</c:v>
                </c:pt>
                <c:pt idx="6">
                  <c:v>12/13 Proj</c:v>
                </c:pt>
              </c:strCache>
            </c:strRef>
          </c:cat>
          <c:val>
            <c:numRef>
              <c:f>'Table 3 - Capex by Vote'!$K$16:$Q$16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shape val="box"/>
        <c:axId val="188263808"/>
        <c:axId val="188273792"/>
        <c:axId val="0"/>
      </c:bar3DChart>
      <c:catAx>
        <c:axId val="18826380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273792"/>
        <c:crosses val="autoZero"/>
        <c:auto val="1"/>
        <c:lblAlgn val="ctr"/>
        <c:lblOffset val="100"/>
        <c:tickLblSkip val="1"/>
        <c:tickMarkSkip val="1"/>
        <c:noMultiLvlLbl val="0"/>
      </c:catAx>
      <c:valAx>
        <c:axId val="188273792"/>
        <c:scaling>
          <c:orientation val="minMax"/>
        </c:scaling>
        <c:delete val="0"/>
        <c:axPos val="l"/>
        <c:majorGridlines>
          <c:spPr>
            <a:ln w="3175">
              <a:solidFill>
                <a:srgbClr val="000000"/>
              </a:solidFill>
              <a:prstDash val="solid"/>
            </a:ln>
          </c:spPr>
        </c:majorGridlines>
        <c:title>
          <c:tx>
            <c:rich>
              <a:bodyPr rot="0" vert="horz"/>
              <a:lstStyle/>
              <a:p>
                <a:pPr algn="ctr">
                  <a:defRPr sz="1000" b="1" i="0" u="none" strike="noStrike" baseline="0">
                    <a:solidFill>
                      <a:srgbClr val="000000"/>
                    </a:solidFill>
                    <a:latin typeface="Arial"/>
                    <a:ea typeface="Arial"/>
                    <a:cs typeface="Arial"/>
                  </a:defRPr>
                </a:pPr>
                <a:r>
                  <a:t>R('000)</a:t>
                </a:r>
              </a:p>
            </c:rich>
          </c:tx>
          <c:layout>
            <c:manualLayout>
              <c:xMode val="edge"/>
              <c:yMode val="edge"/>
              <c:x val="0.19234750220537786"/>
              <c:y val="0.3547296587926509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263808"/>
        <c:crosses val="autoZero"/>
        <c:crossBetween val="between"/>
      </c:valAx>
      <c:dTable>
        <c:showHorzBorder val="1"/>
        <c:showVertBorder val="1"/>
        <c:showOutline val="1"/>
        <c:showKeys val="1"/>
        <c:spPr>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t>Capital Expenditure by Minor Vote (breakdown of other from previous chart) - Annexure L</a:t>
            </a:r>
          </a:p>
        </c:rich>
      </c:tx>
      <c:layout>
        <c:manualLayout>
          <c:xMode val="edge"/>
          <c:yMode val="edge"/>
          <c:x val="0.14684592849130373"/>
          <c:y val="2.0270296721384404E-2"/>
        </c:manualLayout>
      </c:layout>
      <c:overlay val="0"/>
      <c:spPr>
        <a:noFill/>
        <a:ln w="25400">
          <a:noFill/>
        </a:ln>
      </c:spPr>
    </c:title>
    <c:autoTitleDeleted val="0"/>
    <c:view3D>
      <c:rotX val="15"/>
      <c:hPercent val="5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2078593588417787"/>
          <c:y val="0.10472972972972973"/>
          <c:w val="0.78179937952430201"/>
          <c:h val="0.61655405405405406"/>
        </c:manualLayout>
      </c:layout>
      <c:bar3DChart>
        <c:barDir val="col"/>
        <c:grouping val="stacked"/>
        <c:varyColors val="0"/>
        <c:ser>
          <c:idx val="0"/>
          <c:order val="0"/>
          <c:tx>
            <c:strRef>
              <c:f>'Table 3 - Capex by Vote'!$J$25</c:f>
              <c:strCache>
                <c:ptCount val="1"/>
                <c:pt idx="0">
                  <c:v>Health</c:v>
                </c:pt>
              </c:strCache>
            </c:strRef>
          </c:tx>
          <c:spPr>
            <a:solidFill>
              <a:srgbClr val="9999FF"/>
            </a:solidFill>
            <a:ln w="12700">
              <a:solidFill>
                <a:srgbClr val="000000"/>
              </a:solidFill>
              <a:prstDash val="solid"/>
            </a:ln>
          </c:spPr>
          <c:invertIfNegative val="0"/>
          <c:cat>
            <c:strRef>
              <c:f>'Table 3 - Capex by Vote'!$K$24:$Q$24</c:f>
              <c:strCache>
                <c:ptCount val="7"/>
                <c:pt idx="0">
                  <c:v>08/09 Aud</c:v>
                </c:pt>
                <c:pt idx="1">
                  <c:v>09/10 Bud</c:v>
                </c:pt>
                <c:pt idx="2">
                  <c:v>09/10 Adj</c:v>
                </c:pt>
                <c:pt idx="3">
                  <c:v>09/10 Est</c:v>
                </c:pt>
                <c:pt idx="4">
                  <c:v>10/11 Bud</c:v>
                </c:pt>
                <c:pt idx="5">
                  <c:v>11/12 Proj</c:v>
                </c:pt>
                <c:pt idx="6">
                  <c:v>12/13 Proj</c:v>
                </c:pt>
              </c:strCache>
            </c:strRef>
          </c:cat>
          <c:val>
            <c:numRef>
              <c:f>'Table 3 - Capex by Vote'!$K$25:$Q$25</c:f>
              <c:numCache>
                <c:formatCode>#,##0</c:formatCode>
                <c:ptCount val="7"/>
                <c:pt idx="0">
                  <c:v>0</c:v>
                </c:pt>
                <c:pt idx="1">
                  <c:v>0</c:v>
                </c:pt>
                <c:pt idx="2">
                  <c:v>0</c:v>
                </c:pt>
                <c:pt idx="3">
                  <c:v>0</c:v>
                </c:pt>
                <c:pt idx="4">
                  <c:v>1500000</c:v>
                </c:pt>
                <c:pt idx="5">
                  <c:v>2000000</c:v>
                </c:pt>
                <c:pt idx="6">
                  <c:v>0</c:v>
                </c:pt>
              </c:numCache>
            </c:numRef>
          </c:val>
        </c:ser>
        <c:ser>
          <c:idx val="1"/>
          <c:order val="1"/>
          <c:tx>
            <c:strRef>
              <c:f>'Table 3 - Capex by Vote'!$J$26</c:f>
              <c:strCache>
                <c:ptCount val="1"/>
                <c:pt idx="0">
                  <c:v>Community &amp; Social Services</c:v>
                </c:pt>
              </c:strCache>
            </c:strRef>
          </c:tx>
          <c:spPr>
            <a:solidFill>
              <a:srgbClr val="993366"/>
            </a:solidFill>
            <a:ln w="12700">
              <a:solidFill>
                <a:srgbClr val="000000"/>
              </a:solidFill>
              <a:prstDash val="solid"/>
            </a:ln>
          </c:spPr>
          <c:invertIfNegative val="0"/>
          <c:cat>
            <c:strRef>
              <c:f>'Table 3 - Capex by Vote'!$K$24:$Q$24</c:f>
              <c:strCache>
                <c:ptCount val="7"/>
                <c:pt idx="0">
                  <c:v>08/09 Aud</c:v>
                </c:pt>
                <c:pt idx="1">
                  <c:v>09/10 Bud</c:v>
                </c:pt>
                <c:pt idx="2">
                  <c:v>09/10 Adj</c:v>
                </c:pt>
                <c:pt idx="3">
                  <c:v>09/10 Est</c:v>
                </c:pt>
                <c:pt idx="4">
                  <c:v>10/11 Bud</c:v>
                </c:pt>
                <c:pt idx="5">
                  <c:v>11/12 Proj</c:v>
                </c:pt>
                <c:pt idx="6">
                  <c:v>12/13 Proj</c:v>
                </c:pt>
              </c:strCache>
            </c:strRef>
          </c:cat>
          <c:val>
            <c:numRef>
              <c:f>'Table 3 - Capex by Vote'!$K$26:$Q$26</c:f>
              <c:numCache>
                <c:formatCode>#,##0</c:formatCode>
                <c:ptCount val="7"/>
                <c:pt idx="0">
                  <c:v>0</c:v>
                </c:pt>
                <c:pt idx="1">
                  <c:v>0</c:v>
                </c:pt>
                <c:pt idx="2">
                  <c:v>0</c:v>
                </c:pt>
                <c:pt idx="3">
                  <c:v>0</c:v>
                </c:pt>
                <c:pt idx="4">
                  <c:v>0</c:v>
                </c:pt>
                <c:pt idx="5">
                  <c:v>0</c:v>
                </c:pt>
                <c:pt idx="6">
                  <c:v>0</c:v>
                </c:pt>
              </c:numCache>
            </c:numRef>
          </c:val>
        </c:ser>
        <c:ser>
          <c:idx val="2"/>
          <c:order val="2"/>
          <c:tx>
            <c:strRef>
              <c:f>'Table 3 - Capex by Vote'!$J$27</c:f>
              <c:strCache>
                <c:ptCount val="1"/>
                <c:pt idx="0">
                  <c:v>Finance &amp; Admin</c:v>
                </c:pt>
              </c:strCache>
            </c:strRef>
          </c:tx>
          <c:spPr>
            <a:solidFill>
              <a:srgbClr val="FFFFCC"/>
            </a:solidFill>
            <a:ln w="12700">
              <a:solidFill>
                <a:srgbClr val="000000"/>
              </a:solidFill>
              <a:prstDash val="solid"/>
            </a:ln>
          </c:spPr>
          <c:invertIfNegative val="0"/>
          <c:cat>
            <c:strRef>
              <c:f>'Table 3 - Capex by Vote'!$K$24:$Q$24</c:f>
              <c:strCache>
                <c:ptCount val="7"/>
                <c:pt idx="0">
                  <c:v>08/09 Aud</c:v>
                </c:pt>
                <c:pt idx="1">
                  <c:v>09/10 Bud</c:v>
                </c:pt>
                <c:pt idx="2">
                  <c:v>09/10 Adj</c:v>
                </c:pt>
                <c:pt idx="3">
                  <c:v>09/10 Est</c:v>
                </c:pt>
                <c:pt idx="4">
                  <c:v>10/11 Bud</c:v>
                </c:pt>
                <c:pt idx="5">
                  <c:v>11/12 Proj</c:v>
                </c:pt>
                <c:pt idx="6">
                  <c:v>12/13 Proj</c:v>
                </c:pt>
              </c:strCache>
            </c:strRef>
          </c:cat>
          <c:val>
            <c:numRef>
              <c:f>'Table 3 - Capex by Vote'!$K$27:$Q$27</c:f>
              <c:numCache>
                <c:formatCode>#,##0</c:formatCode>
                <c:ptCount val="7"/>
                <c:pt idx="0">
                  <c:v>292616</c:v>
                </c:pt>
                <c:pt idx="1">
                  <c:v>0</c:v>
                </c:pt>
                <c:pt idx="2">
                  <c:v>2000000</c:v>
                </c:pt>
                <c:pt idx="3">
                  <c:v>0</c:v>
                </c:pt>
                <c:pt idx="4">
                  <c:v>47000000</c:v>
                </c:pt>
                <c:pt idx="5">
                  <c:v>0</c:v>
                </c:pt>
                <c:pt idx="6">
                  <c:v>0</c:v>
                </c:pt>
              </c:numCache>
            </c:numRef>
          </c:val>
        </c:ser>
        <c:ser>
          <c:idx val="3"/>
          <c:order val="3"/>
          <c:tx>
            <c:strRef>
              <c:f>'Table 3 - Capex by Vote'!$J$28</c:f>
              <c:strCache>
                <c:ptCount val="1"/>
                <c:pt idx="0">
                  <c:v>Planning &amp; Development</c:v>
                </c:pt>
              </c:strCache>
            </c:strRef>
          </c:tx>
          <c:spPr>
            <a:solidFill>
              <a:srgbClr val="CCFFFF"/>
            </a:solidFill>
            <a:ln w="12700">
              <a:solidFill>
                <a:srgbClr val="000000"/>
              </a:solidFill>
              <a:prstDash val="solid"/>
            </a:ln>
          </c:spPr>
          <c:invertIfNegative val="0"/>
          <c:cat>
            <c:strRef>
              <c:f>'Table 3 - Capex by Vote'!$K$24:$Q$24</c:f>
              <c:strCache>
                <c:ptCount val="7"/>
                <c:pt idx="0">
                  <c:v>08/09 Aud</c:v>
                </c:pt>
                <c:pt idx="1">
                  <c:v>09/10 Bud</c:v>
                </c:pt>
                <c:pt idx="2">
                  <c:v>09/10 Adj</c:v>
                </c:pt>
                <c:pt idx="3">
                  <c:v>09/10 Est</c:v>
                </c:pt>
                <c:pt idx="4">
                  <c:v>10/11 Bud</c:v>
                </c:pt>
                <c:pt idx="5">
                  <c:v>11/12 Proj</c:v>
                </c:pt>
                <c:pt idx="6">
                  <c:v>12/13 Proj</c:v>
                </c:pt>
              </c:strCache>
            </c:strRef>
          </c:cat>
          <c:val>
            <c:numRef>
              <c:f>'Table 3 - Capex by Vote'!$K$28:$Q$28</c:f>
              <c:numCache>
                <c:formatCode>#,##0</c:formatCode>
                <c:ptCount val="7"/>
                <c:pt idx="0">
                  <c:v>0</c:v>
                </c:pt>
                <c:pt idx="1">
                  <c:v>2220000</c:v>
                </c:pt>
                <c:pt idx="2">
                  <c:v>2220000</c:v>
                </c:pt>
                <c:pt idx="3">
                  <c:v>0</c:v>
                </c:pt>
                <c:pt idx="4">
                  <c:v>2220000</c:v>
                </c:pt>
                <c:pt idx="5">
                  <c:v>0</c:v>
                </c:pt>
                <c:pt idx="6">
                  <c:v>0</c:v>
                </c:pt>
              </c:numCache>
            </c:numRef>
          </c:val>
        </c:ser>
        <c:ser>
          <c:idx val="4"/>
          <c:order val="4"/>
          <c:tx>
            <c:strRef>
              <c:f>'Table 3 - Capex by Vote'!$J$29</c:f>
              <c:strCache>
                <c:ptCount val="1"/>
                <c:pt idx="0">
                  <c:v>Executive &amp; Council</c:v>
                </c:pt>
              </c:strCache>
            </c:strRef>
          </c:tx>
          <c:spPr>
            <a:solidFill>
              <a:srgbClr val="660066"/>
            </a:solidFill>
            <a:ln w="12700">
              <a:solidFill>
                <a:srgbClr val="000000"/>
              </a:solidFill>
              <a:prstDash val="solid"/>
            </a:ln>
          </c:spPr>
          <c:invertIfNegative val="0"/>
          <c:cat>
            <c:strRef>
              <c:f>'Table 3 - Capex by Vote'!$K$24:$Q$24</c:f>
              <c:strCache>
                <c:ptCount val="7"/>
                <c:pt idx="0">
                  <c:v>08/09 Aud</c:v>
                </c:pt>
                <c:pt idx="1">
                  <c:v>09/10 Bud</c:v>
                </c:pt>
                <c:pt idx="2">
                  <c:v>09/10 Adj</c:v>
                </c:pt>
                <c:pt idx="3">
                  <c:v>09/10 Est</c:v>
                </c:pt>
                <c:pt idx="4">
                  <c:v>10/11 Bud</c:v>
                </c:pt>
                <c:pt idx="5">
                  <c:v>11/12 Proj</c:v>
                </c:pt>
                <c:pt idx="6">
                  <c:v>12/13 Proj</c:v>
                </c:pt>
              </c:strCache>
            </c:strRef>
          </c:cat>
          <c:val>
            <c:numRef>
              <c:f>'Table 3 - Capex by Vote'!$K$29:$Q$29</c:f>
              <c:numCache>
                <c:formatCode>#,##0</c:formatCode>
                <c:ptCount val="7"/>
                <c:pt idx="0">
                  <c:v>103070</c:v>
                </c:pt>
                <c:pt idx="1">
                  <c:v>2093221</c:v>
                </c:pt>
                <c:pt idx="2">
                  <c:v>2093221</c:v>
                </c:pt>
                <c:pt idx="3">
                  <c:v>459351</c:v>
                </c:pt>
                <c:pt idx="4">
                  <c:v>1633870</c:v>
                </c:pt>
                <c:pt idx="5">
                  <c:v>0</c:v>
                </c:pt>
                <c:pt idx="6">
                  <c:v>0</c:v>
                </c:pt>
              </c:numCache>
            </c:numRef>
          </c:val>
        </c:ser>
        <c:ser>
          <c:idx val="5"/>
          <c:order val="5"/>
          <c:tx>
            <c:strRef>
              <c:f>'Table 3 - Capex by Vote'!$J$30</c:f>
              <c:strCache>
                <c:ptCount val="1"/>
                <c:pt idx="0">
                  <c:v>Cattle Farming</c:v>
                </c:pt>
              </c:strCache>
            </c:strRef>
          </c:tx>
          <c:spPr>
            <a:solidFill>
              <a:srgbClr val="FF8080"/>
            </a:solidFill>
            <a:ln w="12700">
              <a:solidFill>
                <a:srgbClr val="000000"/>
              </a:solidFill>
              <a:prstDash val="solid"/>
            </a:ln>
          </c:spPr>
          <c:invertIfNegative val="0"/>
          <c:cat>
            <c:strRef>
              <c:f>'Table 3 - Capex by Vote'!$K$24:$Q$24</c:f>
              <c:strCache>
                <c:ptCount val="7"/>
                <c:pt idx="0">
                  <c:v>08/09 Aud</c:v>
                </c:pt>
                <c:pt idx="1">
                  <c:v>09/10 Bud</c:v>
                </c:pt>
                <c:pt idx="2">
                  <c:v>09/10 Adj</c:v>
                </c:pt>
                <c:pt idx="3">
                  <c:v>09/10 Est</c:v>
                </c:pt>
                <c:pt idx="4">
                  <c:v>10/11 Bud</c:v>
                </c:pt>
                <c:pt idx="5">
                  <c:v>11/12 Proj</c:v>
                </c:pt>
                <c:pt idx="6">
                  <c:v>12/13 Proj</c:v>
                </c:pt>
              </c:strCache>
            </c:strRef>
          </c:cat>
          <c:val>
            <c:numRef>
              <c:f>'Table 3 - Capex by Vote'!$K$30:$Q$30</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shape val="box"/>
        <c:axId val="188579840"/>
        <c:axId val="188581376"/>
        <c:axId val="0"/>
      </c:bar3DChart>
      <c:catAx>
        <c:axId val="18857984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581376"/>
        <c:crosses val="autoZero"/>
        <c:auto val="1"/>
        <c:lblAlgn val="ctr"/>
        <c:lblOffset val="100"/>
        <c:tickLblSkip val="1"/>
        <c:tickMarkSkip val="1"/>
        <c:noMultiLvlLbl val="0"/>
      </c:catAx>
      <c:valAx>
        <c:axId val="188581376"/>
        <c:scaling>
          <c:orientation val="minMax"/>
        </c:scaling>
        <c:delete val="0"/>
        <c:axPos val="l"/>
        <c:majorGridlines>
          <c:spPr>
            <a:ln w="3175">
              <a:solidFill>
                <a:srgbClr val="000000"/>
              </a:solidFill>
              <a:prstDash val="solid"/>
            </a:ln>
          </c:spPr>
        </c:majorGridlines>
        <c:title>
          <c:tx>
            <c:rich>
              <a:bodyPr rot="0" vert="horz"/>
              <a:lstStyle/>
              <a:p>
                <a:pPr algn="ctr">
                  <a:defRPr sz="1000" b="1" i="0" u="none" strike="noStrike" baseline="0">
                    <a:solidFill>
                      <a:srgbClr val="000000"/>
                    </a:solidFill>
                    <a:latin typeface="Arial"/>
                    <a:ea typeface="Arial"/>
                    <a:cs typeface="Arial"/>
                  </a:defRPr>
                </a:pPr>
                <a:r>
                  <a:t>R('000)</a:t>
                </a:r>
              </a:p>
            </c:rich>
          </c:tx>
          <c:layout>
            <c:manualLayout>
              <c:xMode val="edge"/>
              <c:yMode val="edge"/>
              <c:x val="0.13960695265788872"/>
              <c:y val="0.4138513279060456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579840"/>
        <c:crosses val="autoZero"/>
        <c:crossBetween val="between"/>
      </c:valAx>
      <c:dTable>
        <c:showHorzBorder val="1"/>
        <c:showVertBorder val="1"/>
        <c:showOutline val="1"/>
        <c:showKeys val="1"/>
        <c:spPr>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t>Capital Funding by Source - Annexure M</a:t>
            </a:r>
          </a:p>
        </c:rich>
      </c:tx>
      <c:layout>
        <c:manualLayout>
          <c:xMode val="edge"/>
          <c:yMode val="edge"/>
          <c:x val="0.35056882412520013"/>
          <c:y val="2.0270296721384404E-2"/>
        </c:manualLayout>
      </c:layout>
      <c:overlay val="0"/>
      <c:spPr>
        <a:noFill/>
        <a:ln w="25400">
          <a:noFill/>
        </a:ln>
      </c:spPr>
    </c:title>
    <c:autoTitleDeleted val="0"/>
    <c:view3D>
      <c:rotX val="15"/>
      <c:hPercent val="5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21509824198552224"/>
          <c:y val="0.10304054054054054"/>
          <c:w val="0.77456049638055846"/>
          <c:h val="0.69256756756756754"/>
        </c:manualLayout>
      </c:layout>
      <c:bar3DChart>
        <c:barDir val="col"/>
        <c:grouping val="stacked"/>
        <c:varyColors val="0"/>
        <c:ser>
          <c:idx val="0"/>
          <c:order val="0"/>
          <c:tx>
            <c:strRef>
              <c:f>'Table 4 - Capex Funding'!$J$8</c:f>
              <c:strCache>
                <c:ptCount val="1"/>
                <c:pt idx="0">
                  <c:v>Grants - National Government</c:v>
                </c:pt>
              </c:strCache>
            </c:strRef>
          </c:tx>
          <c:spPr>
            <a:solidFill>
              <a:srgbClr val="9999FF"/>
            </a:solidFill>
            <a:ln w="12700">
              <a:solidFill>
                <a:srgbClr val="000000"/>
              </a:solidFill>
              <a:prstDash val="solid"/>
            </a:ln>
          </c:spPr>
          <c:invertIfNegative val="0"/>
          <c:cat>
            <c:strRef>
              <c:f>'Table 4 - Capex Funding'!$K$7:$Q$7</c:f>
              <c:strCache>
                <c:ptCount val="7"/>
                <c:pt idx="0">
                  <c:v>08/09 Aud</c:v>
                </c:pt>
                <c:pt idx="1">
                  <c:v>09/10 Bud</c:v>
                </c:pt>
                <c:pt idx="2">
                  <c:v>09/10 Adj</c:v>
                </c:pt>
                <c:pt idx="3">
                  <c:v>09/10 Est</c:v>
                </c:pt>
                <c:pt idx="4">
                  <c:v>10/11 Bud</c:v>
                </c:pt>
                <c:pt idx="5">
                  <c:v>11/12 Proj</c:v>
                </c:pt>
                <c:pt idx="6">
                  <c:v>12/13 Proj</c:v>
                </c:pt>
              </c:strCache>
            </c:strRef>
          </c:cat>
          <c:val>
            <c:numRef>
              <c:f>'Table 4 - Capex Funding'!$K$8:$Q$8</c:f>
              <c:numCache>
                <c:formatCode>#,##0</c:formatCode>
                <c:ptCount val="7"/>
                <c:pt idx="0">
                  <c:v>12524006</c:v>
                </c:pt>
                <c:pt idx="1">
                  <c:v>18880271</c:v>
                </c:pt>
                <c:pt idx="2">
                  <c:v>21713921</c:v>
                </c:pt>
                <c:pt idx="3">
                  <c:v>10608113</c:v>
                </c:pt>
                <c:pt idx="4">
                  <c:v>22629318</c:v>
                </c:pt>
                <c:pt idx="5">
                  <c:v>15831000</c:v>
                </c:pt>
                <c:pt idx="6">
                  <c:v>19384000</c:v>
                </c:pt>
              </c:numCache>
            </c:numRef>
          </c:val>
        </c:ser>
        <c:ser>
          <c:idx val="1"/>
          <c:order val="1"/>
          <c:tx>
            <c:strRef>
              <c:f>'Table 4 - Capex Funding'!$J$9</c:f>
              <c:strCache>
                <c:ptCount val="1"/>
                <c:pt idx="0">
                  <c:v>Grants - Provincial Government</c:v>
                </c:pt>
              </c:strCache>
            </c:strRef>
          </c:tx>
          <c:spPr>
            <a:solidFill>
              <a:srgbClr val="993366"/>
            </a:solidFill>
            <a:ln w="12700">
              <a:solidFill>
                <a:srgbClr val="000000"/>
              </a:solidFill>
              <a:prstDash val="solid"/>
            </a:ln>
          </c:spPr>
          <c:invertIfNegative val="0"/>
          <c:cat>
            <c:strRef>
              <c:f>'Table 4 - Capex Funding'!$K$7:$Q$7</c:f>
              <c:strCache>
                <c:ptCount val="7"/>
                <c:pt idx="0">
                  <c:v>08/09 Aud</c:v>
                </c:pt>
                <c:pt idx="1">
                  <c:v>09/10 Bud</c:v>
                </c:pt>
                <c:pt idx="2">
                  <c:v>09/10 Adj</c:v>
                </c:pt>
                <c:pt idx="3">
                  <c:v>09/10 Est</c:v>
                </c:pt>
                <c:pt idx="4">
                  <c:v>10/11 Bud</c:v>
                </c:pt>
                <c:pt idx="5">
                  <c:v>11/12 Proj</c:v>
                </c:pt>
                <c:pt idx="6">
                  <c:v>12/13 Proj</c:v>
                </c:pt>
              </c:strCache>
            </c:strRef>
          </c:cat>
          <c:val>
            <c:numRef>
              <c:f>'Table 4 - Capex Funding'!$K$9:$Q$9</c:f>
              <c:numCache>
                <c:formatCode>#,##0</c:formatCode>
                <c:ptCount val="7"/>
                <c:pt idx="0">
                  <c:v>5315954</c:v>
                </c:pt>
                <c:pt idx="1">
                  <c:v>5388969</c:v>
                </c:pt>
                <c:pt idx="2">
                  <c:v>5388969</c:v>
                </c:pt>
                <c:pt idx="3">
                  <c:v>459351</c:v>
                </c:pt>
                <c:pt idx="4">
                  <c:v>3853870</c:v>
                </c:pt>
                <c:pt idx="5">
                  <c:v>0</c:v>
                </c:pt>
                <c:pt idx="6">
                  <c:v>0</c:v>
                </c:pt>
              </c:numCache>
            </c:numRef>
          </c:val>
        </c:ser>
        <c:ser>
          <c:idx val="2"/>
          <c:order val="2"/>
          <c:tx>
            <c:strRef>
              <c:f>'Table 4 - Capex Funding'!$J$10</c:f>
              <c:strCache>
                <c:ptCount val="1"/>
                <c:pt idx="0">
                  <c:v>External Loans</c:v>
                </c:pt>
              </c:strCache>
            </c:strRef>
          </c:tx>
          <c:spPr>
            <a:solidFill>
              <a:srgbClr val="FFFFCC"/>
            </a:solidFill>
            <a:ln w="12700">
              <a:solidFill>
                <a:srgbClr val="000000"/>
              </a:solidFill>
              <a:prstDash val="solid"/>
            </a:ln>
          </c:spPr>
          <c:invertIfNegative val="0"/>
          <c:cat>
            <c:strRef>
              <c:f>'Table 4 - Capex Funding'!$K$7:$Q$7</c:f>
              <c:strCache>
                <c:ptCount val="7"/>
                <c:pt idx="0">
                  <c:v>08/09 Aud</c:v>
                </c:pt>
                <c:pt idx="1">
                  <c:v>09/10 Bud</c:v>
                </c:pt>
                <c:pt idx="2">
                  <c:v>09/10 Adj</c:v>
                </c:pt>
                <c:pt idx="3">
                  <c:v>09/10 Est</c:v>
                </c:pt>
                <c:pt idx="4">
                  <c:v>10/11 Bud</c:v>
                </c:pt>
                <c:pt idx="5">
                  <c:v>11/12 Proj</c:v>
                </c:pt>
                <c:pt idx="6">
                  <c:v>12/13 Proj</c:v>
                </c:pt>
              </c:strCache>
            </c:strRef>
          </c:cat>
          <c:val>
            <c:numRef>
              <c:f>'Table 4 - Capex Funding'!$K$10:$Q$10</c:f>
              <c:numCache>
                <c:formatCode>#,##0</c:formatCode>
                <c:ptCount val="7"/>
                <c:pt idx="0">
                  <c:v>0</c:v>
                </c:pt>
                <c:pt idx="1">
                  <c:v>0</c:v>
                </c:pt>
                <c:pt idx="2">
                  <c:v>1000000</c:v>
                </c:pt>
                <c:pt idx="3">
                  <c:v>0</c:v>
                </c:pt>
                <c:pt idx="4">
                  <c:v>27003400</c:v>
                </c:pt>
                <c:pt idx="5">
                  <c:v>0</c:v>
                </c:pt>
                <c:pt idx="6">
                  <c:v>0</c:v>
                </c:pt>
              </c:numCache>
            </c:numRef>
          </c:val>
        </c:ser>
        <c:ser>
          <c:idx val="3"/>
          <c:order val="3"/>
          <c:tx>
            <c:strRef>
              <c:f>'Table 4 - Capex Funding'!$J$11</c:f>
              <c:strCache>
                <c:ptCount val="1"/>
                <c:pt idx="0">
                  <c:v>Accumulated Surplus</c:v>
                </c:pt>
              </c:strCache>
            </c:strRef>
          </c:tx>
          <c:spPr>
            <a:solidFill>
              <a:srgbClr val="CCFFFF"/>
            </a:solidFill>
            <a:ln w="12700">
              <a:solidFill>
                <a:srgbClr val="000000"/>
              </a:solidFill>
              <a:prstDash val="solid"/>
            </a:ln>
          </c:spPr>
          <c:invertIfNegative val="0"/>
          <c:cat>
            <c:strRef>
              <c:f>'Table 4 - Capex Funding'!$K$7:$Q$7</c:f>
              <c:strCache>
                <c:ptCount val="7"/>
                <c:pt idx="0">
                  <c:v>08/09 Aud</c:v>
                </c:pt>
                <c:pt idx="1">
                  <c:v>09/10 Bud</c:v>
                </c:pt>
                <c:pt idx="2">
                  <c:v>09/10 Adj</c:v>
                </c:pt>
                <c:pt idx="3">
                  <c:v>09/10 Est</c:v>
                </c:pt>
                <c:pt idx="4">
                  <c:v>10/11 Bud</c:v>
                </c:pt>
                <c:pt idx="5">
                  <c:v>11/12 Proj</c:v>
                </c:pt>
                <c:pt idx="6">
                  <c:v>12/13 Proj</c:v>
                </c:pt>
              </c:strCache>
            </c:strRef>
          </c:cat>
          <c:val>
            <c:numRef>
              <c:f>'Table 4 - Capex Funding'!$K$11:$Q$11</c:f>
              <c:numCache>
                <c:formatCode>#,##0</c:formatCode>
                <c:ptCount val="7"/>
                <c:pt idx="0">
                  <c:v>292616</c:v>
                </c:pt>
                <c:pt idx="1">
                  <c:v>0</c:v>
                </c:pt>
                <c:pt idx="2">
                  <c:v>1797884</c:v>
                </c:pt>
                <c:pt idx="3">
                  <c:v>797884</c:v>
                </c:pt>
                <c:pt idx="4">
                  <c:v>3500000</c:v>
                </c:pt>
                <c:pt idx="5">
                  <c:v>2000000</c:v>
                </c:pt>
                <c:pt idx="6">
                  <c:v>0</c:v>
                </c:pt>
              </c:numCache>
            </c:numRef>
          </c:val>
        </c:ser>
        <c:dLbls>
          <c:showLegendKey val="0"/>
          <c:showVal val="0"/>
          <c:showCatName val="0"/>
          <c:showSerName val="0"/>
          <c:showPercent val="0"/>
          <c:showBubbleSize val="0"/>
        </c:dLbls>
        <c:gapWidth val="150"/>
        <c:shape val="box"/>
        <c:axId val="188627584"/>
        <c:axId val="188633472"/>
        <c:axId val="0"/>
      </c:bar3DChart>
      <c:catAx>
        <c:axId val="188627584"/>
        <c:scaling>
          <c:orientation val="minMax"/>
        </c:scaling>
        <c:delete val="0"/>
        <c:axPos val="b"/>
        <c:numFmt formatCode="#,##0"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88633472"/>
        <c:crosses val="autoZero"/>
        <c:auto val="1"/>
        <c:lblAlgn val="ctr"/>
        <c:lblOffset val="100"/>
        <c:tickLblSkip val="1"/>
        <c:tickMarkSkip val="1"/>
        <c:noMultiLvlLbl val="0"/>
      </c:catAx>
      <c:valAx>
        <c:axId val="188633472"/>
        <c:scaling>
          <c:orientation val="minMax"/>
        </c:scaling>
        <c:delete val="0"/>
        <c:axPos val="l"/>
        <c:majorGridlines>
          <c:spPr>
            <a:ln w="3175">
              <a:solidFill>
                <a:srgbClr val="000000"/>
              </a:solidFill>
              <a:prstDash val="solid"/>
            </a:ln>
          </c:spPr>
        </c:majorGridlines>
        <c:title>
          <c:tx>
            <c:rich>
              <a:bodyPr rot="0" vert="horz"/>
              <a:lstStyle/>
              <a:p>
                <a:pPr algn="ctr">
                  <a:defRPr sz="975" b="1" i="0" u="none" strike="noStrike" baseline="0">
                    <a:solidFill>
                      <a:srgbClr val="000000"/>
                    </a:solidFill>
                    <a:latin typeface="Arial"/>
                    <a:ea typeface="Arial"/>
                    <a:cs typeface="Arial"/>
                  </a:defRPr>
                </a:pPr>
                <a:r>
                  <a:t>R('000)</a:t>
                </a:r>
              </a:p>
            </c:rich>
          </c:tx>
          <c:layout>
            <c:manualLayout>
              <c:xMode val="edge"/>
              <c:yMode val="edge"/>
              <c:x val="0.10031027760534084"/>
              <c:y val="0.4543919213488144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88627584"/>
        <c:crosses val="autoZero"/>
        <c:crossBetween val="between"/>
      </c:valAx>
      <c:dTable>
        <c:showHorzBorder val="1"/>
        <c:showVertBorder val="1"/>
        <c:showOutline val="1"/>
        <c:showKeys val="1"/>
        <c:spPr>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noFill/>
    <a:ln w="9525">
      <a:noFill/>
    </a:ln>
  </c:spPr>
  <c:txPr>
    <a:bodyPr/>
    <a:lstStyle/>
    <a:p>
      <a:pPr>
        <a:defRPr sz="975" b="0" i="0" u="none" strike="noStrike" baseline="0">
          <a:solidFill>
            <a:srgbClr val="000000"/>
          </a:solidFill>
          <a:latin typeface="Arial"/>
          <a:ea typeface="Arial"/>
          <a:cs typeface="Arial"/>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t>Operating Expenditure by Major Type (see next chart for break down of other) - Annexure N</a:t>
            </a:r>
          </a:p>
        </c:rich>
      </c:tx>
      <c:layout>
        <c:manualLayout>
          <c:xMode val="edge"/>
          <c:yMode val="edge"/>
          <c:x val="0.14064113873732587"/>
          <c:y val="2.0270296721384404E-2"/>
        </c:manualLayout>
      </c:layout>
      <c:overlay val="0"/>
      <c:spPr>
        <a:noFill/>
        <a:ln w="25400">
          <a:noFill/>
        </a:ln>
      </c:spPr>
    </c:title>
    <c:autoTitleDeleted val="0"/>
    <c:view3D>
      <c:rotX val="15"/>
      <c:hPercent val="5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9170984455958548"/>
          <c:y val="0.1"/>
          <c:w val="0.80829015544041449"/>
          <c:h val="0.48305084745762711"/>
        </c:manualLayout>
      </c:layout>
      <c:bar3DChart>
        <c:barDir val="col"/>
        <c:grouping val="stacked"/>
        <c:varyColors val="0"/>
        <c:ser>
          <c:idx val="0"/>
          <c:order val="0"/>
          <c:tx>
            <c:strRef>
              <c:f>'Table 6 - Exp by Type'!$J$9</c:f>
              <c:strCache>
                <c:ptCount val="1"/>
                <c:pt idx="0">
                  <c:v>Employee related costs</c:v>
                </c:pt>
              </c:strCache>
            </c:strRef>
          </c:tx>
          <c:spPr>
            <a:solidFill>
              <a:srgbClr val="9999FF"/>
            </a:solidFill>
            <a:ln w="12700">
              <a:solidFill>
                <a:srgbClr val="000000"/>
              </a:solidFill>
              <a:prstDash val="solid"/>
            </a:ln>
          </c:spPr>
          <c:invertIfNegative val="0"/>
          <c:cat>
            <c:strRef>
              <c:f>'Table 6 - Exp by Type'!$K$8:$Q$8</c:f>
              <c:strCache>
                <c:ptCount val="7"/>
                <c:pt idx="0">
                  <c:v>08/09 Aud</c:v>
                </c:pt>
                <c:pt idx="1">
                  <c:v>09/10 Bud</c:v>
                </c:pt>
                <c:pt idx="2">
                  <c:v>09/10 Adj</c:v>
                </c:pt>
                <c:pt idx="3">
                  <c:v>09/10 Est</c:v>
                </c:pt>
                <c:pt idx="4">
                  <c:v>10/11 Bud</c:v>
                </c:pt>
                <c:pt idx="5">
                  <c:v>11/12 Proj</c:v>
                </c:pt>
                <c:pt idx="6">
                  <c:v>12/13 Proj</c:v>
                </c:pt>
              </c:strCache>
            </c:strRef>
          </c:cat>
          <c:val>
            <c:numRef>
              <c:f>'Table 6 - Exp by Type'!$K$9:$Q$9</c:f>
              <c:numCache>
                <c:formatCode>_(* #,##0,_);_(* \(#,##0,\);_(* "–"?_);_(@_)</c:formatCode>
                <c:ptCount val="7"/>
                <c:pt idx="0">
                  <c:v>19489880.759999998</c:v>
                </c:pt>
                <c:pt idx="1">
                  <c:v>23277687</c:v>
                </c:pt>
                <c:pt idx="2">
                  <c:v>23277687</c:v>
                </c:pt>
                <c:pt idx="3">
                  <c:v>22392280.800000004</c:v>
                </c:pt>
                <c:pt idx="4">
                  <c:v>32957191</c:v>
                </c:pt>
                <c:pt idx="5">
                  <c:v>35569437</c:v>
                </c:pt>
                <c:pt idx="6">
                  <c:v>38415001</c:v>
                </c:pt>
              </c:numCache>
            </c:numRef>
          </c:val>
        </c:ser>
        <c:ser>
          <c:idx val="1"/>
          <c:order val="1"/>
          <c:tx>
            <c:strRef>
              <c:f>'Table 6 - Exp by Type'!$J$10</c:f>
              <c:strCache>
                <c:ptCount val="1"/>
                <c:pt idx="0">
                  <c:v>Bulk purchases - Electricity</c:v>
                </c:pt>
              </c:strCache>
            </c:strRef>
          </c:tx>
          <c:spPr>
            <a:solidFill>
              <a:srgbClr val="993366"/>
            </a:solidFill>
            <a:ln w="12700">
              <a:solidFill>
                <a:srgbClr val="000000"/>
              </a:solidFill>
              <a:prstDash val="solid"/>
            </a:ln>
          </c:spPr>
          <c:invertIfNegative val="0"/>
          <c:cat>
            <c:strRef>
              <c:f>'Table 6 - Exp by Type'!$K$8:$Q$8</c:f>
              <c:strCache>
                <c:ptCount val="7"/>
                <c:pt idx="0">
                  <c:v>08/09 Aud</c:v>
                </c:pt>
                <c:pt idx="1">
                  <c:v>09/10 Bud</c:v>
                </c:pt>
                <c:pt idx="2">
                  <c:v>09/10 Adj</c:v>
                </c:pt>
                <c:pt idx="3">
                  <c:v>09/10 Est</c:v>
                </c:pt>
                <c:pt idx="4">
                  <c:v>10/11 Bud</c:v>
                </c:pt>
                <c:pt idx="5">
                  <c:v>11/12 Proj</c:v>
                </c:pt>
                <c:pt idx="6">
                  <c:v>12/13 Proj</c:v>
                </c:pt>
              </c:strCache>
            </c:strRef>
          </c:cat>
          <c:val>
            <c:numRef>
              <c:f>'Table 6 - Exp by Type'!$K$10:$Q$10</c:f>
              <c:numCache>
                <c:formatCode>_(* #,##0,_);_(* \(#,##0,\);_(* "–"?_);_(@_)</c:formatCode>
                <c:ptCount val="7"/>
                <c:pt idx="0">
                  <c:v>44064</c:v>
                </c:pt>
                <c:pt idx="1">
                  <c:v>340418</c:v>
                </c:pt>
                <c:pt idx="2">
                  <c:v>340418</c:v>
                </c:pt>
                <c:pt idx="3">
                  <c:v>337134</c:v>
                </c:pt>
                <c:pt idx="4">
                  <c:v>9243802</c:v>
                </c:pt>
                <c:pt idx="5">
                  <c:v>11628703</c:v>
                </c:pt>
                <c:pt idx="6">
                  <c:v>14640537</c:v>
                </c:pt>
              </c:numCache>
            </c:numRef>
          </c:val>
        </c:ser>
        <c:ser>
          <c:idx val="2"/>
          <c:order val="2"/>
          <c:tx>
            <c:strRef>
              <c:f>'Table 6 - Exp by Type'!$J$11</c:f>
              <c:strCache>
                <c:ptCount val="1"/>
                <c:pt idx="0">
                  <c:v>Other</c:v>
                </c:pt>
              </c:strCache>
            </c:strRef>
          </c:tx>
          <c:spPr>
            <a:solidFill>
              <a:srgbClr val="FFFFCC"/>
            </a:solidFill>
            <a:ln w="12700">
              <a:solidFill>
                <a:srgbClr val="000000"/>
              </a:solidFill>
              <a:prstDash val="solid"/>
            </a:ln>
          </c:spPr>
          <c:invertIfNegative val="0"/>
          <c:cat>
            <c:strRef>
              <c:f>'Table 6 - Exp by Type'!$K$8:$Q$8</c:f>
              <c:strCache>
                <c:ptCount val="7"/>
                <c:pt idx="0">
                  <c:v>08/09 Aud</c:v>
                </c:pt>
                <c:pt idx="1">
                  <c:v>09/10 Bud</c:v>
                </c:pt>
                <c:pt idx="2">
                  <c:v>09/10 Adj</c:v>
                </c:pt>
                <c:pt idx="3">
                  <c:v>09/10 Est</c:v>
                </c:pt>
                <c:pt idx="4">
                  <c:v>10/11 Bud</c:v>
                </c:pt>
                <c:pt idx="5">
                  <c:v>11/12 Proj</c:v>
                </c:pt>
                <c:pt idx="6">
                  <c:v>12/13 Proj</c:v>
                </c:pt>
              </c:strCache>
            </c:strRef>
          </c:cat>
          <c:val>
            <c:numRef>
              <c:f>'Table 6 - Exp by Type'!$K$11:$Q$11</c:f>
              <c:numCache>
                <c:formatCode>_(* #,##0,_);_(* \(#,##0,\);_(* "–"?_);_(@_)</c:formatCode>
                <c:ptCount val="7"/>
                <c:pt idx="0">
                  <c:v>11937001</c:v>
                </c:pt>
                <c:pt idx="1">
                  <c:v>8202818</c:v>
                </c:pt>
                <c:pt idx="2">
                  <c:v>9366218</c:v>
                </c:pt>
                <c:pt idx="3">
                  <c:v>11648045.600000001</c:v>
                </c:pt>
                <c:pt idx="4">
                  <c:v>11159251</c:v>
                </c:pt>
                <c:pt idx="5">
                  <c:v>12036832</c:v>
                </c:pt>
                <c:pt idx="6">
                  <c:v>13162653</c:v>
                </c:pt>
              </c:numCache>
            </c:numRef>
          </c:val>
        </c:ser>
        <c:ser>
          <c:idx val="3"/>
          <c:order val="3"/>
          <c:tx>
            <c:strRef>
              <c:f>'Table 6 - Exp by Type'!$J$12</c:f>
              <c:strCache>
                <c:ptCount val="1"/>
                <c:pt idx="0">
                  <c:v>Repairs and maintenance</c:v>
                </c:pt>
              </c:strCache>
            </c:strRef>
          </c:tx>
          <c:spPr>
            <a:solidFill>
              <a:srgbClr val="CCFFFF"/>
            </a:solidFill>
            <a:ln w="12700">
              <a:solidFill>
                <a:srgbClr val="000000"/>
              </a:solidFill>
              <a:prstDash val="solid"/>
            </a:ln>
          </c:spPr>
          <c:invertIfNegative val="0"/>
          <c:cat>
            <c:strRef>
              <c:f>'Table 6 - Exp by Type'!$K$8:$Q$8</c:f>
              <c:strCache>
                <c:ptCount val="7"/>
                <c:pt idx="0">
                  <c:v>08/09 Aud</c:v>
                </c:pt>
                <c:pt idx="1">
                  <c:v>09/10 Bud</c:v>
                </c:pt>
                <c:pt idx="2">
                  <c:v>09/10 Adj</c:v>
                </c:pt>
                <c:pt idx="3">
                  <c:v>09/10 Est</c:v>
                </c:pt>
                <c:pt idx="4">
                  <c:v>10/11 Bud</c:v>
                </c:pt>
                <c:pt idx="5">
                  <c:v>11/12 Proj</c:v>
                </c:pt>
                <c:pt idx="6">
                  <c:v>12/13 Proj</c:v>
                </c:pt>
              </c:strCache>
            </c:strRef>
          </c:cat>
          <c:val>
            <c:numRef>
              <c:f>'Table 6 - Exp by Type'!$K$12:$Q$12</c:f>
              <c:numCache>
                <c:formatCode>_(* #,##0,_);_(* \(#,##0,\);_(* "–"?_);_(@_)</c:formatCode>
                <c:ptCount val="7"/>
                <c:pt idx="0">
                  <c:v>1346275</c:v>
                </c:pt>
                <c:pt idx="1">
                  <c:v>5141300</c:v>
                </c:pt>
                <c:pt idx="2">
                  <c:v>4137608</c:v>
                </c:pt>
                <c:pt idx="3">
                  <c:v>3208072.8</c:v>
                </c:pt>
                <c:pt idx="4">
                  <c:v>3932859</c:v>
                </c:pt>
                <c:pt idx="5">
                  <c:v>4167782</c:v>
                </c:pt>
                <c:pt idx="6">
                  <c:v>4416750</c:v>
                </c:pt>
              </c:numCache>
            </c:numRef>
          </c:val>
        </c:ser>
        <c:ser>
          <c:idx val="4"/>
          <c:order val="4"/>
          <c:tx>
            <c:strRef>
              <c:f>'Table 6 - Exp by Type'!$J$13</c:f>
              <c:strCache>
                <c:ptCount val="1"/>
                <c:pt idx="0">
                  <c:v>Depreciation</c:v>
                </c:pt>
              </c:strCache>
            </c:strRef>
          </c:tx>
          <c:spPr>
            <a:solidFill>
              <a:srgbClr val="660066"/>
            </a:solidFill>
            <a:ln w="12700">
              <a:solidFill>
                <a:srgbClr val="000000"/>
              </a:solidFill>
              <a:prstDash val="solid"/>
            </a:ln>
          </c:spPr>
          <c:invertIfNegative val="0"/>
          <c:cat>
            <c:strRef>
              <c:f>'Table 6 - Exp by Type'!$K$8:$Q$8</c:f>
              <c:strCache>
                <c:ptCount val="7"/>
                <c:pt idx="0">
                  <c:v>08/09 Aud</c:v>
                </c:pt>
                <c:pt idx="1">
                  <c:v>09/10 Bud</c:v>
                </c:pt>
                <c:pt idx="2">
                  <c:v>09/10 Adj</c:v>
                </c:pt>
                <c:pt idx="3">
                  <c:v>09/10 Est</c:v>
                </c:pt>
                <c:pt idx="4">
                  <c:v>10/11 Bud</c:v>
                </c:pt>
                <c:pt idx="5">
                  <c:v>11/12 Proj</c:v>
                </c:pt>
                <c:pt idx="6">
                  <c:v>12/13 Proj</c:v>
                </c:pt>
              </c:strCache>
            </c:strRef>
          </c:cat>
          <c:val>
            <c:numRef>
              <c:f>'Table 6 - Exp by Type'!$K$13:$Q$13</c:f>
              <c:numCache>
                <c:formatCode>_(* #,##0,_);_(* \(#,##0,\);_(* "–"?_);_(@_)</c:formatCode>
                <c:ptCount val="7"/>
                <c:pt idx="0">
                  <c:v>0</c:v>
                </c:pt>
                <c:pt idx="1">
                  <c:v>0</c:v>
                </c:pt>
                <c:pt idx="2">
                  <c:v>0</c:v>
                </c:pt>
                <c:pt idx="3">
                  <c:v>336000</c:v>
                </c:pt>
                <c:pt idx="4">
                  <c:v>943127</c:v>
                </c:pt>
                <c:pt idx="5">
                  <c:v>688564</c:v>
                </c:pt>
                <c:pt idx="6">
                  <c:v>1271917</c:v>
                </c:pt>
              </c:numCache>
            </c:numRef>
          </c:val>
        </c:ser>
        <c:ser>
          <c:idx val="5"/>
          <c:order val="5"/>
          <c:tx>
            <c:strRef>
              <c:f>'Table 6 - Exp by Type'!$J$14</c:f>
              <c:strCache>
                <c:ptCount val="1"/>
                <c:pt idx="0">
                  <c:v>Bulk purchases - Water</c:v>
                </c:pt>
              </c:strCache>
            </c:strRef>
          </c:tx>
          <c:spPr>
            <a:solidFill>
              <a:srgbClr val="FF8080"/>
            </a:solidFill>
            <a:ln w="12700">
              <a:solidFill>
                <a:srgbClr val="000000"/>
              </a:solidFill>
              <a:prstDash val="solid"/>
            </a:ln>
          </c:spPr>
          <c:invertIfNegative val="0"/>
          <c:cat>
            <c:strRef>
              <c:f>'Table 6 - Exp by Type'!$K$8:$Q$8</c:f>
              <c:strCache>
                <c:ptCount val="7"/>
                <c:pt idx="0">
                  <c:v>08/09 Aud</c:v>
                </c:pt>
                <c:pt idx="1">
                  <c:v>09/10 Bud</c:v>
                </c:pt>
                <c:pt idx="2">
                  <c:v>09/10 Adj</c:v>
                </c:pt>
                <c:pt idx="3">
                  <c:v>09/10 Est</c:v>
                </c:pt>
                <c:pt idx="4">
                  <c:v>10/11 Bud</c:v>
                </c:pt>
                <c:pt idx="5">
                  <c:v>11/12 Proj</c:v>
                </c:pt>
                <c:pt idx="6">
                  <c:v>12/13 Proj</c:v>
                </c:pt>
              </c:strCache>
            </c:strRef>
          </c:cat>
          <c:val>
            <c:numRef>
              <c:f>'Table 6 - Exp by Type'!$K$14:$Q$14</c:f>
              <c:numCache>
                <c:formatCode>_(* #,##0,_);_(* \(#,##0,\);_(* "–"?_);_(@_)</c:formatCode>
                <c:ptCount val="7"/>
                <c:pt idx="0">
                  <c:v>393701</c:v>
                </c:pt>
                <c:pt idx="1">
                  <c:v>315000</c:v>
                </c:pt>
                <c:pt idx="2">
                  <c:v>315000</c:v>
                </c:pt>
                <c:pt idx="3">
                  <c:v>35522.399999999994</c:v>
                </c:pt>
                <c:pt idx="4">
                  <c:v>0</c:v>
                </c:pt>
                <c:pt idx="5">
                  <c:v>0</c:v>
                </c:pt>
                <c:pt idx="6">
                  <c:v>0</c:v>
                </c:pt>
              </c:numCache>
            </c:numRef>
          </c:val>
        </c:ser>
        <c:ser>
          <c:idx val="6"/>
          <c:order val="6"/>
          <c:tx>
            <c:strRef>
              <c:f>'Table 6 - Exp by Type'!$J$15</c:f>
              <c:strCache>
                <c:ptCount val="1"/>
                <c:pt idx="0">
                  <c:v>Interest paid</c:v>
                </c:pt>
              </c:strCache>
            </c:strRef>
          </c:tx>
          <c:spPr>
            <a:solidFill>
              <a:srgbClr val="0066CC"/>
            </a:solidFill>
            <a:ln w="12700">
              <a:solidFill>
                <a:srgbClr val="000000"/>
              </a:solidFill>
              <a:prstDash val="solid"/>
            </a:ln>
          </c:spPr>
          <c:invertIfNegative val="0"/>
          <c:cat>
            <c:strRef>
              <c:f>'Table 6 - Exp by Type'!$K$8:$Q$8</c:f>
              <c:strCache>
                <c:ptCount val="7"/>
                <c:pt idx="0">
                  <c:v>08/09 Aud</c:v>
                </c:pt>
                <c:pt idx="1">
                  <c:v>09/10 Bud</c:v>
                </c:pt>
                <c:pt idx="2">
                  <c:v>09/10 Adj</c:v>
                </c:pt>
                <c:pt idx="3">
                  <c:v>09/10 Est</c:v>
                </c:pt>
                <c:pt idx="4">
                  <c:v>10/11 Bud</c:v>
                </c:pt>
                <c:pt idx="5">
                  <c:v>11/12 Proj</c:v>
                </c:pt>
                <c:pt idx="6">
                  <c:v>12/13 Proj</c:v>
                </c:pt>
              </c:strCache>
            </c:strRef>
          </c:cat>
          <c:val>
            <c:numRef>
              <c:f>'Table 6 - Exp by Type'!$K$15:$Q$15</c:f>
              <c:numCache>
                <c:formatCode>_(* #,##0,_);_(* \(#,##0,\);_(* "–"?_);_(@_)</c:formatCode>
                <c:ptCount val="7"/>
                <c:pt idx="0">
                  <c:v>476943</c:v>
                </c:pt>
                <c:pt idx="1">
                  <c:v>199742</c:v>
                </c:pt>
                <c:pt idx="2">
                  <c:v>199742</c:v>
                </c:pt>
                <c:pt idx="3">
                  <c:v>168000</c:v>
                </c:pt>
                <c:pt idx="4">
                  <c:v>5030795</c:v>
                </c:pt>
                <c:pt idx="5">
                  <c:v>5629154</c:v>
                </c:pt>
                <c:pt idx="6">
                  <c:v>5553208</c:v>
                </c:pt>
              </c:numCache>
            </c:numRef>
          </c:val>
        </c:ser>
        <c:ser>
          <c:idx val="7"/>
          <c:order val="7"/>
          <c:tx>
            <c:strRef>
              <c:f>'Table 6 - Exp by Type'!$J$16</c:f>
              <c:strCache>
                <c:ptCount val="1"/>
                <c:pt idx="0">
                  <c:v>Insurance</c:v>
                </c:pt>
              </c:strCache>
            </c:strRef>
          </c:tx>
          <c:spPr>
            <a:solidFill>
              <a:srgbClr val="CCCCFF"/>
            </a:solidFill>
            <a:ln w="12700">
              <a:solidFill>
                <a:srgbClr val="000000"/>
              </a:solidFill>
              <a:prstDash val="solid"/>
            </a:ln>
          </c:spPr>
          <c:invertIfNegative val="0"/>
          <c:cat>
            <c:strRef>
              <c:f>'Table 6 - Exp by Type'!$K$8:$Q$8</c:f>
              <c:strCache>
                <c:ptCount val="7"/>
                <c:pt idx="0">
                  <c:v>08/09 Aud</c:v>
                </c:pt>
                <c:pt idx="1">
                  <c:v>09/10 Bud</c:v>
                </c:pt>
                <c:pt idx="2">
                  <c:v>09/10 Adj</c:v>
                </c:pt>
                <c:pt idx="3">
                  <c:v>09/10 Est</c:v>
                </c:pt>
                <c:pt idx="4">
                  <c:v>10/11 Bud</c:v>
                </c:pt>
                <c:pt idx="5">
                  <c:v>11/12 Proj</c:v>
                </c:pt>
                <c:pt idx="6">
                  <c:v>12/13 Proj</c:v>
                </c:pt>
              </c:strCache>
            </c:strRef>
          </c:cat>
          <c:val>
            <c:numRef>
              <c:f>'Table 6 - Exp by Type'!$K$16:$Q$16</c:f>
              <c:numCache>
                <c:formatCode>_(* #,##0,_);_(* \(#,##0,\);_(* "–"?_);_(@_)</c:formatCode>
                <c:ptCount val="7"/>
                <c:pt idx="0">
                  <c:v>271042</c:v>
                </c:pt>
                <c:pt idx="1">
                  <c:v>366850</c:v>
                </c:pt>
                <c:pt idx="2">
                  <c:v>391000</c:v>
                </c:pt>
                <c:pt idx="3">
                  <c:v>374582.4</c:v>
                </c:pt>
                <c:pt idx="4">
                  <c:v>428338</c:v>
                </c:pt>
                <c:pt idx="5">
                  <c:v>454037</c:v>
                </c:pt>
                <c:pt idx="6">
                  <c:v>481279</c:v>
                </c:pt>
              </c:numCache>
            </c:numRef>
          </c:val>
        </c:ser>
        <c:dLbls>
          <c:showLegendKey val="0"/>
          <c:showVal val="0"/>
          <c:showCatName val="0"/>
          <c:showSerName val="0"/>
          <c:showPercent val="0"/>
          <c:showBubbleSize val="0"/>
        </c:dLbls>
        <c:gapWidth val="150"/>
        <c:shape val="box"/>
        <c:axId val="188824192"/>
        <c:axId val="188834176"/>
        <c:axId val="0"/>
      </c:bar3DChart>
      <c:catAx>
        <c:axId val="18882419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834176"/>
        <c:crosses val="autoZero"/>
        <c:auto val="1"/>
        <c:lblAlgn val="ctr"/>
        <c:lblOffset val="100"/>
        <c:tickLblSkip val="1"/>
        <c:tickMarkSkip val="1"/>
        <c:noMultiLvlLbl val="0"/>
      </c:catAx>
      <c:valAx>
        <c:axId val="188834176"/>
        <c:scaling>
          <c:orientation val="minMax"/>
        </c:scaling>
        <c:delete val="0"/>
        <c:axPos val="l"/>
        <c:majorGridlines>
          <c:spPr>
            <a:ln w="3175">
              <a:solidFill>
                <a:srgbClr val="000000"/>
              </a:solidFill>
              <a:prstDash val="solid"/>
            </a:ln>
          </c:spPr>
        </c:majorGridlines>
        <c:title>
          <c:tx>
            <c:rich>
              <a:bodyPr rot="0" vert="horz"/>
              <a:lstStyle/>
              <a:p>
                <a:pPr algn="ctr">
                  <a:defRPr sz="1000" b="1" i="0" u="none" strike="noStrike" baseline="0">
                    <a:solidFill>
                      <a:srgbClr val="000000"/>
                    </a:solidFill>
                    <a:latin typeface="Arial"/>
                    <a:ea typeface="Arial"/>
                    <a:cs typeface="Arial"/>
                  </a:defRPr>
                </a:pPr>
                <a:r>
                  <a:t>R'000</a:t>
                </a:r>
              </a:p>
            </c:rich>
          </c:tx>
          <c:layout>
            <c:manualLayout>
              <c:xMode val="edge"/>
              <c:yMode val="edge"/>
              <c:x val="0.18200618594874812"/>
              <c:y val="0.37499995551403531"/>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824192"/>
        <c:crosses val="autoZero"/>
        <c:crossBetween val="between"/>
      </c:valAx>
      <c:dTable>
        <c:showHorzBorder val="1"/>
        <c:showVertBorder val="1"/>
        <c:showOutline val="1"/>
        <c:showKeys val="1"/>
        <c:spPr>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t>Operating Expenditure by Minor Type (break down of other from previous chart) - Annexure O</a:t>
            </a:r>
          </a:p>
        </c:rich>
      </c:tx>
      <c:layout>
        <c:manualLayout>
          <c:xMode val="edge"/>
          <c:yMode val="edge"/>
          <c:x val="0.1313340085601333"/>
          <c:y val="1.9316491688538932E-2"/>
        </c:manualLayout>
      </c:layout>
      <c:overlay val="0"/>
      <c:spPr>
        <a:noFill/>
        <a:ln w="25400">
          <a:noFill/>
        </a:ln>
      </c:spPr>
    </c:title>
    <c:autoTitleDeleted val="0"/>
    <c:view3D>
      <c:rotX val="15"/>
      <c:hPercent val="63"/>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20414507772020726"/>
          <c:y val="9.375E-2"/>
          <c:w val="0.78860103626943001"/>
          <c:h val="0.51488095238095233"/>
        </c:manualLayout>
      </c:layout>
      <c:bar3DChart>
        <c:barDir val="col"/>
        <c:grouping val="stacked"/>
        <c:varyColors val="0"/>
        <c:ser>
          <c:idx val="0"/>
          <c:order val="0"/>
          <c:tx>
            <c:strRef>
              <c:f>'Table 6 - Exp by Type'!$J$21</c:f>
              <c:strCache>
                <c:ptCount val="1"/>
                <c:pt idx="0">
                  <c:v>Communications</c:v>
                </c:pt>
              </c:strCache>
            </c:strRef>
          </c:tx>
          <c:spPr>
            <a:solidFill>
              <a:srgbClr val="9999FF"/>
            </a:solidFill>
            <a:ln w="12700">
              <a:solidFill>
                <a:srgbClr val="000000"/>
              </a:solidFill>
              <a:prstDash val="solid"/>
            </a:ln>
          </c:spPr>
          <c:invertIfNegative val="0"/>
          <c:cat>
            <c:strRef>
              <c:f>'Table 6 - Exp by Type'!$K$20:$Q$20</c:f>
              <c:strCache>
                <c:ptCount val="7"/>
                <c:pt idx="0">
                  <c:v>08/09 Aud</c:v>
                </c:pt>
                <c:pt idx="1">
                  <c:v>09/10 Bud</c:v>
                </c:pt>
                <c:pt idx="2">
                  <c:v>09/10 Adj</c:v>
                </c:pt>
                <c:pt idx="3">
                  <c:v>09/10 Est</c:v>
                </c:pt>
                <c:pt idx="4">
                  <c:v>10/11 Bud</c:v>
                </c:pt>
                <c:pt idx="5">
                  <c:v>11/12 Proj</c:v>
                </c:pt>
                <c:pt idx="6">
                  <c:v>12/13 Proj</c:v>
                </c:pt>
              </c:strCache>
            </c:strRef>
          </c:cat>
          <c:val>
            <c:numRef>
              <c:f>'Table 6 - Exp by Type'!$K$21:$Q$21</c:f>
              <c:numCache>
                <c:formatCode>_(* #,##0,_);_(* \(#,##0,\);_(* "–"?_);_(@_)</c:formatCode>
                <c:ptCount val="7"/>
                <c:pt idx="0">
                  <c:v>47629</c:v>
                </c:pt>
                <c:pt idx="1">
                  <c:v>60950</c:v>
                </c:pt>
                <c:pt idx="2">
                  <c:v>60950</c:v>
                </c:pt>
                <c:pt idx="3">
                  <c:v>107211.59999999999</c:v>
                </c:pt>
                <c:pt idx="4">
                  <c:v>64045</c:v>
                </c:pt>
                <c:pt idx="5">
                  <c:v>67888</c:v>
                </c:pt>
                <c:pt idx="6">
                  <c:v>71961</c:v>
                </c:pt>
              </c:numCache>
            </c:numRef>
          </c:val>
        </c:ser>
        <c:ser>
          <c:idx val="1"/>
          <c:order val="1"/>
          <c:tx>
            <c:strRef>
              <c:f>'Table 6 - Exp by Type'!$J$22</c:f>
              <c:strCache>
                <c:ptCount val="1"/>
                <c:pt idx="0">
                  <c:v>Legal fees</c:v>
                </c:pt>
              </c:strCache>
            </c:strRef>
          </c:tx>
          <c:spPr>
            <a:solidFill>
              <a:srgbClr val="993366"/>
            </a:solidFill>
            <a:ln w="12700">
              <a:solidFill>
                <a:srgbClr val="000000"/>
              </a:solidFill>
              <a:prstDash val="solid"/>
            </a:ln>
          </c:spPr>
          <c:invertIfNegative val="0"/>
          <c:cat>
            <c:strRef>
              <c:f>'Table 6 - Exp by Type'!$K$20:$Q$20</c:f>
              <c:strCache>
                <c:ptCount val="7"/>
                <c:pt idx="0">
                  <c:v>08/09 Aud</c:v>
                </c:pt>
                <c:pt idx="1">
                  <c:v>09/10 Bud</c:v>
                </c:pt>
                <c:pt idx="2">
                  <c:v>09/10 Adj</c:v>
                </c:pt>
                <c:pt idx="3">
                  <c:v>09/10 Est</c:v>
                </c:pt>
                <c:pt idx="4">
                  <c:v>10/11 Bud</c:v>
                </c:pt>
                <c:pt idx="5">
                  <c:v>11/12 Proj</c:v>
                </c:pt>
                <c:pt idx="6">
                  <c:v>12/13 Proj</c:v>
                </c:pt>
              </c:strCache>
            </c:strRef>
          </c:cat>
          <c:val>
            <c:numRef>
              <c:f>'Table 6 - Exp by Type'!$K$22:$Q$22</c:f>
              <c:numCache>
                <c:formatCode>_(* #,##0,_);_(* \(#,##0,\);_(* "–"?_);_(@_)</c:formatCode>
                <c:ptCount val="7"/>
                <c:pt idx="0">
                  <c:v>220753</c:v>
                </c:pt>
                <c:pt idx="1">
                  <c:v>157500</c:v>
                </c:pt>
                <c:pt idx="2">
                  <c:v>307500</c:v>
                </c:pt>
                <c:pt idx="3">
                  <c:v>217092</c:v>
                </c:pt>
                <c:pt idx="4">
                  <c:v>322875</c:v>
                </c:pt>
                <c:pt idx="5">
                  <c:v>342248</c:v>
                </c:pt>
                <c:pt idx="6">
                  <c:v>362783</c:v>
                </c:pt>
              </c:numCache>
            </c:numRef>
          </c:val>
        </c:ser>
        <c:ser>
          <c:idx val="2"/>
          <c:order val="2"/>
          <c:tx>
            <c:strRef>
              <c:f>'Table 6 - Exp by Type'!$J$23</c:f>
              <c:strCache>
                <c:ptCount val="1"/>
                <c:pt idx="0">
                  <c:v>Bad debts</c:v>
                </c:pt>
              </c:strCache>
            </c:strRef>
          </c:tx>
          <c:spPr>
            <a:solidFill>
              <a:srgbClr val="FFFFCC"/>
            </a:solidFill>
            <a:ln w="12700">
              <a:solidFill>
                <a:srgbClr val="000000"/>
              </a:solidFill>
              <a:prstDash val="solid"/>
            </a:ln>
          </c:spPr>
          <c:invertIfNegative val="0"/>
          <c:cat>
            <c:strRef>
              <c:f>'Table 6 - Exp by Type'!$K$20:$Q$20</c:f>
              <c:strCache>
                <c:ptCount val="7"/>
                <c:pt idx="0">
                  <c:v>08/09 Aud</c:v>
                </c:pt>
                <c:pt idx="1">
                  <c:v>09/10 Bud</c:v>
                </c:pt>
                <c:pt idx="2">
                  <c:v>09/10 Adj</c:v>
                </c:pt>
                <c:pt idx="3">
                  <c:v>09/10 Est</c:v>
                </c:pt>
                <c:pt idx="4">
                  <c:v>10/11 Bud</c:v>
                </c:pt>
                <c:pt idx="5">
                  <c:v>11/12 Proj</c:v>
                </c:pt>
                <c:pt idx="6">
                  <c:v>12/13 Proj</c:v>
                </c:pt>
              </c:strCache>
            </c:strRef>
          </c:cat>
          <c:val>
            <c:numRef>
              <c:f>'Table 6 - Exp by Type'!$K$23:$Q$23</c:f>
              <c:numCache>
                <c:formatCode>_(* #,##0,_);_(* \(#,##0,\);_(* "–"?_);_(@_)</c:formatCode>
                <c:ptCount val="7"/>
                <c:pt idx="0">
                  <c:v>5763609</c:v>
                </c:pt>
                <c:pt idx="1">
                  <c:v>2856181</c:v>
                </c:pt>
                <c:pt idx="2">
                  <c:v>2856181</c:v>
                </c:pt>
                <c:pt idx="3">
                  <c:v>735398</c:v>
                </c:pt>
                <c:pt idx="4">
                  <c:v>4169076</c:v>
                </c:pt>
                <c:pt idx="5">
                  <c:v>4586106</c:v>
                </c:pt>
                <c:pt idx="6">
                  <c:v>5220385</c:v>
                </c:pt>
              </c:numCache>
            </c:numRef>
          </c:val>
        </c:ser>
        <c:ser>
          <c:idx val="3"/>
          <c:order val="3"/>
          <c:tx>
            <c:strRef>
              <c:f>'Table 6 - Exp by Type'!$J$24</c:f>
              <c:strCache>
                <c:ptCount val="1"/>
                <c:pt idx="0">
                  <c:v>Advertising</c:v>
                </c:pt>
              </c:strCache>
            </c:strRef>
          </c:tx>
          <c:spPr>
            <a:solidFill>
              <a:srgbClr val="CCFFFF"/>
            </a:solidFill>
            <a:ln w="12700">
              <a:solidFill>
                <a:srgbClr val="000000"/>
              </a:solidFill>
              <a:prstDash val="solid"/>
            </a:ln>
          </c:spPr>
          <c:invertIfNegative val="0"/>
          <c:cat>
            <c:strRef>
              <c:f>'Table 6 - Exp by Type'!$K$20:$Q$20</c:f>
              <c:strCache>
                <c:ptCount val="7"/>
                <c:pt idx="0">
                  <c:v>08/09 Aud</c:v>
                </c:pt>
                <c:pt idx="1">
                  <c:v>09/10 Bud</c:v>
                </c:pt>
                <c:pt idx="2">
                  <c:v>09/10 Adj</c:v>
                </c:pt>
                <c:pt idx="3">
                  <c:v>09/10 Est</c:v>
                </c:pt>
                <c:pt idx="4">
                  <c:v>10/11 Bud</c:v>
                </c:pt>
                <c:pt idx="5">
                  <c:v>11/12 Proj</c:v>
                </c:pt>
                <c:pt idx="6">
                  <c:v>12/13 Proj</c:v>
                </c:pt>
              </c:strCache>
            </c:strRef>
          </c:cat>
          <c:val>
            <c:numRef>
              <c:f>'Table 6 - Exp by Type'!$K$24:$Q$24</c:f>
              <c:numCache>
                <c:formatCode>_(* #,##0,_);_(* \(#,##0,\);_(* "–"?_);_(@_)</c:formatCode>
                <c:ptCount val="7"/>
                <c:pt idx="0">
                  <c:v>214967</c:v>
                </c:pt>
                <c:pt idx="1">
                  <c:v>424500</c:v>
                </c:pt>
                <c:pt idx="2">
                  <c:v>415454</c:v>
                </c:pt>
                <c:pt idx="3">
                  <c:v>195657.59999999998</c:v>
                </c:pt>
                <c:pt idx="4">
                  <c:v>436227</c:v>
                </c:pt>
                <c:pt idx="5">
                  <c:v>462402</c:v>
                </c:pt>
                <c:pt idx="6">
                  <c:v>490147</c:v>
                </c:pt>
              </c:numCache>
            </c:numRef>
          </c:val>
        </c:ser>
        <c:ser>
          <c:idx val="4"/>
          <c:order val="4"/>
          <c:tx>
            <c:strRef>
              <c:f>'Table 6 - Exp by Type'!$J$25</c:f>
              <c:strCache>
                <c:ptCount val="1"/>
                <c:pt idx="0">
                  <c:v>Bank charges</c:v>
                </c:pt>
              </c:strCache>
            </c:strRef>
          </c:tx>
          <c:spPr>
            <a:solidFill>
              <a:srgbClr val="660066"/>
            </a:solidFill>
            <a:ln w="12700">
              <a:solidFill>
                <a:srgbClr val="000000"/>
              </a:solidFill>
              <a:prstDash val="solid"/>
            </a:ln>
          </c:spPr>
          <c:invertIfNegative val="0"/>
          <c:cat>
            <c:strRef>
              <c:f>'Table 6 - Exp by Type'!$K$20:$Q$20</c:f>
              <c:strCache>
                <c:ptCount val="7"/>
                <c:pt idx="0">
                  <c:v>08/09 Aud</c:v>
                </c:pt>
                <c:pt idx="1">
                  <c:v>09/10 Bud</c:v>
                </c:pt>
                <c:pt idx="2">
                  <c:v>09/10 Adj</c:v>
                </c:pt>
                <c:pt idx="3">
                  <c:v>09/10 Est</c:v>
                </c:pt>
                <c:pt idx="4">
                  <c:v>10/11 Bud</c:v>
                </c:pt>
                <c:pt idx="5">
                  <c:v>11/12 Proj</c:v>
                </c:pt>
                <c:pt idx="6">
                  <c:v>12/13 Proj</c:v>
                </c:pt>
              </c:strCache>
            </c:strRef>
          </c:cat>
          <c:val>
            <c:numRef>
              <c:f>'Table 6 - Exp by Type'!$K$25:$Q$25</c:f>
              <c:numCache>
                <c:formatCode>_(* #,##0,_);_(* \(#,##0,\);_(* "–"?_);_(@_)</c:formatCode>
                <c:ptCount val="7"/>
                <c:pt idx="0">
                  <c:v>135002</c:v>
                </c:pt>
                <c:pt idx="1">
                  <c:v>115500</c:v>
                </c:pt>
                <c:pt idx="2">
                  <c:v>115500</c:v>
                </c:pt>
                <c:pt idx="3">
                  <c:v>181348.8</c:v>
                </c:pt>
                <c:pt idx="4">
                  <c:v>204904</c:v>
                </c:pt>
                <c:pt idx="5">
                  <c:v>217198</c:v>
                </c:pt>
                <c:pt idx="6">
                  <c:v>230230</c:v>
                </c:pt>
              </c:numCache>
            </c:numRef>
          </c:val>
        </c:ser>
        <c:ser>
          <c:idx val="5"/>
          <c:order val="5"/>
          <c:tx>
            <c:strRef>
              <c:f>'Table 6 - Exp by Type'!$J$26</c:f>
              <c:strCache>
                <c:ptCount val="1"/>
                <c:pt idx="0">
                  <c:v>Audit fees</c:v>
                </c:pt>
              </c:strCache>
            </c:strRef>
          </c:tx>
          <c:spPr>
            <a:solidFill>
              <a:srgbClr val="FF8080"/>
            </a:solidFill>
            <a:ln w="12700">
              <a:solidFill>
                <a:srgbClr val="000000"/>
              </a:solidFill>
              <a:prstDash val="solid"/>
            </a:ln>
          </c:spPr>
          <c:invertIfNegative val="0"/>
          <c:cat>
            <c:strRef>
              <c:f>'Table 6 - Exp by Type'!$K$20:$Q$20</c:f>
              <c:strCache>
                <c:ptCount val="7"/>
                <c:pt idx="0">
                  <c:v>08/09 Aud</c:v>
                </c:pt>
                <c:pt idx="1">
                  <c:v>09/10 Bud</c:v>
                </c:pt>
                <c:pt idx="2">
                  <c:v>09/10 Adj</c:v>
                </c:pt>
                <c:pt idx="3">
                  <c:v>09/10 Est</c:v>
                </c:pt>
                <c:pt idx="4">
                  <c:v>10/11 Bud</c:v>
                </c:pt>
                <c:pt idx="5">
                  <c:v>11/12 Proj</c:v>
                </c:pt>
                <c:pt idx="6">
                  <c:v>12/13 Proj</c:v>
                </c:pt>
              </c:strCache>
            </c:strRef>
          </c:cat>
          <c:val>
            <c:numRef>
              <c:f>'Table 6 - Exp by Type'!$K$26:$Q$26</c:f>
              <c:numCache>
                <c:formatCode>_(* #,##0,_);_(* \(#,##0,\);_(* "–"?_);_(@_)</c:formatCode>
                <c:ptCount val="7"/>
                <c:pt idx="0">
                  <c:v>1045961</c:v>
                </c:pt>
                <c:pt idx="1">
                  <c:v>525000</c:v>
                </c:pt>
                <c:pt idx="2">
                  <c:v>900000</c:v>
                </c:pt>
                <c:pt idx="3">
                  <c:v>1561878</c:v>
                </c:pt>
                <c:pt idx="4">
                  <c:v>945000</c:v>
                </c:pt>
                <c:pt idx="5">
                  <c:v>1001700</c:v>
                </c:pt>
                <c:pt idx="6">
                  <c:v>1061802</c:v>
                </c:pt>
              </c:numCache>
            </c:numRef>
          </c:val>
        </c:ser>
        <c:ser>
          <c:idx val="6"/>
          <c:order val="6"/>
          <c:tx>
            <c:strRef>
              <c:f>'Table 6 - Exp by Type'!$J$27</c:f>
              <c:strCache>
                <c:ptCount val="1"/>
                <c:pt idx="0">
                  <c:v>Travel and Accommodation</c:v>
                </c:pt>
              </c:strCache>
            </c:strRef>
          </c:tx>
          <c:spPr>
            <a:solidFill>
              <a:srgbClr val="0066CC"/>
            </a:solidFill>
            <a:ln w="12700">
              <a:solidFill>
                <a:srgbClr val="000000"/>
              </a:solidFill>
              <a:prstDash val="solid"/>
            </a:ln>
          </c:spPr>
          <c:invertIfNegative val="0"/>
          <c:cat>
            <c:strRef>
              <c:f>'Table 6 - Exp by Type'!$K$20:$Q$20</c:f>
              <c:strCache>
                <c:ptCount val="7"/>
                <c:pt idx="0">
                  <c:v>08/09 Aud</c:v>
                </c:pt>
                <c:pt idx="1">
                  <c:v>09/10 Bud</c:v>
                </c:pt>
                <c:pt idx="2">
                  <c:v>09/10 Adj</c:v>
                </c:pt>
                <c:pt idx="3">
                  <c:v>09/10 Est</c:v>
                </c:pt>
                <c:pt idx="4">
                  <c:v>10/11 Bud</c:v>
                </c:pt>
                <c:pt idx="5">
                  <c:v>11/12 Proj</c:v>
                </c:pt>
                <c:pt idx="6">
                  <c:v>12/13 Proj</c:v>
                </c:pt>
              </c:strCache>
            </c:strRef>
          </c:cat>
          <c:val>
            <c:numRef>
              <c:f>'Table 6 - Exp by Type'!$K$27:$Q$27</c:f>
              <c:numCache>
                <c:formatCode>_(* #,##0,_);_(* \(#,##0,\);_(* "–"?_);_(@_)</c:formatCode>
                <c:ptCount val="7"/>
                <c:pt idx="0">
                  <c:v>577767</c:v>
                </c:pt>
                <c:pt idx="1">
                  <c:v>752400</c:v>
                </c:pt>
                <c:pt idx="2">
                  <c:v>1355550</c:v>
                </c:pt>
                <c:pt idx="3">
                  <c:v>1263315.6000000001</c:v>
                </c:pt>
                <c:pt idx="4">
                  <c:v>1423329</c:v>
                </c:pt>
                <c:pt idx="5">
                  <c:v>1506368</c:v>
                </c:pt>
                <c:pt idx="6">
                  <c:v>1594269</c:v>
                </c:pt>
              </c:numCache>
            </c:numRef>
          </c:val>
        </c:ser>
        <c:ser>
          <c:idx val="7"/>
          <c:order val="7"/>
          <c:tx>
            <c:strRef>
              <c:f>'Table 6 - Exp by Type'!$J$28</c:f>
              <c:strCache>
                <c:ptCount val="1"/>
                <c:pt idx="0">
                  <c:v>Remuneration of Councillors</c:v>
                </c:pt>
              </c:strCache>
            </c:strRef>
          </c:tx>
          <c:spPr>
            <a:solidFill>
              <a:srgbClr val="CCCCFF"/>
            </a:solidFill>
            <a:ln w="12700">
              <a:solidFill>
                <a:srgbClr val="000000"/>
              </a:solidFill>
              <a:prstDash val="solid"/>
            </a:ln>
          </c:spPr>
          <c:invertIfNegative val="0"/>
          <c:cat>
            <c:strRef>
              <c:f>'Table 6 - Exp by Type'!$K$20:$Q$20</c:f>
              <c:strCache>
                <c:ptCount val="7"/>
                <c:pt idx="0">
                  <c:v>08/09 Aud</c:v>
                </c:pt>
                <c:pt idx="1">
                  <c:v>09/10 Bud</c:v>
                </c:pt>
                <c:pt idx="2">
                  <c:v>09/10 Adj</c:v>
                </c:pt>
                <c:pt idx="3">
                  <c:v>09/10 Est</c:v>
                </c:pt>
                <c:pt idx="4">
                  <c:v>10/11 Bud</c:v>
                </c:pt>
                <c:pt idx="5">
                  <c:v>11/12 Proj</c:v>
                </c:pt>
                <c:pt idx="6">
                  <c:v>12/13 Proj</c:v>
                </c:pt>
              </c:strCache>
            </c:strRef>
          </c:cat>
          <c:val>
            <c:numRef>
              <c:f>'Table 6 - Exp by Type'!$K$28:$Q$28</c:f>
              <c:numCache>
                <c:formatCode>_(* #,##0,_);_(* \(#,##0,\);_(* "–"?_);_(@_)</c:formatCode>
                <c:ptCount val="7"/>
                <c:pt idx="0">
                  <c:v>1714439</c:v>
                </c:pt>
                <c:pt idx="1">
                  <c:v>2006037</c:v>
                </c:pt>
                <c:pt idx="2">
                  <c:v>2006037</c:v>
                </c:pt>
                <c:pt idx="3">
                  <c:v>1935979.2000000002</c:v>
                </c:pt>
                <c:pt idx="4">
                  <c:v>2174900</c:v>
                </c:pt>
                <c:pt idx="5">
                  <c:v>2348893</c:v>
                </c:pt>
                <c:pt idx="6">
                  <c:v>2536805</c:v>
                </c:pt>
              </c:numCache>
            </c:numRef>
          </c:val>
        </c:ser>
        <c:ser>
          <c:idx val="8"/>
          <c:order val="8"/>
          <c:tx>
            <c:strRef>
              <c:f>'Table 6 - Exp by Type'!$J$29</c:f>
              <c:strCache>
                <c:ptCount val="1"/>
                <c:pt idx="0">
                  <c:v>Collection costs</c:v>
                </c:pt>
              </c:strCache>
            </c:strRef>
          </c:tx>
          <c:spPr>
            <a:solidFill>
              <a:srgbClr val="000080"/>
            </a:solidFill>
            <a:ln w="12700">
              <a:solidFill>
                <a:srgbClr val="000000"/>
              </a:solidFill>
              <a:prstDash val="solid"/>
            </a:ln>
          </c:spPr>
          <c:invertIfNegative val="0"/>
          <c:cat>
            <c:strRef>
              <c:f>'Table 6 - Exp by Type'!$K$20:$Q$20</c:f>
              <c:strCache>
                <c:ptCount val="7"/>
                <c:pt idx="0">
                  <c:v>08/09 Aud</c:v>
                </c:pt>
                <c:pt idx="1">
                  <c:v>09/10 Bud</c:v>
                </c:pt>
                <c:pt idx="2">
                  <c:v>09/10 Adj</c:v>
                </c:pt>
                <c:pt idx="3">
                  <c:v>09/10 Est</c:v>
                </c:pt>
                <c:pt idx="4">
                  <c:v>10/11 Bud</c:v>
                </c:pt>
                <c:pt idx="5">
                  <c:v>11/12 Proj</c:v>
                </c:pt>
                <c:pt idx="6">
                  <c:v>12/13 Proj</c:v>
                </c:pt>
              </c:strCache>
            </c:strRef>
          </c:cat>
          <c:val>
            <c:numRef>
              <c:f>'Table 6 - Exp by Type'!$K$29:$Q$29</c:f>
              <c:numCache>
                <c:formatCode>_(* #,##0,_);_(* \(#,##0,\);_(* "–"?_);_(@_)</c:formatCode>
                <c:ptCount val="7"/>
                <c:pt idx="0">
                  <c:v>2154582</c:v>
                </c:pt>
                <c:pt idx="1">
                  <c:v>951300</c:v>
                </c:pt>
                <c:pt idx="2">
                  <c:v>951300</c:v>
                </c:pt>
                <c:pt idx="3">
                  <c:v>5317638</c:v>
                </c:pt>
                <c:pt idx="4">
                  <c:v>998865</c:v>
                </c:pt>
                <c:pt idx="5">
                  <c:v>1058797</c:v>
                </c:pt>
                <c:pt idx="6">
                  <c:v>1122325</c:v>
                </c:pt>
              </c:numCache>
            </c:numRef>
          </c:val>
        </c:ser>
        <c:ser>
          <c:idx val="9"/>
          <c:order val="9"/>
          <c:tx>
            <c:strRef>
              <c:f>'Table 6 - Exp by Type'!$J$30</c:f>
              <c:strCache>
                <c:ptCount val="1"/>
                <c:pt idx="0">
                  <c:v>Training</c:v>
                </c:pt>
              </c:strCache>
            </c:strRef>
          </c:tx>
          <c:spPr>
            <a:solidFill>
              <a:srgbClr val="FF00FF"/>
            </a:solidFill>
            <a:ln w="12700">
              <a:solidFill>
                <a:srgbClr val="000000"/>
              </a:solidFill>
              <a:prstDash val="solid"/>
            </a:ln>
          </c:spPr>
          <c:invertIfNegative val="0"/>
          <c:cat>
            <c:strRef>
              <c:f>'Table 6 - Exp by Type'!$K$20:$Q$20</c:f>
              <c:strCache>
                <c:ptCount val="7"/>
                <c:pt idx="0">
                  <c:v>08/09 Aud</c:v>
                </c:pt>
                <c:pt idx="1">
                  <c:v>09/10 Bud</c:v>
                </c:pt>
                <c:pt idx="2">
                  <c:v>09/10 Adj</c:v>
                </c:pt>
                <c:pt idx="3">
                  <c:v>09/10 Est</c:v>
                </c:pt>
                <c:pt idx="4">
                  <c:v>10/11 Bud</c:v>
                </c:pt>
                <c:pt idx="5">
                  <c:v>11/12 Proj</c:v>
                </c:pt>
                <c:pt idx="6">
                  <c:v>12/13 Proj</c:v>
                </c:pt>
              </c:strCache>
            </c:strRef>
          </c:cat>
          <c:val>
            <c:numRef>
              <c:f>'Table 6 - Exp by Type'!$K$30:$Q$30</c:f>
              <c:numCache>
                <c:formatCode>_(* #,##0,_);_(* \(#,##0,\);_(* "–"?_);_(@_)</c:formatCode>
                <c:ptCount val="7"/>
                <c:pt idx="0">
                  <c:v>62292</c:v>
                </c:pt>
                <c:pt idx="1">
                  <c:v>353450</c:v>
                </c:pt>
                <c:pt idx="2">
                  <c:v>397746</c:v>
                </c:pt>
                <c:pt idx="3">
                  <c:v>132526.79999999999</c:v>
                </c:pt>
                <c:pt idx="4">
                  <c:v>420030</c:v>
                </c:pt>
                <c:pt idx="5">
                  <c:v>445232</c:v>
                </c:pt>
                <c:pt idx="6">
                  <c:v>471946</c:v>
                </c:pt>
              </c:numCache>
            </c:numRef>
          </c:val>
        </c:ser>
        <c:dLbls>
          <c:showLegendKey val="0"/>
          <c:showVal val="0"/>
          <c:showCatName val="0"/>
          <c:showSerName val="0"/>
          <c:showPercent val="0"/>
          <c:showBubbleSize val="0"/>
        </c:dLbls>
        <c:gapWidth val="150"/>
        <c:shape val="box"/>
        <c:axId val="188963456"/>
        <c:axId val="188965248"/>
        <c:axId val="0"/>
      </c:bar3DChart>
      <c:catAx>
        <c:axId val="1889634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965248"/>
        <c:crosses val="autoZero"/>
        <c:auto val="1"/>
        <c:lblAlgn val="ctr"/>
        <c:lblOffset val="100"/>
        <c:tickLblSkip val="1"/>
        <c:tickMarkSkip val="1"/>
        <c:noMultiLvlLbl val="0"/>
      </c:catAx>
      <c:valAx>
        <c:axId val="188965248"/>
        <c:scaling>
          <c:orientation val="minMax"/>
        </c:scaling>
        <c:delete val="0"/>
        <c:axPos val="l"/>
        <c:majorGridlines>
          <c:spPr>
            <a:ln w="3175">
              <a:solidFill>
                <a:srgbClr val="000000"/>
              </a:solidFill>
              <a:prstDash val="solid"/>
            </a:ln>
          </c:spPr>
        </c:majorGridlines>
        <c:title>
          <c:tx>
            <c:rich>
              <a:bodyPr rot="0" vert="horz"/>
              <a:lstStyle/>
              <a:p>
                <a:pPr algn="ctr">
                  <a:defRPr sz="1000" b="1" i="0" u="none" strike="noStrike" baseline="0">
                    <a:solidFill>
                      <a:srgbClr val="000000"/>
                    </a:solidFill>
                    <a:latin typeface="Arial"/>
                    <a:ea typeface="Arial"/>
                    <a:cs typeface="Arial"/>
                  </a:defRPr>
                </a:pPr>
                <a:r>
                  <a:t>R'000</a:t>
                </a:r>
              </a:p>
            </c:rich>
          </c:tx>
          <c:layout>
            <c:manualLayout>
              <c:xMode val="edge"/>
              <c:yMode val="edge"/>
              <c:x val="0.1561530586684963"/>
              <c:y val="0.37592863392075992"/>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963456"/>
        <c:crosses val="autoZero"/>
        <c:crossBetween val="between"/>
      </c:valAx>
      <c:dTable>
        <c:showHorzBorder val="1"/>
        <c:showVertBorder val="1"/>
        <c:showOutline val="1"/>
        <c:showKeys val="1"/>
        <c:spPr>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8.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0.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1.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2.bin"/></Relationships>
</file>

<file path=xl/chartsheets/sheet1.xml><?xml version="1.0" encoding="utf-8"?>
<chartsheet xmlns="http://schemas.openxmlformats.org/spreadsheetml/2006/main" xmlns:r="http://schemas.openxmlformats.org/officeDocument/2006/relationships">
  <sheetPr/>
  <sheetViews>
    <sheetView zoomScale="99" workbookViewId="0"/>
  </sheetViews>
  <pageMargins left="0.75" right="0.75" top="1" bottom="1" header="0.5" footer="0.5"/>
  <pageSetup paperSize="9"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sheetViews>
    <sheetView zoomScale="95" workbookViewId="0"/>
  </sheetViews>
  <pageMargins left="0.75" right="0.75" top="1" bottom="1" header="0.5" footer="0.5"/>
  <pageSetup paperSize="9"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sheetViews>
    <sheetView zoomScale="103" workbookViewId="0"/>
  </sheetViews>
  <pageMargins left="0.75" right="0.75" top="1" bottom="1" header="0.5" footer="0.5"/>
  <pageSetup paperSize="9" orientation="landscape" r:id="rId1"/>
  <headerFooter alignWithMargins="0"/>
  <drawing r:id="rId2"/>
</chartsheet>
</file>

<file path=xl/chartsheets/sheet4.xml><?xml version="1.0" encoding="utf-8"?>
<chartsheet xmlns="http://schemas.openxmlformats.org/spreadsheetml/2006/main" xmlns:r="http://schemas.openxmlformats.org/officeDocument/2006/relationships">
  <sheetPr/>
  <sheetViews>
    <sheetView zoomScale="103" workbookViewId="0"/>
  </sheetViews>
  <pageMargins left="0.75" right="0.75" top="1" bottom="1" header="0.5" footer="0.5"/>
  <pageSetup paperSize="9" orientation="landscape" r:id="rId1"/>
  <headerFooter alignWithMargins="0"/>
  <drawing r:id="rId2"/>
</chartsheet>
</file>

<file path=xl/chartsheets/sheet5.xml><?xml version="1.0" encoding="utf-8"?>
<chartsheet xmlns="http://schemas.openxmlformats.org/spreadsheetml/2006/main" xmlns:r="http://schemas.openxmlformats.org/officeDocument/2006/relationships">
  <sheetPr/>
  <sheetViews>
    <sheetView zoomScale="103" workbookViewId="0"/>
  </sheetViews>
  <pageMargins left="0.75" right="0.75" top="1" bottom="1" header="0.5" footer="0.5"/>
  <pageSetup paperSize="9" orientation="landscape" r:id="rId1"/>
  <headerFooter alignWithMargins="0"/>
  <drawing r:id="rId2"/>
</chartsheet>
</file>

<file path=xl/chartsheets/sheet6.xml><?xml version="1.0" encoding="utf-8"?>
<chartsheet xmlns="http://schemas.openxmlformats.org/spreadsheetml/2006/main" xmlns:r="http://schemas.openxmlformats.org/officeDocument/2006/relationships">
  <sheetPr/>
  <sheetViews>
    <sheetView zoomScale="103" workbookViewId="0"/>
  </sheetViews>
  <pageMargins left="0.75" right="0.75" top="1" bottom="1" header="0.5" footer="0.5"/>
  <pageSetup paperSize="9" orientation="landscape" r:id="rId1"/>
  <headerFooter alignWithMargins="0"/>
  <drawing r:id="rId2"/>
</chartsheet>
</file>

<file path=xl/chartsheets/sheet7.xml><?xml version="1.0" encoding="utf-8"?>
<chartsheet xmlns="http://schemas.openxmlformats.org/spreadsheetml/2006/main" xmlns:r="http://schemas.openxmlformats.org/officeDocument/2006/relationships">
  <sheetPr/>
  <sheetViews>
    <sheetView zoomScale="99" workbookViewId="0"/>
  </sheetViews>
  <pageMargins left="0.75" right="0.75" top="1" bottom="1" header="0.5" footer="0.5"/>
  <pageSetup paperSize="9" orientation="landscape" r:id="rId1"/>
  <headerFooter alignWithMargins="0"/>
  <drawing r:id="rId2"/>
</chartsheet>
</file>

<file path=xl/chartsheets/sheet8.xml><?xml version="1.0" encoding="utf-8"?>
<chartsheet xmlns="http://schemas.openxmlformats.org/spreadsheetml/2006/main" xmlns:r="http://schemas.openxmlformats.org/officeDocument/2006/relationships">
  <sheetPr/>
  <sheetViews>
    <sheetView zoomScale="103" workbookViewId="0"/>
  </sheetViews>
  <pageMargins left="0.75" right="0.75" top="1" bottom="1" header="0.5" footer="0.5"/>
  <pageSetup paperSize="9" orientation="landscape" r:id="rId1"/>
  <headerFooter alignWithMargins="0"/>
  <drawing r:id="rId2"/>
</chartsheet>
</file>

<file path=xl/chartsheets/sheet9.xml><?xml version="1.0" encoding="utf-8"?>
<chartsheet xmlns="http://schemas.openxmlformats.org/spreadsheetml/2006/main" xmlns:r="http://schemas.openxmlformats.org/officeDocument/2006/relationships">
  <sheetPr/>
  <sheetViews>
    <sheetView zoomScale="103" workbookViewId="0"/>
  </sheetViews>
  <pageMargins left="0.75" right="0.75" top="0.59" bottom="0.56000000000000005" header="0.5" footer="0.5"/>
  <pageSetup paperSize="9"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8</xdr:col>
      <xdr:colOff>0</xdr:colOff>
      <xdr:row>46</xdr:row>
      <xdr:rowOff>0</xdr:rowOff>
    </xdr:to>
    <xdr:pic>
      <xdr:nvPicPr>
        <xdr:cNvPr id="1281" name="Picture 1" descr="Logo_Mohokar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457325"/>
          <a:ext cx="3733800" cy="615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9182100"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182100" cy="64008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0</xdr:colOff>
      <xdr:row>3</xdr:row>
      <xdr:rowOff>0</xdr:rowOff>
    </xdr:to>
    <xdr:sp macro="" textlink="">
      <xdr:nvSpPr>
        <xdr:cNvPr id="30787" name="Line 3"/>
        <xdr:cNvSpPr>
          <a:spLocks noChangeShapeType="1"/>
        </xdr:cNvSpPr>
      </xdr:nvSpPr>
      <xdr:spPr bwMode="auto">
        <a:xfrm>
          <a:off x="2209800" y="523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3</xdr:row>
      <xdr:rowOff>0</xdr:rowOff>
    </xdr:from>
    <xdr:to>
      <xdr:col>1</xdr:col>
      <xdr:colOff>0</xdr:colOff>
      <xdr:row>3</xdr:row>
      <xdr:rowOff>0</xdr:rowOff>
    </xdr:to>
    <xdr:sp macro="" textlink="">
      <xdr:nvSpPr>
        <xdr:cNvPr id="30788" name="Line 7"/>
        <xdr:cNvSpPr>
          <a:spLocks noChangeShapeType="1"/>
        </xdr:cNvSpPr>
      </xdr:nvSpPr>
      <xdr:spPr bwMode="auto">
        <a:xfrm>
          <a:off x="2209800" y="523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3</xdr:row>
      <xdr:rowOff>0</xdr:rowOff>
    </xdr:from>
    <xdr:to>
      <xdr:col>1</xdr:col>
      <xdr:colOff>0</xdr:colOff>
      <xdr:row>3</xdr:row>
      <xdr:rowOff>0</xdr:rowOff>
    </xdr:to>
    <xdr:sp macro="" textlink="">
      <xdr:nvSpPr>
        <xdr:cNvPr id="30789" name="Line 8"/>
        <xdr:cNvSpPr>
          <a:spLocks noChangeShapeType="1"/>
        </xdr:cNvSpPr>
      </xdr:nvSpPr>
      <xdr:spPr bwMode="auto">
        <a:xfrm>
          <a:off x="2209800" y="523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3</xdr:row>
      <xdr:rowOff>0</xdr:rowOff>
    </xdr:from>
    <xdr:to>
      <xdr:col>1</xdr:col>
      <xdr:colOff>0</xdr:colOff>
      <xdr:row>3</xdr:row>
      <xdr:rowOff>0</xdr:rowOff>
    </xdr:to>
    <xdr:sp macro="" textlink="">
      <xdr:nvSpPr>
        <xdr:cNvPr id="30790" name="Line 9"/>
        <xdr:cNvSpPr>
          <a:spLocks noChangeShapeType="1"/>
        </xdr:cNvSpPr>
      </xdr:nvSpPr>
      <xdr:spPr bwMode="auto">
        <a:xfrm>
          <a:off x="2209800" y="523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30791" name="Line 3"/>
        <xdr:cNvSpPr>
          <a:spLocks noChangeShapeType="1"/>
        </xdr:cNvSpPr>
      </xdr:nvSpPr>
      <xdr:spPr bwMode="auto">
        <a:xfrm>
          <a:off x="2209800" y="7200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30792" name="Line 7"/>
        <xdr:cNvSpPr>
          <a:spLocks noChangeShapeType="1"/>
        </xdr:cNvSpPr>
      </xdr:nvSpPr>
      <xdr:spPr bwMode="auto">
        <a:xfrm>
          <a:off x="2209800" y="7200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30793" name="Line 8"/>
        <xdr:cNvSpPr>
          <a:spLocks noChangeShapeType="1"/>
        </xdr:cNvSpPr>
      </xdr:nvSpPr>
      <xdr:spPr bwMode="auto">
        <a:xfrm>
          <a:off x="2209800" y="7200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30794" name="Line 9"/>
        <xdr:cNvSpPr>
          <a:spLocks noChangeShapeType="1"/>
        </xdr:cNvSpPr>
      </xdr:nvSpPr>
      <xdr:spPr bwMode="auto">
        <a:xfrm>
          <a:off x="2209800" y="7200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77</xdr:row>
      <xdr:rowOff>0</xdr:rowOff>
    </xdr:from>
    <xdr:to>
      <xdr:col>1</xdr:col>
      <xdr:colOff>0</xdr:colOff>
      <xdr:row>77</xdr:row>
      <xdr:rowOff>0</xdr:rowOff>
    </xdr:to>
    <xdr:sp macro="" textlink="">
      <xdr:nvSpPr>
        <xdr:cNvPr id="30795" name="Line 3"/>
        <xdr:cNvSpPr>
          <a:spLocks noChangeShapeType="1"/>
        </xdr:cNvSpPr>
      </xdr:nvSpPr>
      <xdr:spPr bwMode="auto">
        <a:xfrm>
          <a:off x="2209800" y="12620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77</xdr:row>
      <xdr:rowOff>0</xdr:rowOff>
    </xdr:from>
    <xdr:to>
      <xdr:col>1</xdr:col>
      <xdr:colOff>0</xdr:colOff>
      <xdr:row>77</xdr:row>
      <xdr:rowOff>0</xdr:rowOff>
    </xdr:to>
    <xdr:sp macro="" textlink="">
      <xdr:nvSpPr>
        <xdr:cNvPr id="30796" name="Line 7"/>
        <xdr:cNvSpPr>
          <a:spLocks noChangeShapeType="1"/>
        </xdr:cNvSpPr>
      </xdr:nvSpPr>
      <xdr:spPr bwMode="auto">
        <a:xfrm>
          <a:off x="2209800" y="12620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77</xdr:row>
      <xdr:rowOff>0</xdr:rowOff>
    </xdr:from>
    <xdr:to>
      <xdr:col>1</xdr:col>
      <xdr:colOff>0</xdr:colOff>
      <xdr:row>77</xdr:row>
      <xdr:rowOff>0</xdr:rowOff>
    </xdr:to>
    <xdr:sp macro="" textlink="">
      <xdr:nvSpPr>
        <xdr:cNvPr id="30797" name="Line 8"/>
        <xdr:cNvSpPr>
          <a:spLocks noChangeShapeType="1"/>
        </xdr:cNvSpPr>
      </xdr:nvSpPr>
      <xdr:spPr bwMode="auto">
        <a:xfrm>
          <a:off x="2209800" y="12620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77</xdr:row>
      <xdr:rowOff>0</xdr:rowOff>
    </xdr:from>
    <xdr:to>
      <xdr:col>1</xdr:col>
      <xdr:colOff>0</xdr:colOff>
      <xdr:row>77</xdr:row>
      <xdr:rowOff>0</xdr:rowOff>
    </xdr:to>
    <xdr:sp macro="" textlink="">
      <xdr:nvSpPr>
        <xdr:cNvPr id="30798" name="Line 9"/>
        <xdr:cNvSpPr>
          <a:spLocks noChangeShapeType="1"/>
        </xdr:cNvSpPr>
      </xdr:nvSpPr>
      <xdr:spPr bwMode="auto">
        <a:xfrm>
          <a:off x="2209800" y="12620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47</xdr:row>
      <xdr:rowOff>0</xdr:rowOff>
    </xdr:from>
    <xdr:to>
      <xdr:col>1</xdr:col>
      <xdr:colOff>0</xdr:colOff>
      <xdr:row>47</xdr:row>
      <xdr:rowOff>0</xdr:rowOff>
    </xdr:to>
    <xdr:sp macro="" textlink="">
      <xdr:nvSpPr>
        <xdr:cNvPr id="30799" name="Line 3"/>
        <xdr:cNvSpPr>
          <a:spLocks noChangeShapeType="1"/>
        </xdr:cNvSpPr>
      </xdr:nvSpPr>
      <xdr:spPr bwMode="auto">
        <a:xfrm>
          <a:off x="2209800" y="7724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47</xdr:row>
      <xdr:rowOff>0</xdr:rowOff>
    </xdr:from>
    <xdr:to>
      <xdr:col>1</xdr:col>
      <xdr:colOff>0</xdr:colOff>
      <xdr:row>47</xdr:row>
      <xdr:rowOff>0</xdr:rowOff>
    </xdr:to>
    <xdr:sp macro="" textlink="">
      <xdr:nvSpPr>
        <xdr:cNvPr id="30800" name="Line 7"/>
        <xdr:cNvSpPr>
          <a:spLocks noChangeShapeType="1"/>
        </xdr:cNvSpPr>
      </xdr:nvSpPr>
      <xdr:spPr bwMode="auto">
        <a:xfrm>
          <a:off x="2209800" y="7724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47</xdr:row>
      <xdr:rowOff>0</xdr:rowOff>
    </xdr:from>
    <xdr:to>
      <xdr:col>1</xdr:col>
      <xdr:colOff>0</xdr:colOff>
      <xdr:row>47</xdr:row>
      <xdr:rowOff>0</xdr:rowOff>
    </xdr:to>
    <xdr:sp macro="" textlink="">
      <xdr:nvSpPr>
        <xdr:cNvPr id="30801" name="Line 8"/>
        <xdr:cNvSpPr>
          <a:spLocks noChangeShapeType="1"/>
        </xdr:cNvSpPr>
      </xdr:nvSpPr>
      <xdr:spPr bwMode="auto">
        <a:xfrm>
          <a:off x="2209800" y="7724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47</xdr:row>
      <xdr:rowOff>0</xdr:rowOff>
    </xdr:from>
    <xdr:to>
      <xdr:col>1</xdr:col>
      <xdr:colOff>0</xdr:colOff>
      <xdr:row>47</xdr:row>
      <xdr:rowOff>0</xdr:rowOff>
    </xdr:to>
    <xdr:sp macro="" textlink="">
      <xdr:nvSpPr>
        <xdr:cNvPr id="30802" name="Line 9"/>
        <xdr:cNvSpPr>
          <a:spLocks noChangeShapeType="1"/>
        </xdr:cNvSpPr>
      </xdr:nvSpPr>
      <xdr:spPr bwMode="auto">
        <a:xfrm>
          <a:off x="2209800" y="7724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91</xdr:row>
      <xdr:rowOff>0</xdr:rowOff>
    </xdr:from>
    <xdr:to>
      <xdr:col>1</xdr:col>
      <xdr:colOff>0</xdr:colOff>
      <xdr:row>91</xdr:row>
      <xdr:rowOff>0</xdr:rowOff>
    </xdr:to>
    <xdr:sp macro="" textlink="">
      <xdr:nvSpPr>
        <xdr:cNvPr id="30803" name="Line 3"/>
        <xdr:cNvSpPr>
          <a:spLocks noChangeShapeType="1"/>
        </xdr:cNvSpPr>
      </xdr:nvSpPr>
      <xdr:spPr bwMode="auto">
        <a:xfrm>
          <a:off x="2209800" y="14935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91</xdr:row>
      <xdr:rowOff>0</xdr:rowOff>
    </xdr:from>
    <xdr:to>
      <xdr:col>1</xdr:col>
      <xdr:colOff>0</xdr:colOff>
      <xdr:row>91</xdr:row>
      <xdr:rowOff>0</xdr:rowOff>
    </xdr:to>
    <xdr:sp macro="" textlink="">
      <xdr:nvSpPr>
        <xdr:cNvPr id="30804" name="Line 7"/>
        <xdr:cNvSpPr>
          <a:spLocks noChangeShapeType="1"/>
        </xdr:cNvSpPr>
      </xdr:nvSpPr>
      <xdr:spPr bwMode="auto">
        <a:xfrm>
          <a:off x="2209800" y="14935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91</xdr:row>
      <xdr:rowOff>0</xdr:rowOff>
    </xdr:from>
    <xdr:to>
      <xdr:col>1</xdr:col>
      <xdr:colOff>0</xdr:colOff>
      <xdr:row>91</xdr:row>
      <xdr:rowOff>0</xdr:rowOff>
    </xdr:to>
    <xdr:sp macro="" textlink="">
      <xdr:nvSpPr>
        <xdr:cNvPr id="30805" name="Line 8"/>
        <xdr:cNvSpPr>
          <a:spLocks noChangeShapeType="1"/>
        </xdr:cNvSpPr>
      </xdr:nvSpPr>
      <xdr:spPr bwMode="auto">
        <a:xfrm>
          <a:off x="2209800" y="14935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91</xdr:row>
      <xdr:rowOff>0</xdr:rowOff>
    </xdr:from>
    <xdr:to>
      <xdr:col>1</xdr:col>
      <xdr:colOff>0</xdr:colOff>
      <xdr:row>91</xdr:row>
      <xdr:rowOff>0</xdr:rowOff>
    </xdr:to>
    <xdr:sp macro="" textlink="">
      <xdr:nvSpPr>
        <xdr:cNvPr id="30806" name="Line 9"/>
        <xdr:cNvSpPr>
          <a:spLocks noChangeShapeType="1"/>
        </xdr:cNvSpPr>
      </xdr:nvSpPr>
      <xdr:spPr bwMode="auto">
        <a:xfrm>
          <a:off x="2209800" y="14935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267</xdr:row>
      <xdr:rowOff>0</xdr:rowOff>
    </xdr:from>
    <xdr:to>
      <xdr:col>1</xdr:col>
      <xdr:colOff>0</xdr:colOff>
      <xdr:row>267</xdr:row>
      <xdr:rowOff>0</xdr:rowOff>
    </xdr:to>
    <xdr:sp macro="" textlink="">
      <xdr:nvSpPr>
        <xdr:cNvPr id="30807" name="Line 3"/>
        <xdr:cNvSpPr>
          <a:spLocks noChangeShapeType="1"/>
        </xdr:cNvSpPr>
      </xdr:nvSpPr>
      <xdr:spPr bwMode="auto">
        <a:xfrm>
          <a:off x="2209800" y="43729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267</xdr:row>
      <xdr:rowOff>0</xdr:rowOff>
    </xdr:from>
    <xdr:to>
      <xdr:col>1</xdr:col>
      <xdr:colOff>0</xdr:colOff>
      <xdr:row>267</xdr:row>
      <xdr:rowOff>0</xdr:rowOff>
    </xdr:to>
    <xdr:sp macro="" textlink="">
      <xdr:nvSpPr>
        <xdr:cNvPr id="30808" name="Line 7"/>
        <xdr:cNvSpPr>
          <a:spLocks noChangeShapeType="1"/>
        </xdr:cNvSpPr>
      </xdr:nvSpPr>
      <xdr:spPr bwMode="auto">
        <a:xfrm>
          <a:off x="2209800" y="43729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267</xdr:row>
      <xdr:rowOff>0</xdr:rowOff>
    </xdr:from>
    <xdr:to>
      <xdr:col>1</xdr:col>
      <xdr:colOff>0</xdr:colOff>
      <xdr:row>267</xdr:row>
      <xdr:rowOff>0</xdr:rowOff>
    </xdr:to>
    <xdr:sp macro="" textlink="">
      <xdr:nvSpPr>
        <xdr:cNvPr id="30809" name="Line 8"/>
        <xdr:cNvSpPr>
          <a:spLocks noChangeShapeType="1"/>
        </xdr:cNvSpPr>
      </xdr:nvSpPr>
      <xdr:spPr bwMode="auto">
        <a:xfrm>
          <a:off x="2209800" y="43729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267</xdr:row>
      <xdr:rowOff>0</xdr:rowOff>
    </xdr:from>
    <xdr:to>
      <xdr:col>1</xdr:col>
      <xdr:colOff>0</xdr:colOff>
      <xdr:row>267</xdr:row>
      <xdr:rowOff>0</xdr:rowOff>
    </xdr:to>
    <xdr:sp macro="" textlink="">
      <xdr:nvSpPr>
        <xdr:cNvPr id="30810" name="Line 9"/>
        <xdr:cNvSpPr>
          <a:spLocks noChangeShapeType="1"/>
        </xdr:cNvSpPr>
      </xdr:nvSpPr>
      <xdr:spPr bwMode="auto">
        <a:xfrm>
          <a:off x="2209800" y="43729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311</xdr:row>
      <xdr:rowOff>0</xdr:rowOff>
    </xdr:from>
    <xdr:to>
      <xdr:col>1</xdr:col>
      <xdr:colOff>0</xdr:colOff>
      <xdr:row>311</xdr:row>
      <xdr:rowOff>0</xdr:rowOff>
    </xdr:to>
    <xdr:sp macro="" textlink="">
      <xdr:nvSpPr>
        <xdr:cNvPr id="30811" name="Line 3"/>
        <xdr:cNvSpPr>
          <a:spLocks noChangeShapeType="1"/>
        </xdr:cNvSpPr>
      </xdr:nvSpPr>
      <xdr:spPr bwMode="auto">
        <a:xfrm>
          <a:off x="2209800" y="50996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311</xdr:row>
      <xdr:rowOff>0</xdr:rowOff>
    </xdr:from>
    <xdr:to>
      <xdr:col>1</xdr:col>
      <xdr:colOff>0</xdr:colOff>
      <xdr:row>311</xdr:row>
      <xdr:rowOff>0</xdr:rowOff>
    </xdr:to>
    <xdr:sp macro="" textlink="">
      <xdr:nvSpPr>
        <xdr:cNvPr id="30812" name="Line 7"/>
        <xdr:cNvSpPr>
          <a:spLocks noChangeShapeType="1"/>
        </xdr:cNvSpPr>
      </xdr:nvSpPr>
      <xdr:spPr bwMode="auto">
        <a:xfrm>
          <a:off x="2209800" y="50996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311</xdr:row>
      <xdr:rowOff>0</xdr:rowOff>
    </xdr:from>
    <xdr:to>
      <xdr:col>1</xdr:col>
      <xdr:colOff>0</xdr:colOff>
      <xdr:row>311</xdr:row>
      <xdr:rowOff>0</xdr:rowOff>
    </xdr:to>
    <xdr:sp macro="" textlink="">
      <xdr:nvSpPr>
        <xdr:cNvPr id="30813" name="Line 8"/>
        <xdr:cNvSpPr>
          <a:spLocks noChangeShapeType="1"/>
        </xdr:cNvSpPr>
      </xdr:nvSpPr>
      <xdr:spPr bwMode="auto">
        <a:xfrm>
          <a:off x="2209800" y="50996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311</xdr:row>
      <xdr:rowOff>0</xdr:rowOff>
    </xdr:from>
    <xdr:to>
      <xdr:col>1</xdr:col>
      <xdr:colOff>0</xdr:colOff>
      <xdr:row>311</xdr:row>
      <xdr:rowOff>0</xdr:rowOff>
    </xdr:to>
    <xdr:sp macro="" textlink="">
      <xdr:nvSpPr>
        <xdr:cNvPr id="30814" name="Line 9"/>
        <xdr:cNvSpPr>
          <a:spLocks noChangeShapeType="1"/>
        </xdr:cNvSpPr>
      </xdr:nvSpPr>
      <xdr:spPr bwMode="auto">
        <a:xfrm>
          <a:off x="2209800" y="50996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355</xdr:row>
      <xdr:rowOff>0</xdr:rowOff>
    </xdr:from>
    <xdr:to>
      <xdr:col>1</xdr:col>
      <xdr:colOff>0</xdr:colOff>
      <xdr:row>355</xdr:row>
      <xdr:rowOff>0</xdr:rowOff>
    </xdr:to>
    <xdr:sp macro="" textlink="">
      <xdr:nvSpPr>
        <xdr:cNvPr id="30815" name="Line 3"/>
        <xdr:cNvSpPr>
          <a:spLocks noChangeShapeType="1"/>
        </xdr:cNvSpPr>
      </xdr:nvSpPr>
      <xdr:spPr bwMode="auto">
        <a:xfrm>
          <a:off x="2209800" y="58207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355</xdr:row>
      <xdr:rowOff>0</xdr:rowOff>
    </xdr:from>
    <xdr:to>
      <xdr:col>1</xdr:col>
      <xdr:colOff>0</xdr:colOff>
      <xdr:row>355</xdr:row>
      <xdr:rowOff>0</xdr:rowOff>
    </xdr:to>
    <xdr:sp macro="" textlink="">
      <xdr:nvSpPr>
        <xdr:cNvPr id="30816" name="Line 7"/>
        <xdr:cNvSpPr>
          <a:spLocks noChangeShapeType="1"/>
        </xdr:cNvSpPr>
      </xdr:nvSpPr>
      <xdr:spPr bwMode="auto">
        <a:xfrm>
          <a:off x="2209800" y="58207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355</xdr:row>
      <xdr:rowOff>0</xdr:rowOff>
    </xdr:from>
    <xdr:to>
      <xdr:col>1</xdr:col>
      <xdr:colOff>0</xdr:colOff>
      <xdr:row>355</xdr:row>
      <xdr:rowOff>0</xdr:rowOff>
    </xdr:to>
    <xdr:sp macro="" textlink="">
      <xdr:nvSpPr>
        <xdr:cNvPr id="30817" name="Line 8"/>
        <xdr:cNvSpPr>
          <a:spLocks noChangeShapeType="1"/>
        </xdr:cNvSpPr>
      </xdr:nvSpPr>
      <xdr:spPr bwMode="auto">
        <a:xfrm>
          <a:off x="2209800" y="58207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355</xdr:row>
      <xdr:rowOff>0</xdr:rowOff>
    </xdr:from>
    <xdr:to>
      <xdr:col>1</xdr:col>
      <xdr:colOff>0</xdr:colOff>
      <xdr:row>355</xdr:row>
      <xdr:rowOff>0</xdr:rowOff>
    </xdr:to>
    <xdr:sp macro="" textlink="">
      <xdr:nvSpPr>
        <xdr:cNvPr id="30818" name="Line 9"/>
        <xdr:cNvSpPr>
          <a:spLocks noChangeShapeType="1"/>
        </xdr:cNvSpPr>
      </xdr:nvSpPr>
      <xdr:spPr bwMode="auto">
        <a:xfrm>
          <a:off x="2209800" y="58207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443</xdr:row>
      <xdr:rowOff>0</xdr:rowOff>
    </xdr:from>
    <xdr:to>
      <xdr:col>1</xdr:col>
      <xdr:colOff>0</xdr:colOff>
      <xdr:row>443</xdr:row>
      <xdr:rowOff>0</xdr:rowOff>
    </xdr:to>
    <xdr:sp macro="" textlink="">
      <xdr:nvSpPr>
        <xdr:cNvPr id="30819" name="Line 3"/>
        <xdr:cNvSpPr>
          <a:spLocks noChangeShapeType="1"/>
        </xdr:cNvSpPr>
      </xdr:nvSpPr>
      <xdr:spPr bwMode="auto">
        <a:xfrm>
          <a:off x="2209800" y="727424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443</xdr:row>
      <xdr:rowOff>0</xdr:rowOff>
    </xdr:from>
    <xdr:to>
      <xdr:col>1</xdr:col>
      <xdr:colOff>0</xdr:colOff>
      <xdr:row>443</xdr:row>
      <xdr:rowOff>0</xdr:rowOff>
    </xdr:to>
    <xdr:sp macro="" textlink="">
      <xdr:nvSpPr>
        <xdr:cNvPr id="30820" name="Line 7"/>
        <xdr:cNvSpPr>
          <a:spLocks noChangeShapeType="1"/>
        </xdr:cNvSpPr>
      </xdr:nvSpPr>
      <xdr:spPr bwMode="auto">
        <a:xfrm>
          <a:off x="2209800" y="727424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443</xdr:row>
      <xdr:rowOff>0</xdr:rowOff>
    </xdr:from>
    <xdr:to>
      <xdr:col>1</xdr:col>
      <xdr:colOff>0</xdr:colOff>
      <xdr:row>443</xdr:row>
      <xdr:rowOff>0</xdr:rowOff>
    </xdr:to>
    <xdr:sp macro="" textlink="">
      <xdr:nvSpPr>
        <xdr:cNvPr id="30821" name="Line 8"/>
        <xdr:cNvSpPr>
          <a:spLocks noChangeShapeType="1"/>
        </xdr:cNvSpPr>
      </xdr:nvSpPr>
      <xdr:spPr bwMode="auto">
        <a:xfrm>
          <a:off x="2209800" y="727424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443</xdr:row>
      <xdr:rowOff>0</xdr:rowOff>
    </xdr:from>
    <xdr:to>
      <xdr:col>1</xdr:col>
      <xdr:colOff>0</xdr:colOff>
      <xdr:row>443</xdr:row>
      <xdr:rowOff>0</xdr:rowOff>
    </xdr:to>
    <xdr:sp macro="" textlink="">
      <xdr:nvSpPr>
        <xdr:cNvPr id="30822" name="Line 9"/>
        <xdr:cNvSpPr>
          <a:spLocks noChangeShapeType="1"/>
        </xdr:cNvSpPr>
      </xdr:nvSpPr>
      <xdr:spPr bwMode="auto">
        <a:xfrm>
          <a:off x="2209800" y="727424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19050</xdr:colOff>
      <xdr:row>471</xdr:row>
      <xdr:rowOff>9525</xdr:rowOff>
    </xdr:from>
    <xdr:to>
      <xdr:col>5</xdr:col>
      <xdr:colOff>95250</xdr:colOff>
      <xdr:row>477</xdr:row>
      <xdr:rowOff>133350</xdr:rowOff>
    </xdr:to>
    <xdr:sp macro="" textlink="">
      <xdr:nvSpPr>
        <xdr:cNvPr id="30823" name="AutoShape 1053"/>
        <xdr:cNvSpPr>
          <a:spLocks/>
        </xdr:cNvSpPr>
      </xdr:nvSpPr>
      <xdr:spPr bwMode="auto">
        <a:xfrm>
          <a:off x="5362575" y="77323950"/>
          <a:ext cx="76200" cy="1095375"/>
        </a:xfrm>
        <a:prstGeom prst="rightBrace">
          <a:avLst>
            <a:gd name="adj1" fmla="val 11979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absoluteAnchor>
    <xdr:pos x="0" y="0"/>
    <xdr:ext cx="9182100"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182100"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182100"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182100"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182100"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9182100"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182100"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ADMINI~1\LOCALS~1\Temp\Mohokare_08\Documents%20and%20Settings\administrator.MOHOKAREFIN\My%20Documents\MST\Fin_%20State_%20Tswelopele_%20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1\ADMINI~1\LOCALS~1\Temp\Salaries_Mohokare_2009_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1\ADMINI~1\LOCALS~1\Temp\Salaries_Mohokare_2010_20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1\ADMINI~1\LOCALS~1\Temp\Datafile%20for%20A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orblad"/>
      <sheetName val="Contents"/>
      <sheetName val="Gen Info Pg 1"/>
      <sheetName val="Gen Info Pg 2"/>
      <sheetName val="Foreward Pg 3"/>
      <sheetName val="Approval Pg 4"/>
      <sheetName val="Rep AO Pg 5"/>
      <sheetName val="Rep AG Pg 6"/>
      <sheetName val="Bladsy 7 tot 10"/>
      <sheetName val="Bladsy 11 tot 14 "/>
      <sheetName val="Balansstaat 15"/>
      <sheetName val="Inkomstestaat 16"/>
      <sheetName val="Kontantvloei 17"/>
      <sheetName val="Aant Fin State 18 tot 21"/>
      <sheetName val="Aanh A Pg 22"/>
      <sheetName val="Aanh B Pg 23"/>
      <sheetName val="Aanh C Pg 24 tot 25"/>
      <sheetName val="Aanh D Pg 26"/>
      <sheetName val="Aanh E Pg 27"/>
      <sheetName val="Aanh F Pg 28"/>
      <sheetName val="Rep AG Pg 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Funds"/>
      <sheetName val="Sal_RIA"/>
      <sheetName val="Sheet1"/>
    </sheetNames>
    <sheetDataSet>
      <sheetData sheetId="0"/>
      <sheetData sheetId="1" refreshError="1">
        <row r="17">
          <cell r="M17">
            <v>307</v>
          </cell>
          <cell r="N17">
            <v>0</v>
          </cell>
          <cell r="O17">
            <v>0</v>
          </cell>
          <cell r="P17">
            <v>0</v>
          </cell>
          <cell r="U17">
            <v>0</v>
          </cell>
        </row>
        <row r="32">
          <cell r="H32">
            <v>1402403</v>
          </cell>
          <cell r="J32">
            <v>19862</v>
          </cell>
          <cell r="N32">
            <v>0</v>
          </cell>
          <cell r="R32">
            <v>467467</v>
          </cell>
          <cell r="U32">
            <v>116305</v>
          </cell>
        </row>
        <row r="38">
          <cell r="I38">
            <v>0</v>
          </cell>
          <cell r="L38">
            <v>0</v>
          </cell>
          <cell r="M38">
            <v>0</v>
          </cell>
        </row>
        <row r="44">
          <cell r="H44">
            <v>326593</v>
          </cell>
          <cell r="I44">
            <v>0</v>
          </cell>
          <cell r="L44">
            <v>0</v>
          </cell>
          <cell r="M44">
            <v>0</v>
          </cell>
          <cell r="N44">
            <v>0</v>
          </cell>
        </row>
        <row r="56">
          <cell r="H56">
            <v>326593</v>
          </cell>
        </row>
        <row r="62">
          <cell r="H62">
            <v>326593</v>
          </cell>
        </row>
        <row r="90">
          <cell r="M90">
            <v>614</v>
          </cell>
          <cell r="O90">
            <v>0</v>
          </cell>
          <cell r="P90">
            <v>0</v>
          </cell>
          <cell r="R90">
            <v>0</v>
          </cell>
          <cell r="S90">
            <v>10580</v>
          </cell>
        </row>
        <row r="96">
          <cell r="L96">
            <v>0</v>
          </cell>
          <cell r="M96">
            <v>0</v>
          </cell>
          <cell r="R96">
            <v>0</v>
          </cell>
        </row>
        <row r="105">
          <cell r="M105">
            <v>154</v>
          </cell>
          <cell r="S105">
            <v>8012</v>
          </cell>
        </row>
        <row r="113">
          <cell r="M113">
            <v>77</v>
          </cell>
          <cell r="R113">
            <v>0</v>
          </cell>
        </row>
        <row r="128">
          <cell r="M128">
            <v>384</v>
          </cell>
          <cell r="O128">
            <v>0</v>
          </cell>
          <cell r="P128">
            <v>0</v>
          </cell>
          <cell r="S128">
            <v>11198</v>
          </cell>
        </row>
        <row r="138">
          <cell r="M138">
            <v>77</v>
          </cell>
        </row>
        <row r="153">
          <cell r="M153">
            <v>77</v>
          </cell>
        </row>
        <row r="186">
          <cell r="M186">
            <v>154</v>
          </cell>
        </row>
        <row r="196">
          <cell r="M196">
            <v>154</v>
          </cell>
        </row>
        <row r="203">
          <cell r="M203">
            <v>77</v>
          </cell>
        </row>
        <row r="240">
          <cell r="M240">
            <v>768</v>
          </cell>
          <cell r="S240">
            <v>8012</v>
          </cell>
        </row>
        <row r="253">
          <cell r="M253">
            <v>307</v>
          </cell>
          <cell r="O253">
            <v>0</v>
          </cell>
          <cell r="P253">
            <v>0</v>
          </cell>
        </row>
        <row r="427">
          <cell r="M427">
            <v>1459</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Funds"/>
      <sheetName val="Salary_Bdgt"/>
      <sheetName val="Emp_No#"/>
      <sheetName val="Emp_Not Placed"/>
      <sheetName val="Salary_Bdgt (2)"/>
    </sheetNames>
    <sheetDataSet>
      <sheetData sheetId="0" refreshError="1"/>
      <sheetData sheetId="1">
        <row r="17">
          <cell r="H17">
            <v>1527850</v>
          </cell>
          <cell r="I17">
            <v>1677</v>
          </cell>
          <cell r="J17">
            <v>4848</v>
          </cell>
          <cell r="K17">
            <v>4509</v>
          </cell>
          <cell r="M17">
            <v>45</v>
          </cell>
          <cell r="R17">
            <v>509286</v>
          </cell>
          <cell r="U17">
            <v>126685</v>
          </cell>
        </row>
        <row r="32">
          <cell r="H32">
            <v>332923</v>
          </cell>
          <cell r="I32">
            <v>6733</v>
          </cell>
          <cell r="J32">
            <v>6733</v>
          </cell>
          <cell r="K32">
            <v>6262</v>
          </cell>
          <cell r="L32">
            <v>13493</v>
          </cell>
          <cell r="M32">
            <v>270</v>
          </cell>
          <cell r="N32">
            <v>25525</v>
          </cell>
          <cell r="O32">
            <v>0</v>
          </cell>
          <cell r="P32">
            <v>0</v>
          </cell>
          <cell r="Q32">
            <v>27744</v>
          </cell>
          <cell r="R32">
            <v>0</v>
          </cell>
          <cell r="S32">
            <v>0</v>
          </cell>
          <cell r="T32">
            <v>7497</v>
          </cell>
          <cell r="U32">
            <v>0</v>
          </cell>
          <cell r="V32">
            <v>0</v>
          </cell>
          <cell r="W32">
            <v>0</v>
          </cell>
        </row>
        <row r="38">
          <cell r="H38">
            <v>427894</v>
          </cell>
          <cell r="I38">
            <v>1617</v>
          </cell>
          <cell r="J38">
            <v>9797</v>
          </cell>
          <cell r="K38">
            <v>9111</v>
          </cell>
          <cell r="L38">
            <v>0</v>
          </cell>
          <cell r="M38">
            <v>45</v>
          </cell>
          <cell r="N38">
            <v>125715</v>
          </cell>
          <cell r="Q38">
            <v>35658</v>
          </cell>
          <cell r="R38">
            <v>79661</v>
          </cell>
          <cell r="S38">
            <v>25723</v>
          </cell>
          <cell r="T38">
            <v>0</v>
          </cell>
          <cell r="U38">
            <v>18509</v>
          </cell>
          <cell r="V38">
            <v>0</v>
          </cell>
          <cell r="X38">
            <v>35657</v>
          </cell>
        </row>
        <row r="45">
          <cell r="H45">
            <v>140063</v>
          </cell>
          <cell r="I45">
            <v>2801</v>
          </cell>
          <cell r="J45">
            <v>2801</v>
          </cell>
          <cell r="K45">
            <v>2605</v>
          </cell>
          <cell r="L45">
            <v>0</v>
          </cell>
          <cell r="M45">
            <v>0</v>
          </cell>
          <cell r="N45">
            <v>29105</v>
          </cell>
          <cell r="O45">
            <v>0</v>
          </cell>
          <cell r="P45">
            <v>0</v>
          </cell>
          <cell r="Q45">
            <v>11672</v>
          </cell>
          <cell r="R45">
            <v>0</v>
          </cell>
          <cell r="S45">
            <v>0</v>
          </cell>
          <cell r="T45">
            <v>0</v>
          </cell>
          <cell r="U45">
            <v>0</v>
          </cell>
          <cell r="V45">
            <v>0</v>
          </cell>
          <cell r="W45">
            <v>0</v>
          </cell>
        </row>
        <row r="51">
          <cell r="H51">
            <v>352721</v>
          </cell>
          <cell r="I51">
            <v>1617</v>
          </cell>
          <cell r="J51">
            <v>9112</v>
          </cell>
          <cell r="K51">
            <v>8474</v>
          </cell>
          <cell r="L51">
            <v>0</v>
          </cell>
          <cell r="M51">
            <v>0</v>
          </cell>
          <cell r="N51">
            <v>0</v>
          </cell>
          <cell r="Q51">
            <v>29393</v>
          </cell>
          <cell r="R51">
            <v>145295</v>
          </cell>
          <cell r="S51">
            <v>31693</v>
          </cell>
          <cell r="T51">
            <v>0</v>
          </cell>
          <cell r="U51">
            <v>28771</v>
          </cell>
          <cell r="V51">
            <v>0</v>
          </cell>
          <cell r="X51">
            <v>0</v>
          </cell>
        </row>
        <row r="57">
          <cell r="H57">
            <v>68482</v>
          </cell>
          <cell r="I57">
            <v>1385</v>
          </cell>
          <cell r="J57">
            <v>1385</v>
          </cell>
          <cell r="K57">
            <v>1288</v>
          </cell>
          <cell r="L57">
            <v>0</v>
          </cell>
          <cell r="M57">
            <v>45</v>
          </cell>
          <cell r="N57">
            <v>13026</v>
          </cell>
          <cell r="O57">
            <v>0</v>
          </cell>
          <cell r="P57">
            <v>0</v>
          </cell>
          <cell r="Q57">
            <v>5707</v>
          </cell>
          <cell r="R57">
            <v>0</v>
          </cell>
          <cell r="S57">
            <v>0</v>
          </cell>
          <cell r="T57">
            <v>1549</v>
          </cell>
          <cell r="U57">
            <v>0</v>
          </cell>
          <cell r="V57">
            <v>14307</v>
          </cell>
          <cell r="W57">
            <v>0</v>
          </cell>
        </row>
        <row r="63">
          <cell r="H63">
            <v>358153</v>
          </cell>
          <cell r="I63">
            <v>1617</v>
          </cell>
          <cell r="J63">
            <v>8816</v>
          </cell>
          <cell r="K63">
            <v>8199</v>
          </cell>
          <cell r="L63">
            <v>20436</v>
          </cell>
          <cell r="M63">
            <v>45</v>
          </cell>
          <cell r="N63">
            <v>71280</v>
          </cell>
          <cell r="Q63">
            <v>29846</v>
          </cell>
          <cell r="R63">
            <v>95024</v>
          </cell>
          <cell r="S63">
            <v>47749</v>
          </cell>
          <cell r="T63">
            <v>0</v>
          </cell>
          <cell r="U63">
            <v>22537</v>
          </cell>
          <cell r="V63">
            <v>0</v>
          </cell>
          <cell r="X63">
            <v>29846</v>
          </cell>
        </row>
        <row r="69">
          <cell r="H69">
            <v>70031</v>
          </cell>
          <cell r="I69">
            <v>1401</v>
          </cell>
          <cell r="J69">
            <v>1401</v>
          </cell>
          <cell r="K69">
            <v>1303</v>
          </cell>
          <cell r="L69">
            <v>0</v>
          </cell>
          <cell r="M69">
            <v>45</v>
          </cell>
          <cell r="N69">
            <v>0</v>
          </cell>
          <cell r="O69">
            <v>0</v>
          </cell>
          <cell r="P69">
            <v>0</v>
          </cell>
          <cell r="Q69">
            <v>5836</v>
          </cell>
          <cell r="R69">
            <v>0</v>
          </cell>
          <cell r="S69">
            <v>0</v>
          </cell>
          <cell r="T69">
            <v>0</v>
          </cell>
          <cell r="U69">
            <v>0</v>
          </cell>
          <cell r="V69">
            <v>0</v>
          </cell>
          <cell r="W69">
            <v>0</v>
          </cell>
        </row>
        <row r="75">
          <cell r="H75">
            <v>352721</v>
          </cell>
          <cell r="I75">
            <v>1617</v>
          </cell>
          <cell r="J75">
            <v>9112</v>
          </cell>
          <cell r="K75">
            <v>8474</v>
          </cell>
          <cell r="L75">
            <v>0</v>
          </cell>
          <cell r="M75">
            <v>0</v>
          </cell>
          <cell r="N75">
            <v>0</v>
          </cell>
          <cell r="Q75">
            <v>29393</v>
          </cell>
          <cell r="R75">
            <v>145295</v>
          </cell>
          <cell r="S75">
            <v>31693</v>
          </cell>
          <cell r="T75">
            <v>0</v>
          </cell>
          <cell r="U75">
            <v>28771</v>
          </cell>
          <cell r="V75">
            <v>0</v>
          </cell>
          <cell r="X75">
            <v>0</v>
          </cell>
        </row>
        <row r="81">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row>
        <row r="87">
          <cell r="H87">
            <v>352721</v>
          </cell>
          <cell r="I87">
            <v>1617</v>
          </cell>
          <cell r="J87">
            <v>9112</v>
          </cell>
          <cell r="K87">
            <v>8474</v>
          </cell>
          <cell r="L87">
            <v>0</v>
          </cell>
          <cell r="M87">
            <v>0</v>
          </cell>
          <cell r="N87">
            <v>0</v>
          </cell>
          <cell r="Q87">
            <v>29393</v>
          </cell>
          <cell r="R87">
            <v>145295</v>
          </cell>
          <cell r="S87">
            <v>31693</v>
          </cell>
          <cell r="T87">
            <v>0</v>
          </cell>
          <cell r="U87">
            <v>28771</v>
          </cell>
          <cell r="V87">
            <v>0</v>
          </cell>
          <cell r="X87">
            <v>0</v>
          </cell>
        </row>
        <row r="99">
          <cell r="H99">
            <v>528232</v>
          </cell>
          <cell r="I99">
            <v>6469</v>
          </cell>
          <cell r="J99">
            <v>10602</v>
          </cell>
          <cell r="K99">
            <v>9860</v>
          </cell>
          <cell r="L99">
            <v>0</v>
          </cell>
          <cell r="M99">
            <v>90</v>
          </cell>
          <cell r="N99">
            <v>85360</v>
          </cell>
          <cell r="O99">
            <v>0</v>
          </cell>
          <cell r="P99">
            <v>0</v>
          </cell>
          <cell r="Q99">
            <v>44019</v>
          </cell>
          <cell r="R99">
            <v>0</v>
          </cell>
          <cell r="S99">
            <v>0</v>
          </cell>
          <cell r="T99">
            <v>3726</v>
          </cell>
          <cell r="U99">
            <v>0</v>
          </cell>
          <cell r="V99">
            <v>145883</v>
          </cell>
          <cell r="W99">
            <v>0</v>
          </cell>
        </row>
        <row r="126">
          <cell r="H126">
            <v>2235274</v>
          </cell>
          <cell r="I126">
            <v>33396</v>
          </cell>
          <cell r="J126">
            <v>45451</v>
          </cell>
          <cell r="K126">
            <v>42270</v>
          </cell>
          <cell r="L126">
            <v>120010</v>
          </cell>
          <cell r="M126">
            <v>855</v>
          </cell>
          <cell r="N126">
            <v>373090</v>
          </cell>
          <cell r="O126">
            <v>0</v>
          </cell>
          <cell r="P126">
            <v>0</v>
          </cell>
          <cell r="Q126">
            <v>186273</v>
          </cell>
          <cell r="R126">
            <v>32400</v>
          </cell>
          <cell r="S126">
            <v>12804</v>
          </cell>
          <cell r="T126">
            <v>29388</v>
          </cell>
          <cell r="U126">
            <v>0</v>
          </cell>
          <cell r="V126">
            <v>0</v>
          </cell>
          <cell r="W126">
            <v>0</v>
          </cell>
        </row>
        <row r="133">
          <cell r="H133">
            <v>167236</v>
          </cell>
          <cell r="I133">
            <v>1617</v>
          </cell>
          <cell r="J133">
            <v>3345</v>
          </cell>
          <cell r="K133">
            <v>3111</v>
          </cell>
          <cell r="L133">
            <v>0</v>
          </cell>
          <cell r="M133">
            <v>0</v>
          </cell>
          <cell r="N133">
            <v>34752</v>
          </cell>
          <cell r="O133">
            <v>0</v>
          </cell>
          <cell r="P133">
            <v>0</v>
          </cell>
          <cell r="Q133">
            <v>13936</v>
          </cell>
          <cell r="R133">
            <v>0</v>
          </cell>
          <cell r="S133">
            <v>0</v>
          </cell>
          <cell r="T133">
            <v>0</v>
          </cell>
          <cell r="U133">
            <v>0</v>
          </cell>
          <cell r="V133">
            <v>0</v>
          </cell>
          <cell r="W133">
            <v>0</v>
          </cell>
        </row>
        <row r="141">
          <cell r="H141">
            <v>233607</v>
          </cell>
          <cell r="I141">
            <v>4057</v>
          </cell>
          <cell r="J141">
            <v>5433</v>
          </cell>
          <cell r="K141">
            <v>5053</v>
          </cell>
          <cell r="L141">
            <v>26539</v>
          </cell>
          <cell r="M141">
            <v>135</v>
          </cell>
          <cell r="N141">
            <v>37240</v>
          </cell>
          <cell r="O141">
            <v>0</v>
          </cell>
          <cell r="P141">
            <v>0</v>
          </cell>
          <cell r="Q141">
            <v>19467</v>
          </cell>
          <cell r="R141">
            <v>36288</v>
          </cell>
          <cell r="S141">
            <v>6402</v>
          </cell>
          <cell r="T141">
            <v>4093</v>
          </cell>
          <cell r="U141">
            <v>29336</v>
          </cell>
          <cell r="V141">
            <v>64129</v>
          </cell>
          <cell r="W141">
            <v>0</v>
          </cell>
        </row>
        <row r="150">
          <cell r="H150">
            <v>517693</v>
          </cell>
          <cell r="I150">
            <v>6252</v>
          </cell>
          <cell r="J150">
            <v>10807</v>
          </cell>
          <cell r="K150">
            <v>10050</v>
          </cell>
          <cell r="L150">
            <v>65844</v>
          </cell>
          <cell r="M150">
            <v>180</v>
          </cell>
          <cell r="N150">
            <v>87255</v>
          </cell>
          <cell r="O150">
            <v>0</v>
          </cell>
          <cell r="P150">
            <v>0</v>
          </cell>
          <cell r="Q150">
            <v>43141</v>
          </cell>
          <cell r="R150">
            <v>32400</v>
          </cell>
          <cell r="T150">
            <v>6402</v>
          </cell>
          <cell r="U150">
            <v>6480</v>
          </cell>
          <cell r="V150">
            <v>46449</v>
          </cell>
          <cell r="W150">
            <v>0</v>
          </cell>
        </row>
        <row r="167">
          <cell r="H167">
            <v>801991</v>
          </cell>
          <cell r="I167">
            <v>10888</v>
          </cell>
          <cell r="J167">
            <v>16237</v>
          </cell>
          <cell r="K167">
            <v>15100</v>
          </cell>
          <cell r="L167">
            <v>89964</v>
          </cell>
          <cell r="M167">
            <v>360</v>
          </cell>
          <cell r="N167">
            <v>167693</v>
          </cell>
          <cell r="O167">
            <v>0</v>
          </cell>
          <cell r="P167">
            <v>0</v>
          </cell>
          <cell r="Q167">
            <v>66833</v>
          </cell>
          <cell r="R167">
            <v>0</v>
          </cell>
          <cell r="S167">
            <v>1532</v>
          </cell>
          <cell r="T167">
            <v>18145</v>
          </cell>
          <cell r="U167">
            <v>0</v>
          </cell>
          <cell r="V167">
            <v>71031</v>
          </cell>
          <cell r="W167">
            <v>0</v>
          </cell>
        </row>
        <row r="178">
          <cell r="H178">
            <v>745355</v>
          </cell>
          <cell r="I178">
            <v>8896</v>
          </cell>
          <cell r="J178">
            <v>16280</v>
          </cell>
          <cell r="K178">
            <v>15141</v>
          </cell>
          <cell r="L178">
            <v>99259</v>
          </cell>
          <cell r="M178">
            <v>270</v>
          </cell>
          <cell r="N178">
            <v>96859</v>
          </cell>
          <cell r="O178">
            <v>0</v>
          </cell>
          <cell r="P178">
            <v>0</v>
          </cell>
          <cell r="Q178">
            <v>62113</v>
          </cell>
          <cell r="R178">
            <v>103781</v>
          </cell>
          <cell r="S178">
            <v>6402</v>
          </cell>
          <cell r="T178">
            <v>12273</v>
          </cell>
          <cell r="U178">
            <v>14878</v>
          </cell>
          <cell r="V178">
            <v>24644</v>
          </cell>
          <cell r="W178">
            <v>0</v>
          </cell>
        </row>
        <row r="184">
          <cell r="H184">
            <v>175701</v>
          </cell>
          <cell r="I184">
            <v>1617</v>
          </cell>
          <cell r="J184">
            <v>3514</v>
          </cell>
          <cell r="K184">
            <v>3268</v>
          </cell>
          <cell r="L184">
            <v>0</v>
          </cell>
          <cell r="M184">
            <v>45</v>
          </cell>
          <cell r="N184">
            <v>0</v>
          </cell>
          <cell r="O184">
            <v>0</v>
          </cell>
          <cell r="P184">
            <v>0</v>
          </cell>
          <cell r="Q184">
            <v>14642</v>
          </cell>
          <cell r="R184">
            <v>0</v>
          </cell>
          <cell r="S184">
            <v>0</v>
          </cell>
          <cell r="T184">
            <v>0</v>
          </cell>
          <cell r="U184">
            <v>0</v>
          </cell>
          <cell r="V184">
            <v>0</v>
          </cell>
          <cell r="W184">
            <v>0</v>
          </cell>
        </row>
        <row r="190">
          <cell r="H190">
            <v>68482</v>
          </cell>
          <cell r="I190">
            <v>1385</v>
          </cell>
          <cell r="J190">
            <v>1385</v>
          </cell>
          <cell r="K190">
            <v>1288</v>
          </cell>
          <cell r="L190">
            <v>3751</v>
          </cell>
          <cell r="M190">
            <v>45</v>
          </cell>
          <cell r="N190">
            <v>14553</v>
          </cell>
          <cell r="O190">
            <v>0</v>
          </cell>
          <cell r="P190">
            <v>0</v>
          </cell>
          <cell r="Q190">
            <v>5707</v>
          </cell>
          <cell r="R190">
            <v>0</v>
          </cell>
          <cell r="S190">
            <v>0</v>
          </cell>
          <cell r="T190">
            <v>1549</v>
          </cell>
          <cell r="U190">
            <v>0</v>
          </cell>
          <cell r="V190">
            <v>0</v>
          </cell>
          <cell r="W190">
            <v>0</v>
          </cell>
        </row>
        <row r="211">
          <cell r="H211">
            <v>774183</v>
          </cell>
          <cell r="I211">
            <v>10840</v>
          </cell>
          <cell r="J211">
            <v>15659</v>
          </cell>
          <cell r="K211">
            <v>14563</v>
          </cell>
          <cell r="L211">
            <v>41594</v>
          </cell>
          <cell r="M211">
            <v>360</v>
          </cell>
          <cell r="N211">
            <v>150214</v>
          </cell>
          <cell r="O211">
            <v>0</v>
          </cell>
          <cell r="P211">
            <v>0</v>
          </cell>
          <cell r="Q211">
            <v>64515</v>
          </cell>
          <cell r="R211">
            <v>0</v>
          </cell>
          <cell r="T211">
            <v>17516</v>
          </cell>
          <cell r="U211">
            <v>0</v>
          </cell>
          <cell r="V211">
            <v>0</v>
          </cell>
          <cell r="W211">
            <v>0</v>
          </cell>
        </row>
        <row r="233">
          <cell r="H233">
            <v>322002</v>
          </cell>
          <cell r="I233">
            <v>6513</v>
          </cell>
          <cell r="J233">
            <v>6513</v>
          </cell>
          <cell r="K233">
            <v>6057</v>
          </cell>
          <cell r="L233">
            <v>13493</v>
          </cell>
          <cell r="M233">
            <v>270</v>
          </cell>
          <cell r="N233">
            <v>63606</v>
          </cell>
          <cell r="O233">
            <v>0</v>
          </cell>
          <cell r="P233">
            <v>0</v>
          </cell>
          <cell r="Q233">
            <v>26834</v>
          </cell>
          <cell r="R233">
            <v>0</v>
          </cell>
          <cell r="T233">
            <v>7278</v>
          </cell>
          <cell r="U233">
            <v>0</v>
          </cell>
          <cell r="V233">
            <v>0</v>
          </cell>
          <cell r="W233">
            <v>0</v>
          </cell>
        </row>
        <row r="243">
          <cell r="H243">
            <v>494257</v>
          </cell>
          <cell r="I243">
            <v>7062</v>
          </cell>
          <cell r="J243">
            <v>10305</v>
          </cell>
          <cell r="K243">
            <v>9584</v>
          </cell>
          <cell r="L243">
            <v>22486</v>
          </cell>
          <cell r="M243">
            <v>225</v>
          </cell>
          <cell r="N243">
            <v>74562</v>
          </cell>
          <cell r="O243">
            <v>0</v>
          </cell>
          <cell r="P243">
            <v>0</v>
          </cell>
          <cell r="Q243">
            <v>41188</v>
          </cell>
          <cell r="R243">
            <v>32400</v>
          </cell>
          <cell r="S243">
            <v>0</v>
          </cell>
          <cell r="T243">
            <v>9598</v>
          </cell>
          <cell r="U243">
            <v>0</v>
          </cell>
          <cell r="V243">
            <v>129346</v>
          </cell>
          <cell r="W243">
            <v>0</v>
          </cell>
        </row>
        <row r="260">
          <cell r="H260">
            <v>360672</v>
          </cell>
          <cell r="I260">
            <v>6025</v>
          </cell>
          <cell r="J260">
            <v>7929</v>
          </cell>
          <cell r="K260">
            <v>7374</v>
          </cell>
          <cell r="L260">
            <v>56923</v>
          </cell>
          <cell r="M260">
            <v>180</v>
          </cell>
          <cell r="N260">
            <v>34982</v>
          </cell>
          <cell r="O260">
            <v>28506</v>
          </cell>
          <cell r="P260">
            <v>134452</v>
          </cell>
          <cell r="Q260">
            <v>30056</v>
          </cell>
          <cell r="R260">
            <v>36288</v>
          </cell>
          <cell r="S260">
            <v>2946</v>
          </cell>
          <cell r="T260">
            <v>3862</v>
          </cell>
          <cell r="U260">
            <v>0</v>
          </cell>
          <cell r="V260">
            <v>0</v>
          </cell>
          <cell r="W260">
            <v>0</v>
          </cell>
        </row>
        <row r="271">
          <cell r="H271">
            <v>157712</v>
          </cell>
          <cell r="I271">
            <v>3261</v>
          </cell>
          <cell r="J271">
            <v>3261</v>
          </cell>
          <cell r="K271">
            <v>3033</v>
          </cell>
          <cell r="L271">
            <v>0</v>
          </cell>
          <cell r="M271">
            <v>135</v>
          </cell>
          <cell r="N271">
            <v>32356</v>
          </cell>
          <cell r="O271">
            <v>7125</v>
          </cell>
          <cell r="P271">
            <v>0</v>
          </cell>
          <cell r="Q271">
            <v>13143</v>
          </cell>
          <cell r="R271">
            <v>0</v>
          </cell>
          <cell r="S271">
            <v>0</v>
          </cell>
          <cell r="T271">
            <v>3554</v>
          </cell>
          <cell r="U271">
            <v>0</v>
          </cell>
          <cell r="V271">
            <v>0</v>
          </cell>
          <cell r="W271">
            <v>0</v>
          </cell>
        </row>
        <row r="305">
          <cell r="H305">
            <v>1548419</v>
          </cell>
          <cell r="I305">
            <v>28240</v>
          </cell>
          <cell r="J305">
            <v>31383</v>
          </cell>
          <cell r="K305">
            <v>29187</v>
          </cell>
          <cell r="L305">
            <v>75622</v>
          </cell>
          <cell r="M305">
            <v>990</v>
          </cell>
          <cell r="N305">
            <v>281021</v>
          </cell>
          <cell r="O305">
            <v>11623</v>
          </cell>
          <cell r="P305">
            <v>0</v>
          </cell>
          <cell r="Q305">
            <v>129035</v>
          </cell>
          <cell r="R305">
            <v>0</v>
          </cell>
          <cell r="S305">
            <v>2580</v>
          </cell>
          <cell r="T305">
            <v>27295</v>
          </cell>
          <cell r="U305">
            <v>0</v>
          </cell>
          <cell r="V305">
            <v>28756</v>
          </cell>
          <cell r="W305">
            <v>22687</v>
          </cell>
        </row>
        <row r="319">
          <cell r="H319">
            <v>376035</v>
          </cell>
          <cell r="I319">
            <v>7694</v>
          </cell>
          <cell r="J319">
            <v>7694</v>
          </cell>
          <cell r="K319">
            <v>7155</v>
          </cell>
          <cell r="L319">
            <v>25236</v>
          </cell>
          <cell r="M319">
            <v>315</v>
          </cell>
          <cell r="N319">
            <v>73640</v>
          </cell>
          <cell r="O319">
            <v>3478</v>
          </cell>
          <cell r="P319">
            <v>0</v>
          </cell>
          <cell r="Q319">
            <v>31336</v>
          </cell>
          <cell r="R319">
            <v>0</v>
          </cell>
          <cell r="S319">
            <v>5303</v>
          </cell>
          <cell r="T319">
            <v>8501</v>
          </cell>
          <cell r="U319">
            <v>0</v>
          </cell>
          <cell r="V319">
            <v>0</v>
          </cell>
          <cell r="W319">
            <v>0</v>
          </cell>
        </row>
        <row r="415">
          <cell r="H415">
            <v>3141922</v>
          </cell>
          <cell r="I415">
            <v>61607</v>
          </cell>
          <cell r="J415">
            <v>63845</v>
          </cell>
          <cell r="K415">
            <v>59376</v>
          </cell>
          <cell r="L415">
            <v>79769</v>
          </cell>
          <cell r="M415">
            <v>2205</v>
          </cell>
          <cell r="N415">
            <v>508469</v>
          </cell>
          <cell r="O415">
            <v>50799</v>
          </cell>
          <cell r="P415">
            <v>19098</v>
          </cell>
          <cell r="Q415">
            <v>261827</v>
          </cell>
          <cell r="R415">
            <v>0</v>
          </cell>
          <cell r="S415">
            <v>0</v>
          </cell>
          <cell r="T415">
            <v>49888</v>
          </cell>
          <cell r="U415">
            <v>0</v>
          </cell>
          <cell r="V415">
            <v>0</v>
          </cell>
          <cell r="W415">
            <v>0</v>
          </cell>
        </row>
        <row r="470">
          <cell r="H470">
            <v>2305833</v>
          </cell>
          <cell r="I470">
            <v>43550</v>
          </cell>
          <cell r="J470">
            <v>46814</v>
          </cell>
          <cell r="K470">
            <v>43537</v>
          </cell>
          <cell r="L470">
            <v>102694</v>
          </cell>
          <cell r="M470">
            <v>1620</v>
          </cell>
          <cell r="N470">
            <v>385817</v>
          </cell>
          <cell r="O470">
            <v>31402</v>
          </cell>
          <cell r="P470">
            <v>19996</v>
          </cell>
          <cell r="Q470">
            <v>192153</v>
          </cell>
          <cell r="R470">
            <v>0</v>
          </cell>
          <cell r="T470">
            <v>38349</v>
          </cell>
          <cell r="U470">
            <v>0</v>
          </cell>
          <cell r="V470">
            <v>66635</v>
          </cell>
          <cell r="W470">
            <v>113434</v>
          </cell>
        </row>
        <row r="502">
          <cell r="H502">
            <v>969891</v>
          </cell>
          <cell r="I502">
            <v>16405</v>
          </cell>
          <cell r="J502">
            <v>19753</v>
          </cell>
          <cell r="K502">
            <v>18370</v>
          </cell>
          <cell r="L502">
            <v>69494</v>
          </cell>
          <cell r="M502">
            <v>495</v>
          </cell>
          <cell r="N502">
            <v>132163</v>
          </cell>
          <cell r="O502">
            <v>19622</v>
          </cell>
          <cell r="P502">
            <v>3698</v>
          </cell>
          <cell r="Q502">
            <v>80824</v>
          </cell>
          <cell r="R502">
            <v>0</v>
          </cell>
          <cell r="S502">
            <v>6402</v>
          </cell>
          <cell r="T502">
            <v>9444</v>
          </cell>
          <cell r="U502">
            <v>0</v>
          </cell>
          <cell r="V502">
            <v>0</v>
          </cell>
          <cell r="W502">
            <v>0</v>
          </cell>
        </row>
        <row r="557">
          <cell r="H557">
            <v>2935413</v>
          </cell>
          <cell r="I557">
            <v>51606</v>
          </cell>
          <cell r="J557">
            <v>59486</v>
          </cell>
          <cell r="K557">
            <v>55322</v>
          </cell>
          <cell r="L557">
            <v>125338</v>
          </cell>
          <cell r="M557">
            <v>1710</v>
          </cell>
          <cell r="N557">
            <v>485370</v>
          </cell>
          <cell r="O557">
            <v>26638</v>
          </cell>
          <cell r="P557">
            <v>283523</v>
          </cell>
          <cell r="Q557">
            <v>244618</v>
          </cell>
          <cell r="R557">
            <v>0</v>
          </cell>
          <cell r="S557">
            <v>0</v>
          </cell>
          <cell r="T557">
            <v>51158</v>
          </cell>
          <cell r="U557">
            <v>0</v>
          </cell>
          <cell r="V557">
            <v>0</v>
          </cell>
          <cell r="W557">
            <v>90747</v>
          </cell>
        </row>
        <row r="567">
          <cell r="H567">
            <v>632543</v>
          </cell>
          <cell r="I567">
            <v>6925</v>
          </cell>
          <cell r="J567">
            <v>12780</v>
          </cell>
          <cell r="K567">
            <v>11886</v>
          </cell>
          <cell r="L567">
            <v>29837</v>
          </cell>
          <cell r="M567">
            <v>225</v>
          </cell>
          <cell r="N567">
            <v>131442</v>
          </cell>
          <cell r="O567">
            <v>0</v>
          </cell>
          <cell r="P567">
            <v>0</v>
          </cell>
          <cell r="Q567">
            <v>52712</v>
          </cell>
          <cell r="R567">
            <v>0</v>
          </cell>
          <cell r="S567">
            <v>0</v>
          </cell>
          <cell r="T567">
            <v>0</v>
          </cell>
          <cell r="U567">
            <v>12960</v>
          </cell>
          <cell r="W567">
            <v>0</v>
          </cell>
        </row>
        <row r="575">
          <cell r="Y575">
            <v>26127</v>
          </cell>
        </row>
        <row r="584">
          <cell r="Y584">
            <v>196983</v>
          </cell>
        </row>
      </sheetData>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o"/>
      <sheetName val="Index"/>
      <sheetName val="Mayor_speech_2-3"/>
      <sheetName val="Resolution_4"/>
      <sheetName val="Exec_Sum_7-9"/>
      <sheetName val="Schedule 1 - Rev by Source"/>
      <sheetName val="Schedule 2 -Opex by Vote"/>
      <sheetName val="Schedule 3(a) - Capex by GFS"/>
      <sheetName val="Schedule 4 - Capex Funding"/>
      <sheetName val=" Table 1 - Rev by Source"/>
      <sheetName val="Chart - Rev by Major Source"/>
      <sheetName val="Chart - Rev By Minor Source"/>
      <sheetName val="Table 2 - Opex by Vote"/>
      <sheetName val="Chart - Opex by Major Vote"/>
      <sheetName val="Chart - Opex by Minor Vote"/>
      <sheetName val="Table 3 - Capex by Vote"/>
      <sheetName val="Chart - Capex by Major Vote"/>
      <sheetName val="Chart - Capex by Minor Vote"/>
      <sheetName val="Table 4 - Capex Funding"/>
      <sheetName val="Chart - Capex Funding"/>
      <sheetName val="Table 5 - Sum of R&amp; E by Vote"/>
      <sheetName val="Table 6 - Exp by Type"/>
      <sheetName val="Chart - Opex by Major Nature"/>
      <sheetName val="Chart - Opex by Minor Nature"/>
      <sheetName val="S Table 1 - IDP Budget Rev "/>
      <sheetName val="S Table 2 - IDP Budget Opex"/>
      <sheetName val="S Table 3 - IDP Budget Capex"/>
      <sheetName val="S Table 4 - Investments"/>
      <sheetName val="S Table 4a - Investments"/>
      <sheetName val="S Table 5-Allocations Received"/>
      <sheetName val="S Table 6 - New Borrowing"/>
      <sheetName val="S Table 7 - Allocations Made"/>
      <sheetName val="S Table 8 - Salaries etc"/>
      <sheetName val="S Table 8a - Personnel Costs"/>
      <sheetName val="S Table 8b - Personnel Numbers"/>
      <sheetName val="STable 9 - Cash Flow Projection"/>
      <sheetName val="STable 10 - Performance by Vote"/>
      <sheetName val="STable 11 - Capex by Category"/>
      <sheetName val="SDBIP_61"/>
      <sheetName val="Bdgt_GRAP_10-50"/>
      <sheetName val="Funding_65"/>
      <sheetName val="Funding_66"/>
      <sheetName val="Salaries_67"/>
      <sheetName val="Salaries_68"/>
      <sheetName val="Cashflow_69"/>
      <sheetName val="Capex_70"/>
      <sheetName val="Levie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9">
          <cell r="H29">
            <v>1617</v>
          </cell>
        </row>
        <row r="30">
          <cell r="H30">
            <v>45</v>
          </cell>
        </row>
        <row r="31">
          <cell r="H31">
            <v>19501</v>
          </cell>
        </row>
        <row r="32">
          <cell r="H32">
            <v>1376905</v>
          </cell>
        </row>
        <row r="33">
          <cell r="H33">
            <v>105732</v>
          </cell>
        </row>
        <row r="34">
          <cell r="H34">
            <v>458968</v>
          </cell>
        </row>
        <row r="35">
          <cell r="H35">
            <v>18136</v>
          </cell>
        </row>
      </sheetData>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
  <sheetViews>
    <sheetView workbookViewId="0">
      <selection activeCell="A4" sqref="A4:I4"/>
    </sheetView>
  </sheetViews>
  <sheetFormatPr defaultRowHeight="12.75" x14ac:dyDescent="0.2"/>
  <cols>
    <col min="1" max="16384" width="9.33203125" style="2"/>
  </cols>
  <sheetData>
    <row r="2" spans="1:13" ht="20.25" x14ac:dyDescent="0.3">
      <c r="A2" s="752" t="s">
        <v>451</v>
      </c>
      <c r="B2" s="752"/>
      <c r="C2" s="752"/>
      <c r="D2" s="752"/>
      <c r="E2" s="752"/>
      <c r="F2" s="752"/>
      <c r="G2" s="752"/>
      <c r="H2" s="752"/>
      <c r="I2" s="752"/>
      <c r="J2" s="1"/>
      <c r="K2" s="1"/>
      <c r="L2" s="1"/>
      <c r="M2" s="1"/>
    </row>
    <row r="4" spans="1:13" ht="18" x14ac:dyDescent="0.25">
      <c r="A4" s="753" t="s">
        <v>713</v>
      </c>
      <c r="B4" s="753"/>
      <c r="C4" s="753"/>
      <c r="D4" s="753"/>
      <c r="E4" s="753"/>
      <c r="F4" s="753"/>
      <c r="G4" s="753"/>
      <c r="H4" s="753"/>
      <c r="I4" s="753"/>
      <c r="J4" s="3"/>
      <c r="K4" s="3"/>
      <c r="L4" s="3"/>
      <c r="M4" s="3"/>
    </row>
  </sheetData>
  <mergeCells count="2">
    <mergeCell ref="A2:I2"/>
    <mergeCell ref="A4:I4"/>
  </mergeCells>
  <phoneticPr fontId="20" type="noConversion"/>
  <printOptions horizontalCentered="1"/>
  <pageMargins left="0.74803149606299213" right="0.74803149606299213" top="0.98425196850393704" bottom="0.98425196850393704" header="0.51181102362204722" footer="0.51181102362204722"/>
  <pageSetup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5"/>
  <sheetViews>
    <sheetView view="pageBreakPreview" topLeftCell="A3" zoomScaleNormal="100" workbookViewId="0">
      <selection activeCell="C12" sqref="C12"/>
    </sheetView>
  </sheetViews>
  <sheetFormatPr defaultColWidth="10.6640625" defaultRowHeight="12.75" x14ac:dyDescent="0.2"/>
  <cols>
    <col min="1" max="1" width="36.33203125" style="264" customWidth="1"/>
    <col min="2" max="22" width="12.5" style="264" customWidth="1"/>
    <col min="23" max="16384" width="10.6640625" style="264"/>
  </cols>
  <sheetData>
    <row r="1" spans="1:22" x14ac:dyDescent="0.2">
      <c r="A1" s="272"/>
    </row>
    <row r="3" spans="1:22" ht="13.5" thickBot="1" x14ac:dyDescent="0.25"/>
    <row r="4" spans="1:22" ht="20.100000000000001" customHeight="1" x14ac:dyDescent="0.2">
      <c r="A4" s="341" t="s">
        <v>734</v>
      </c>
      <c r="B4" s="390" t="s">
        <v>4094</v>
      </c>
      <c r="C4" s="342"/>
      <c r="D4" s="342"/>
      <c r="E4" s="343"/>
      <c r="F4" s="342"/>
      <c r="G4" s="342"/>
      <c r="H4" s="344"/>
      <c r="I4" s="391" t="s">
        <v>4095</v>
      </c>
      <c r="J4" s="342"/>
      <c r="K4" s="342"/>
      <c r="L4" s="342"/>
      <c r="M4" s="342"/>
      <c r="N4" s="342"/>
      <c r="O4" s="344"/>
      <c r="P4" s="391" t="s">
        <v>4096</v>
      </c>
      <c r="Q4" s="342"/>
      <c r="R4" s="342"/>
      <c r="S4" s="342"/>
      <c r="T4" s="342"/>
      <c r="U4" s="342"/>
      <c r="V4" s="344"/>
    </row>
    <row r="5" spans="1:22" ht="20.100000000000001" customHeight="1" x14ac:dyDescent="0.2">
      <c r="A5" s="345"/>
      <c r="B5" s="346" t="s">
        <v>4143</v>
      </c>
      <c r="C5" s="262"/>
      <c r="D5" s="263"/>
      <c r="E5" s="262" t="s">
        <v>4144</v>
      </c>
      <c r="F5" s="262"/>
      <c r="G5" s="263"/>
      <c r="H5" s="347" t="s">
        <v>735</v>
      </c>
      <c r="I5" s="346" t="s">
        <v>4143</v>
      </c>
      <c r="J5" s="262"/>
      <c r="K5" s="263"/>
      <c r="L5" s="348" t="s">
        <v>4144</v>
      </c>
      <c r="M5" s="262"/>
      <c r="N5" s="263"/>
      <c r="O5" s="347" t="s">
        <v>735</v>
      </c>
      <c r="P5" s="346" t="s">
        <v>4143</v>
      </c>
      <c r="Q5" s="262"/>
      <c r="R5" s="263"/>
      <c r="S5" s="262" t="s">
        <v>4144</v>
      </c>
      <c r="T5" s="262"/>
      <c r="U5" s="263"/>
      <c r="V5" s="347" t="s">
        <v>735</v>
      </c>
    </row>
    <row r="6" spans="1:22" ht="20.100000000000001" customHeight="1" x14ac:dyDescent="0.2">
      <c r="A6" s="349" t="s">
        <v>736</v>
      </c>
      <c r="B6" s="350" t="s">
        <v>737</v>
      </c>
      <c r="C6" s="351" t="s">
        <v>738</v>
      </c>
      <c r="D6" s="352" t="s">
        <v>449</v>
      </c>
      <c r="E6" s="353" t="s">
        <v>739</v>
      </c>
      <c r="F6" s="351" t="s">
        <v>4145</v>
      </c>
      <c r="G6" s="352" t="s">
        <v>449</v>
      </c>
      <c r="H6" s="354" t="s">
        <v>4146</v>
      </c>
      <c r="I6" s="355" t="s">
        <v>737</v>
      </c>
      <c r="J6" s="356" t="s">
        <v>738</v>
      </c>
      <c r="K6" s="327" t="s">
        <v>449</v>
      </c>
      <c r="L6" s="353" t="s">
        <v>739</v>
      </c>
      <c r="M6" s="356" t="s">
        <v>4145</v>
      </c>
      <c r="N6" s="352" t="s">
        <v>449</v>
      </c>
      <c r="O6" s="354" t="s">
        <v>4146</v>
      </c>
      <c r="P6" s="357" t="s">
        <v>737</v>
      </c>
      <c r="Q6" s="356" t="s">
        <v>738</v>
      </c>
      <c r="R6" s="352" t="s">
        <v>449</v>
      </c>
      <c r="S6" s="353" t="s">
        <v>739</v>
      </c>
      <c r="T6" s="356" t="s">
        <v>4145</v>
      </c>
      <c r="U6" s="352" t="s">
        <v>449</v>
      </c>
      <c r="V6" s="354" t="s">
        <v>4146</v>
      </c>
    </row>
    <row r="7" spans="1:22" ht="20.100000000000001" customHeight="1" thickBot="1" x14ac:dyDescent="0.25">
      <c r="A7" s="358" t="s">
        <v>740</v>
      </c>
      <c r="B7" s="359" t="s">
        <v>1109</v>
      </c>
      <c r="C7" s="360" t="s">
        <v>1109</v>
      </c>
      <c r="D7" s="360" t="s">
        <v>1109</v>
      </c>
      <c r="E7" s="360" t="s">
        <v>1109</v>
      </c>
      <c r="F7" s="360" t="s">
        <v>1109</v>
      </c>
      <c r="G7" s="360" t="s">
        <v>1109</v>
      </c>
      <c r="H7" s="361" t="s">
        <v>1109</v>
      </c>
      <c r="I7" s="362" t="s">
        <v>1109</v>
      </c>
      <c r="J7" s="360" t="s">
        <v>1109</v>
      </c>
      <c r="K7" s="360" t="s">
        <v>1109</v>
      </c>
      <c r="L7" s="360" t="s">
        <v>1109</v>
      </c>
      <c r="M7" s="360" t="s">
        <v>1109</v>
      </c>
      <c r="N7" s="360" t="s">
        <v>1109</v>
      </c>
      <c r="O7" s="361" t="s">
        <v>1109</v>
      </c>
      <c r="P7" s="362" t="s">
        <v>1109</v>
      </c>
      <c r="Q7" s="360" t="s">
        <v>1109</v>
      </c>
      <c r="R7" s="360" t="s">
        <v>1109</v>
      </c>
      <c r="S7" s="360" t="s">
        <v>1109</v>
      </c>
      <c r="T7" s="360" t="s">
        <v>1109</v>
      </c>
      <c r="U7" s="360" t="s">
        <v>1109</v>
      </c>
      <c r="V7" s="361" t="s">
        <v>1109</v>
      </c>
    </row>
    <row r="8" spans="1:22" ht="20.100000000000001" customHeight="1" x14ac:dyDescent="0.2">
      <c r="A8" s="363"/>
      <c r="B8" s="364"/>
      <c r="C8" s="365"/>
      <c r="D8" s="366"/>
      <c r="E8" s="367"/>
      <c r="F8" s="365"/>
      <c r="G8" s="366"/>
      <c r="H8" s="368"/>
      <c r="I8" s="369"/>
      <c r="J8" s="365"/>
      <c r="K8" s="365"/>
      <c r="L8" s="365"/>
      <c r="M8" s="365"/>
      <c r="N8" s="365"/>
      <c r="O8" s="370"/>
      <c r="P8" s="369"/>
      <c r="Q8" s="365"/>
      <c r="R8" s="365"/>
      <c r="S8" s="365"/>
      <c r="T8" s="365"/>
      <c r="U8" s="365"/>
      <c r="V8" s="370"/>
    </row>
    <row r="9" spans="1:22" ht="20.100000000000001" customHeight="1" x14ac:dyDescent="0.2">
      <c r="A9" s="345"/>
      <c r="B9" s="371"/>
      <c r="C9" s="297"/>
      <c r="D9" s="297"/>
      <c r="E9" s="297"/>
      <c r="F9" s="297"/>
      <c r="G9" s="297"/>
      <c r="H9" s="401"/>
      <c r="I9" s="371"/>
      <c r="J9" s="297"/>
      <c r="K9" s="297"/>
      <c r="L9" s="297"/>
      <c r="M9" s="297"/>
      <c r="N9" s="297"/>
      <c r="O9" s="401"/>
      <c r="P9" s="371"/>
      <c r="Q9" s="297"/>
      <c r="R9" s="297"/>
      <c r="S9" s="297"/>
      <c r="T9" s="297"/>
      <c r="U9" s="297"/>
      <c r="V9" s="401"/>
    </row>
    <row r="10" spans="1:22" ht="20.100000000000001" customHeight="1" x14ac:dyDescent="0.2">
      <c r="A10" s="372" t="s">
        <v>741</v>
      </c>
      <c r="B10" s="243">
        <f>'Table 3 - Capex by Vote'!F8</f>
        <v>1633870</v>
      </c>
      <c r="C10" s="243">
        <f>'Schedule 2 -Opex by Vote_6'!F8</f>
        <v>8941513</v>
      </c>
      <c r="D10" s="397">
        <f>B10+C10</f>
        <v>10575383</v>
      </c>
      <c r="E10" s="397">
        <f t="shared" ref="E10:E23" si="0">D10-F10+H10</f>
        <v>3293094</v>
      </c>
      <c r="F10" s="397">
        <f>B10</f>
        <v>1633870</v>
      </c>
      <c r="G10" s="397">
        <f>E10+F10</f>
        <v>4926964</v>
      </c>
      <c r="H10" s="401">
        <f>'OPEX_ Bdgt_F'!H101+'OPEX_ Bdgt_F'!H228+'OPEX_ Bdgt_F'!H306+'OPEX_ Bdgt_F'!H399+'OPEX_ Bdgt_F'!H475+'OPEX_ Bdgt_F'!H561</f>
        <v>-5648419</v>
      </c>
      <c r="I10" s="243">
        <f>'Table 3 - Capex by Vote'!G8</f>
        <v>0</v>
      </c>
      <c r="J10" s="243">
        <f>'Schedule 2 -Opex by Vote_6'!G8</f>
        <v>9591984</v>
      </c>
      <c r="K10" s="397">
        <f>I10+J10</f>
        <v>9591984</v>
      </c>
      <c r="L10" s="397">
        <f>K10-M10+O10</f>
        <v>695000</v>
      </c>
      <c r="M10" s="297">
        <v>0</v>
      </c>
      <c r="N10" s="397">
        <f>L10+M10</f>
        <v>695000</v>
      </c>
      <c r="O10" s="401">
        <f>'OPEX_ Bdgt_F'!I101+'OPEX_ Bdgt_F'!I228+'OPEX_ Bdgt_F'!I306+'OPEX_ Bdgt_F'!I399+'OPEX_ Bdgt_F'!I475+'OPEX_ Bdgt_F'!I561</f>
        <v>-8896984</v>
      </c>
      <c r="P10" s="243">
        <f>'Table 3 - Capex by Vote'!H8</f>
        <v>0</v>
      </c>
      <c r="Q10" s="243">
        <f>'Schedule 2 -Opex by Vote_6'!H8</f>
        <v>10318335</v>
      </c>
      <c r="R10" s="397">
        <f>P10+Q10</f>
        <v>10318335</v>
      </c>
      <c r="S10" s="397">
        <f>R10-T10+V10</f>
        <v>729000</v>
      </c>
      <c r="T10" s="297">
        <v>0</v>
      </c>
      <c r="U10" s="397">
        <f>S10+T10</f>
        <v>729000</v>
      </c>
      <c r="V10" s="401">
        <f>'OPEX_ Bdgt_F'!J101+'OPEX_ Bdgt_F'!J228+'OPEX_ Bdgt_F'!J306+'OPEX_ Bdgt_F'!J399+'OPEX_ Bdgt_F'!J475+'OPEX_ Bdgt_F'!J561</f>
        <v>-9589335</v>
      </c>
    </row>
    <row r="11" spans="1:22" ht="20.100000000000001" customHeight="1" x14ac:dyDescent="0.2">
      <c r="A11" s="372" t="s">
        <v>4372</v>
      </c>
      <c r="B11" s="243">
        <f>'Table 3 - Capex by Vote'!F9</f>
        <v>47000000</v>
      </c>
      <c r="C11" s="243">
        <f>'Schedule 2 -Opex by Vote_6'!F9</f>
        <v>21068441</v>
      </c>
      <c r="D11" s="397">
        <f t="shared" ref="D11:D22" si="1">B11+C11</f>
        <v>68068441</v>
      </c>
      <c r="E11" s="397">
        <f t="shared" si="0"/>
        <v>41207340</v>
      </c>
      <c r="F11" s="397">
        <f>B11-2000000</f>
        <v>45000000</v>
      </c>
      <c r="G11" s="397">
        <f t="shared" ref="G11:G23" si="2">E11+F11</f>
        <v>86207340</v>
      </c>
      <c r="H11" s="401">
        <f>'OPEX_ Bdgt_F'!H704+'OPEX_ Bdgt_F'!H782+'OPEX_ Bdgt_F'!H855+'OPEX_ Bdgt_F'!H955+'OPEX_ Bdgt_F'!H1002+'OPEX_ Bdgt_F'!H1059+'OPEX_ Bdgt_F'!H1166+'OPEX_ Bdgt_F'!H1283</f>
        <v>18138899</v>
      </c>
      <c r="I11" s="243">
        <f>'Table 3 - Capex by Vote'!G9</f>
        <v>0</v>
      </c>
      <c r="J11" s="243">
        <f>'Schedule 2 -Opex by Vote_6'!G9</f>
        <v>21449825</v>
      </c>
      <c r="K11" s="397">
        <f t="shared" ref="K11:K23" si="3">I11+J11</f>
        <v>21449825</v>
      </c>
      <c r="L11" s="397">
        <f t="shared" ref="L11:L23" si="4">K11-M11+O11</f>
        <v>44598801</v>
      </c>
      <c r="M11" s="297">
        <v>0</v>
      </c>
      <c r="N11" s="397">
        <f t="shared" ref="N11:N23" si="5">L11+M11</f>
        <v>44598801</v>
      </c>
      <c r="O11" s="401">
        <f>'OPEX_ Bdgt_F'!I704+'OPEX_ Bdgt_F'!I782+'OPEX_ Bdgt_F'!I855+'OPEX_ Bdgt_F'!I955+'OPEX_ Bdgt_F'!I1002+'OPEX_ Bdgt_F'!I1059+'OPEX_ Bdgt_F'!I1166+'OPEX_ Bdgt_F'!I1283</f>
        <v>23148976</v>
      </c>
      <c r="P11" s="243">
        <f>'Table 3 - Capex by Vote'!H9</f>
        <v>0</v>
      </c>
      <c r="Q11" s="243">
        <f>'Schedule 2 -Opex by Vote_6'!H9</f>
        <v>22732583</v>
      </c>
      <c r="R11" s="397">
        <f t="shared" ref="R11:R23" si="6">P11+Q11</f>
        <v>22732583</v>
      </c>
      <c r="S11" s="397">
        <f t="shared" ref="S11:S23" si="7">R11-T11+V11</f>
        <v>52125017</v>
      </c>
      <c r="T11" s="297">
        <v>0</v>
      </c>
      <c r="U11" s="397">
        <f t="shared" ref="U11:U23" si="8">S11+T11</f>
        <v>52125017</v>
      </c>
      <c r="V11" s="401">
        <f>'OPEX_ Bdgt_F'!J704+'OPEX_ Bdgt_F'!J782+'OPEX_ Bdgt_F'!J855+'OPEX_ Bdgt_F'!J955+'OPEX_ Bdgt_F'!J1002+'OPEX_ Bdgt_F'!J1059+'OPEX_ Bdgt_F'!J1166+'OPEX_ Bdgt_F'!J1283</f>
        <v>29392434</v>
      </c>
    </row>
    <row r="12" spans="1:22" ht="20.100000000000001" customHeight="1" x14ac:dyDescent="0.2">
      <c r="A12" s="372" t="s">
        <v>742</v>
      </c>
      <c r="B12" s="243">
        <f>'Table 3 - Capex by Vote'!F10</f>
        <v>2220000</v>
      </c>
      <c r="C12" s="243">
        <f>'Schedule 2 -Opex by Vote_6'!F10</f>
        <v>1966028</v>
      </c>
      <c r="D12" s="397">
        <f t="shared" si="1"/>
        <v>4186028</v>
      </c>
      <c r="E12" s="397">
        <f t="shared" si="0"/>
        <v>0</v>
      </c>
      <c r="F12" s="397">
        <f>B12</f>
        <v>2220000</v>
      </c>
      <c r="G12" s="397">
        <f t="shared" si="2"/>
        <v>2220000</v>
      </c>
      <c r="H12" s="401">
        <f>'OPEX_ Bdgt_F'!H1417</f>
        <v>-1966028</v>
      </c>
      <c r="I12" s="243">
        <f>'Table 3 - Capex by Vote'!G10</f>
        <v>0</v>
      </c>
      <c r="J12" s="243">
        <f>'Schedule 2 -Opex by Vote_6'!G10</f>
        <v>2587468</v>
      </c>
      <c r="K12" s="397">
        <f t="shared" si="3"/>
        <v>2587468</v>
      </c>
      <c r="L12" s="397">
        <f t="shared" si="4"/>
        <v>0</v>
      </c>
      <c r="M12" s="297">
        <v>0</v>
      </c>
      <c r="N12" s="397">
        <f t="shared" si="5"/>
        <v>0</v>
      </c>
      <c r="O12" s="401">
        <f>'OPEX_ Bdgt_F'!I1417</f>
        <v>-2587468</v>
      </c>
      <c r="P12" s="243">
        <f>'Table 3 - Capex by Vote'!H10</f>
        <v>0</v>
      </c>
      <c r="Q12" s="243">
        <f>'Schedule 2 -Opex by Vote_6'!H10</f>
        <v>2739372</v>
      </c>
      <c r="R12" s="397">
        <f t="shared" si="6"/>
        <v>2739372</v>
      </c>
      <c r="S12" s="397">
        <f t="shared" si="7"/>
        <v>0</v>
      </c>
      <c r="T12" s="297">
        <v>0</v>
      </c>
      <c r="U12" s="397">
        <f t="shared" si="8"/>
        <v>0</v>
      </c>
      <c r="V12" s="401">
        <f>'OPEX_ Bdgt_F'!J1417</f>
        <v>-2739372</v>
      </c>
    </row>
    <row r="13" spans="1:22" ht="20.100000000000001" customHeight="1" x14ac:dyDescent="0.2">
      <c r="A13" s="372" t="s">
        <v>4374</v>
      </c>
      <c r="B13" s="243">
        <f>'Table 3 - Capex by Vote'!F11</f>
        <v>1500000</v>
      </c>
      <c r="C13" s="243">
        <f>'Schedule 2 -Opex by Vote_6'!F11</f>
        <v>216573</v>
      </c>
      <c r="D13" s="397">
        <f t="shared" si="1"/>
        <v>1716573</v>
      </c>
      <c r="E13" s="397">
        <f t="shared" si="0"/>
        <v>1716573</v>
      </c>
      <c r="F13" s="297">
        <v>0</v>
      </c>
      <c r="G13" s="397">
        <f t="shared" si="2"/>
        <v>1716573</v>
      </c>
      <c r="H13" s="401">
        <f>'OPEX_ Bdgt_F'!H1463</f>
        <v>0</v>
      </c>
      <c r="I13" s="243">
        <f>'Table 3 - Capex by Vote'!G11</f>
        <v>2000000</v>
      </c>
      <c r="J13" s="243">
        <f>'Schedule 2 -Opex by Vote_6'!G11</f>
        <v>233542</v>
      </c>
      <c r="K13" s="397">
        <f t="shared" si="3"/>
        <v>2233542</v>
      </c>
      <c r="L13" s="397">
        <f t="shared" si="4"/>
        <v>2233542</v>
      </c>
      <c r="M13" s="297">
        <v>0</v>
      </c>
      <c r="N13" s="397">
        <f t="shared" si="5"/>
        <v>2233542</v>
      </c>
      <c r="O13" s="401">
        <f>'OPEX_ Bdgt_F'!I1463</f>
        <v>0</v>
      </c>
      <c r="P13" s="243">
        <f>'Table 3 - Capex by Vote'!H11</f>
        <v>0</v>
      </c>
      <c r="Q13" s="243">
        <f>'Schedule 2 -Opex by Vote_6'!H11</f>
        <v>251849</v>
      </c>
      <c r="R13" s="397">
        <f t="shared" si="6"/>
        <v>251849</v>
      </c>
      <c r="S13" s="397">
        <f t="shared" si="7"/>
        <v>251849</v>
      </c>
      <c r="T13" s="297">
        <v>0</v>
      </c>
      <c r="U13" s="397">
        <f t="shared" si="8"/>
        <v>251849</v>
      </c>
      <c r="V13" s="401">
        <f>'OPEX_ Bdgt_F'!J1463</f>
        <v>0</v>
      </c>
    </row>
    <row r="14" spans="1:22" ht="20.100000000000001" customHeight="1" x14ac:dyDescent="0.2">
      <c r="A14" s="373" t="s">
        <v>4375</v>
      </c>
      <c r="B14" s="243">
        <f>'Table 3 - Capex by Vote'!F12</f>
        <v>0</v>
      </c>
      <c r="C14" s="243">
        <f>'Schedule 2 -Opex by Vote_6'!F12</f>
        <v>2951771</v>
      </c>
      <c r="D14" s="397">
        <f t="shared" si="1"/>
        <v>2951771</v>
      </c>
      <c r="E14" s="397">
        <f t="shared" si="0"/>
        <v>1296020</v>
      </c>
      <c r="F14" s="297">
        <v>0</v>
      </c>
      <c r="G14" s="397">
        <f t="shared" si="2"/>
        <v>1296020</v>
      </c>
      <c r="H14" s="401">
        <f>'OPEX_ Bdgt_F'!H1556+'OPEX_ Bdgt_F'!H1653+'OPEX_ Bdgt_F'!H1724+'OPEX_ Bdgt_F'!H1780</f>
        <v>-1655751</v>
      </c>
      <c r="I14" s="243">
        <f>'Table 3 - Capex by Vote'!G12</f>
        <v>0</v>
      </c>
      <c r="J14" s="243">
        <f>'Schedule 2 -Opex by Vote_6'!G12</f>
        <v>3164735</v>
      </c>
      <c r="K14" s="397">
        <f t="shared" si="3"/>
        <v>3164735</v>
      </c>
      <c r="L14" s="397">
        <f t="shared" si="4"/>
        <v>1397181</v>
      </c>
      <c r="M14" s="297">
        <v>0</v>
      </c>
      <c r="N14" s="397">
        <f t="shared" si="5"/>
        <v>1397181</v>
      </c>
      <c r="O14" s="401">
        <f>'OPEX_ Bdgt_F'!I1556+'OPEX_ Bdgt_F'!I1653+'OPEX_ Bdgt_F'!I1724+'OPEX_ Bdgt_F'!I1780</f>
        <v>-1767554</v>
      </c>
      <c r="P14" s="243">
        <f>'Table 3 - Capex by Vote'!H12</f>
        <v>0</v>
      </c>
      <c r="Q14" s="243">
        <f>'Schedule 2 -Opex by Vote_6'!H12</f>
        <v>3393254</v>
      </c>
      <c r="R14" s="397">
        <f t="shared" si="6"/>
        <v>3393254</v>
      </c>
      <c r="S14" s="397">
        <f t="shared" si="7"/>
        <v>1506292</v>
      </c>
      <c r="T14" s="297"/>
      <c r="U14" s="397">
        <f t="shared" si="8"/>
        <v>1506292</v>
      </c>
      <c r="V14" s="401">
        <f>'OPEX_ Bdgt_F'!J1556+'OPEX_ Bdgt_F'!J1653+'OPEX_ Bdgt_F'!J1724+'OPEX_ Bdgt_F'!J1780</f>
        <v>-1886962</v>
      </c>
    </row>
    <row r="15" spans="1:22" ht="20.100000000000001" customHeight="1" x14ac:dyDescent="0.2">
      <c r="A15" s="372" t="s">
        <v>4376</v>
      </c>
      <c r="B15" s="243">
        <f>'Table 3 - Capex by Vote'!F13</f>
        <v>0</v>
      </c>
      <c r="C15" s="243">
        <f>'Schedule 2 -Opex by Vote_6'!F13</f>
        <v>864992</v>
      </c>
      <c r="D15" s="397">
        <f t="shared" si="1"/>
        <v>864992</v>
      </c>
      <c r="E15" s="397">
        <f t="shared" si="0"/>
        <v>295763</v>
      </c>
      <c r="F15" s="297">
        <v>0</v>
      </c>
      <c r="G15" s="397">
        <f t="shared" si="2"/>
        <v>295763</v>
      </c>
      <c r="H15" s="401">
        <f>'OPEX_ Bdgt_F'!H1885</f>
        <v>-569229</v>
      </c>
      <c r="I15" s="243">
        <f>'Table 3 - Capex by Vote'!G13</f>
        <v>0</v>
      </c>
      <c r="J15" s="243">
        <f>'Schedule 2 -Opex by Vote_6'!G13</f>
        <v>933759</v>
      </c>
      <c r="K15" s="397">
        <f t="shared" si="3"/>
        <v>933759</v>
      </c>
      <c r="L15" s="397">
        <f t="shared" si="4"/>
        <v>313509</v>
      </c>
      <c r="M15" s="297">
        <v>0</v>
      </c>
      <c r="N15" s="397">
        <f t="shared" si="5"/>
        <v>313509</v>
      </c>
      <c r="O15" s="401">
        <f>'OPEX_ Bdgt_F'!I1885</f>
        <v>-620250</v>
      </c>
      <c r="P15" s="243">
        <f>'Table 3 - Capex by Vote'!H13</f>
        <v>0</v>
      </c>
      <c r="Q15" s="243">
        <f>'Schedule 2 -Opex by Vote_6'!H13</f>
        <v>1008000</v>
      </c>
      <c r="R15" s="397">
        <f t="shared" si="6"/>
        <v>1008000</v>
      </c>
      <c r="S15" s="397">
        <f t="shared" si="7"/>
        <v>332319</v>
      </c>
      <c r="T15" s="297">
        <v>0</v>
      </c>
      <c r="U15" s="397">
        <f t="shared" si="8"/>
        <v>332319</v>
      </c>
      <c r="V15" s="401">
        <f>'OPEX_ Bdgt_F'!J1885</f>
        <v>-675681</v>
      </c>
    </row>
    <row r="16" spans="1:22" ht="20.100000000000001" customHeight="1" x14ac:dyDescent="0.2">
      <c r="A16" s="372" t="s">
        <v>4377</v>
      </c>
      <c r="B16" s="243">
        <f>'Table 3 - Capex by Vote'!F14</f>
        <v>0</v>
      </c>
      <c r="C16" s="243">
        <f>'Schedule 2 -Opex by Vote_6'!F14</f>
        <v>2635680</v>
      </c>
      <c r="D16" s="397">
        <f t="shared" si="1"/>
        <v>2635680</v>
      </c>
      <c r="E16" s="397">
        <f t="shared" si="0"/>
        <v>1249278</v>
      </c>
      <c r="F16" s="297">
        <v>0</v>
      </c>
      <c r="G16" s="397">
        <f t="shared" si="2"/>
        <v>1249278</v>
      </c>
      <c r="H16" s="401">
        <f>'OPEX_ Bdgt_F'!H1965+'OPEX_ Bdgt_F'!H2006+'OPEX_ Bdgt_F'!H2105</f>
        <v>-1386402</v>
      </c>
      <c r="I16" s="243">
        <f>'Table 3 - Capex by Vote'!G14</f>
        <v>0</v>
      </c>
      <c r="J16" s="243">
        <f>'Schedule 2 -Opex by Vote_6'!G14</f>
        <v>2811797</v>
      </c>
      <c r="K16" s="397">
        <f t="shared" si="3"/>
        <v>2811797</v>
      </c>
      <c r="L16" s="397">
        <f t="shared" si="4"/>
        <v>1322833</v>
      </c>
      <c r="M16" s="297">
        <v>0</v>
      </c>
      <c r="N16" s="397">
        <f t="shared" si="5"/>
        <v>1322833</v>
      </c>
      <c r="O16" s="401">
        <f>'OPEX_ Bdgt_F'!I1965+'OPEX_ Bdgt_F'!I2006+'OPEX_ Bdgt_F'!I2105</f>
        <v>-1488964</v>
      </c>
      <c r="P16" s="243">
        <f>'Table 3 - Capex by Vote'!H14</f>
        <v>0</v>
      </c>
      <c r="Q16" s="243">
        <f>'Schedule 2 -Opex by Vote_6'!H14</f>
        <v>2999965</v>
      </c>
      <c r="R16" s="397">
        <f t="shared" si="6"/>
        <v>2999965</v>
      </c>
      <c r="S16" s="397">
        <f t="shared" si="7"/>
        <v>1400732</v>
      </c>
      <c r="T16" s="297">
        <v>0</v>
      </c>
      <c r="U16" s="397">
        <f t="shared" si="8"/>
        <v>1400732</v>
      </c>
      <c r="V16" s="401">
        <f>'OPEX_ Bdgt_F'!J1965+'OPEX_ Bdgt_F'!J2006+'OPEX_ Bdgt_F'!J2105</f>
        <v>-1599233</v>
      </c>
    </row>
    <row r="17" spans="1:22" ht="20.100000000000001" customHeight="1" x14ac:dyDescent="0.2">
      <c r="A17" s="372" t="s">
        <v>743</v>
      </c>
      <c r="B17" s="243">
        <f>'Table 3 - Capex by Vote'!F15</f>
        <v>0</v>
      </c>
      <c r="C17" s="243">
        <f>'Schedule 2 -Opex by Vote_6'!F15</f>
        <v>3064690</v>
      </c>
      <c r="D17" s="397">
        <f t="shared" si="1"/>
        <v>3064690</v>
      </c>
      <c r="E17" s="397">
        <f t="shared" si="0"/>
        <v>5826</v>
      </c>
      <c r="F17" s="297">
        <v>0</v>
      </c>
      <c r="G17" s="397">
        <f t="shared" si="2"/>
        <v>5826</v>
      </c>
      <c r="H17" s="401">
        <f>'OPEX_ Bdgt_F'!H2195+'OPEX_ Bdgt_F'!H2262</f>
        <v>-3058864</v>
      </c>
      <c r="I17" s="243">
        <f>'Table 3 - Capex by Vote'!G15</f>
        <v>0</v>
      </c>
      <c r="J17" s="243">
        <f>'Schedule 2 -Opex by Vote_6'!G15</f>
        <v>3317579</v>
      </c>
      <c r="K17" s="397">
        <f t="shared" si="3"/>
        <v>3317579</v>
      </c>
      <c r="L17" s="397">
        <f t="shared" si="4"/>
        <v>6176</v>
      </c>
      <c r="M17" s="297">
        <v>0</v>
      </c>
      <c r="N17" s="397">
        <f t="shared" si="5"/>
        <v>6176</v>
      </c>
      <c r="O17" s="401">
        <f>'OPEX_ Bdgt_F'!I2195+'OPEX_ Bdgt_F'!I2262</f>
        <v>-3311403</v>
      </c>
      <c r="P17" s="243">
        <f>'Table 3 - Capex by Vote'!H15</f>
        <v>0</v>
      </c>
      <c r="Q17" s="243">
        <f>'Schedule 2 -Opex by Vote_6'!H15</f>
        <v>3593454</v>
      </c>
      <c r="R17" s="397">
        <f t="shared" si="6"/>
        <v>3593454</v>
      </c>
      <c r="S17" s="397">
        <f t="shared" si="7"/>
        <v>6547</v>
      </c>
      <c r="T17" s="297">
        <v>0</v>
      </c>
      <c r="U17" s="397">
        <f t="shared" si="8"/>
        <v>6547</v>
      </c>
      <c r="V17" s="401">
        <f>'OPEX_ Bdgt_F'!J2195+'OPEX_ Bdgt_F'!J2262</f>
        <v>-3586907</v>
      </c>
    </row>
    <row r="18" spans="1:22" ht="20.100000000000001" customHeight="1" x14ac:dyDescent="0.2">
      <c r="A18" s="372" t="s">
        <v>4379</v>
      </c>
      <c r="B18" s="243">
        <f>'Table 3 - Capex by Vote'!F16</f>
        <v>0</v>
      </c>
      <c r="C18" s="243">
        <f>'Schedule 2 -Opex by Vote_6'!F16</f>
        <v>7923143</v>
      </c>
      <c r="D18" s="397">
        <f t="shared" si="1"/>
        <v>7923143</v>
      </c>
      <c r="E18" s="397">
        <f t="shared" si="0"/>
        <v>7923143</v>
      </c>
      <c r="F18" s="297">
        <v>0</v>
      </c>
      <c r="G18" s="397">
        <f t="shared" si="2"/>
        <v>7923143</v>
      </c>
      <c r="H18" s="401">
        <f>'OPEX_ Bdgt_F'!H2388</f>
        <v>0</v>
      </c>
      <c r="I18" s="243">
        <f>'Table 3 - Capex by Vote'!G16</f>
        <v>0</v>
      </c>
      <c r="J18" s="243">
        <f>'Schedule 2 -Opex by Vote_6'!G16</f>
        <v>8593247</v>
      </c>
      <c r="K18" s="397">
        <f t="shared" si="3"/>
        <v>8593247</v>
      </c>
      <c r="L18" s="397">
        <f t="shared" si="4"/>
        <v>8593247</v>
      </c>
      <c r="M18" s="297">
        <v>0</v>
      </c>
      <c r="N18" s="397">
        <f t="shared" si="5"/>
        <v>8593247</v>
      </c>
      <c r="O18" s="401">
        <f>'OPEX_ Bdgt_F'!I2388</f>
        <v>0</v>
      </c>
      <c r="P18" s="243">
        <f>'Table 3 - Capex by Vote'!H16</f>
        <v>0</v>
      </c>
      <c r="Q18" s="243">
        <f>'Schedule 2 -Opex by Vote_6'!H16</f>
        <v>9313912</v>
      </c>
      <c r="R18" s="397">
        <f t="shared" si="6"/>
        <v>9313912</v>
      </c>
      <c r="S18" s="397">
        <f t="shared" si="7"/>
        <v>9313912</v>
      </c>
      <c r="T18" s="297">
        <v>0</v>
      </c>
      <c r="U18" s="397">
        <f t="shared" si="8"/>
        <v>9313912</v>
      </c>
      <c r="V18" s="401">
        <f>'OPEX_ Bdgt_F'!J2388</f>
        <v>0</v>
      </c>
    </row>
    <row r="19" spans="1:22" ht="20.100000000000001" customHeight="1" x14ac:dyDescent="0.2">
      <c r="A19" s="372" t="s">
        <v>4380</v>
      </c>
      <c r="B19" s="243">
        <f>'Table 3 - Capex by Vote'!F17</f>
        <v>6892247</v>
      </c>
      <c r="C19" s="243">
        <f>'Schedule 2 -Opex by Vote_6'!F17</f>
        <v>8272033</v>
      </c>
      <c r="D19" s="397">
        <f t="shared" si="1"/>
        <v>15164280</v>
      </c>
      <c r="E19" s="397">
        <f t="shared" si="0"/>
        <v>8272033</v>
      </c>
      <c r="F19" s="397">
        <f>B19</f>
        <v>6892247</v>
      </c>
      <c r="G19" s="397">
        <f t="shared" si="2"/>
        <v>15164280</v>
      </c>
      <c r="H19" s="401">
        <f>'OPEX_ Bdgt_F'!H2562</f>
        <v>0</v>
      </c>
      <c r="I19" s="243">
        <f>'Table 3 - Capex by Vote'!G17</f>
        <v>0</v>
      </c>
      <c r="J19" s="243">
        <f>'Schedule 2 -Opex by Vote_6'!G17</f>
        <v>8937360</v>
      </c>
      <c r="K19" s="397">
        <f t="shared" si="3"/>
        <v>8937360</v>
      </c>
      <c r="L19" s="397">
        <f t="shared" si="4"/>
        <v>8937360</v>
      </c>
      <c r="M19" s="297">
        <v>0</v>
      </c>
      <c r="N19" s="397">
        <f t="shared" si="5"/>
        <v>8937360</v>
      </c>
      <c r="O19" s="401">
        <f>'OPEX_ Bdgt_F'!I2562</f>
        <v>0</v>
      </c>
      <c r="P19" s="243">
        <f>'Table 3 - Capex by Vote'!H17</f>
        <v>0</v>
      </c>
      <c r="Q19" s="243">
        <f>'Schedule 2 -Opex by Vote_6'!H17</f>
        <v>9682213</v>
      </c>
      <c r="R19" s="397">
        <f t="shared" si="6"/>
        <v>9682213</v>
      </c>
      <c r="S19" s="397">
        <f t="shared" si="7"/>
        <v>9682213</v>
      </c>
      <c r="T19" s="297">
        <v>0</v>
      </c>
      <c r="U19" s="397">
        <f t="shared" si="8"/>
        <v>9682213</v>
      </c>
      <c r="V19" s="401">
        <f>'OPEX_ Bdgt_F'!J2562</f>
        <v>0</v>
      </c>
    </row>
    <row r="20" spans="1:22" ht="20.100000000000001" customHeight="1" x14ac:dyDescent="0.2">
      <c r="A20" s="372" t="s">
        <v>4381</v>
      </c>
      <c r="B20" s="243">
        <f>'Table 3 - Capex by Vote'!F18</f>
        <v>0</v>
      </c>
      <c r="C20" s="243">
        <f>'Schedule 2 -Opex by Vote_6'!F18</f>
        <v>7805533</v>
      </c>
      <c r="D20" s="397">
        <f t="shared" si="1"/>
        <v>7805533</v>
      </c>
      <c r="E20" s="397">
        <f t="shared" si="0"/>
        <v>9214</v>
      </c>
      <c r="F20" s="297">
        <v>0</v>
      </c>
      <c r="G20" s="397">
        <f t="shared" si="2"/>
        <v>9214</v>
      </c>
      <c r="H20" s="401">
        <f>'OPEX_ Bdgt_F'!H2687</f>
        <v>-7796319</v>
      </c>
      <c r="I20" s="243">
        <f>'Table 3 - Capex by Vote'!G18</f>
        <v>0</v>
      </c>
      <c r="J20" s="243">
        <f>'Schedule 2 -Opex by Vote_6'!G18</f>
        <v>8317953</v>
      </c>
      <c r="K20" s="397">
        <f t="shared" si="3"/>
        <v>8317953</v>
      </c>
      <c r="L20" s="397">
        <f t="shared" si="4"/>
        <v>9767</v>
      </c>
      <c r="M20" s="297">
        <v>0</v>
      </c>
      <c r="N20" s="397">
        <f t="shared" si="5"/>
        <v>9767</v>
      </c>
      <c r="O20" s="401">
        <f>'OPEX_ Bdgt_F'!I2687</f>
        <v>-8308186</v>
      </c>
      <c r="P20" s="243">
        <f>'Table 3 - Capex by Vote'!H18</f>
        <v>0</v>
      </c>
      <c r="Q20" s="243">
        <f>'Schedule 2 -Opex by Vote_6'!H18</f>
        <v>9022406</v>
      </c>
      <c r="R20" s="397">
        <f t="shared" si="6"/>
        <v>9022406</v>
      </c>
      <c r="S20" s="397">
        <f t="shared" si="7"/>
        <v>10353</v>
      </c>
      <c r="T20" s="297">
        <v>0</v>
      </c>
      <c r="U20" s="397">
        <f t="shared" si="8"/>
        <v>10353</v>
      </c>
      <c r="V20" s="401">
        <f>'OPEX_ Bdgt_F'!J2687</f>
        <v>-9012053</v>
      </c>
    </row>
    <row r="21" spans="1:22" ht="20.100000000000001" customHeight="1" x14ac:dyDescent="0.2">
      <c r="A21" s="372" t="s">
        <v>444</v>
      </c>
      <c r="B21" s="243">
        <f>'Table 3 - Capex by Vote'!F19</f>
        <v>12913000</v>
      </c>
      <c r="C21" s="243">
        <f>'Schedule 2 -Opex by Vote_6'!F19</f>
        <v>8562718</v>
      </c>
      <c r="D21" s="397">
        <f t="shared" si="1"/>
        <v>21475718</v>
      </c>
      <c r="E21" s="397">
        <f t="shared" si="0"/>
        <v>9575972</v>
      </c>
      <c r="F21" s="397">
        <f>B21</f>
        <v>12913000</v>
      </c>
      <c r="G21" s="397">
        <f t="shared" si="2"/>
        <v>22488972</v>
      </c>
      <c r="H21" s="401">
        <f>'OPEX_ Bdgt_F'!H2865</f>
        <v>1013254</v>
      </c>
      <c r="I21" s="243">
        <f>'Table 3 - Capex by Vote'!G19</f>
        <v>15531000</v>
      </c>
      <c r="J21" s="243">
        <f>'Schedule 2 -Opex by Vote_6'!G19</f>
        <v>9006002</v>
      </c>
      <c r="K21" s="397">
        <f t="shared" si="3"/>
        <v>24537002</v>
      </c>
      <c r="L21" s="397">
        <f t="shared" si="4"/>
        <v>10130862</v>
      </c>
      <c r="M21" s="397">
        <f>I21</f>
        <v>15531000</v>
      </c>
      <c r="N21" s="397">
        <f t="shared" si="5"/>
        <v>25661862</v>
      </c>
      <c r="O21" s="401">
        <f>'OPEX_ Bdgt_F'!I2865</f>
        <v>1124860</v>
      </c>
      <c r="P21" s="243">
        <f>'Table 3 - Capex by Vote'!H19</f>
        <v>18884000</v>
      </c>
      <c r="Q21" s="243">
        <f>'Schedule 2 -Opex by Vote_6'!H19</f>
        <v>9734985</v>
      </c>
      <c r="R21" s="397">
        <f t="shared" si="6"/>
        <v>28618985</v>
      </c>
      <c r="S21" s="397">
        <f t="shared" si="7"/>
        <v>11037388</v>
      </c>
      <c r="T21" s="397">
        <f>P21</f>
        <v>18884000</v>
      </c>
      <c r="U21" s="397">
        <f t="shared" si="8"/>
        <v>29921388</v>
      </c>
      <c r="V21" s="401">
        <f>'OPEX_ Bdgt_F'!J2865</f>
        <v>1302403</v>
      </c>
    </row>
    <row r="22" spans="1:22" ht="20.100000000000001" customHeight="1" x14ac:dyDescent="0.2">
      <c r="A22" s="372" t="s">
        <v>4382</v>
      </c>
      <c r="B22" s="243">
        <f>'Table 3 - Capex by Vote'!F20</f>
        <v>2824071</v>
      </c>
      <c r="C22" s="243">
        <f>'Schedule 2 -Opex by Vote_6'!F20</f>
        <v>11114918</v>
      </c>
      <c r="D22" s="397">
        <f t="shared" si="1"/>
        <v>13938989</v>
      </c>
      <c r="E22" s="397">
        <f t="shared" si="0"/>
        <v>14897432</v>
      </c>
      <c r="F22" s="397">
        <f>B22</f>
        <v>2824071</v>
      </c>
      <c r="G22" s="397">
        <f t="shared" si="2"/>
        <v>17721503</v>
      </c>
      <c r="H22" s="401">
        <f>'OPEX_ Bdgt_F'!H2986</f>
        <v>3782514</v>
      </c>
      <c r="I22" s="243">
        <f>'Table 3 - Capex by Vote'!G20</f>
        <v>300000</v>
      </c>
      <c r="J22" s="243">
        <f>'Schedule 2 -Opex by Vote_6'!G20</f>
        <v>13626884</v>
      </c>
      <c r="K22" s="397">
        <f t="shared" si="3"/>
        <v>13926884</v>
      </c>
      <c r="L22" s="397">
        <f t="shared" si="4"/>
        <v>18757603</v>
      </c>
      <c r="M22" s="397">
        <f>I22</f>
        <v>300000</v>
      </c>
      <c r="N22" s="397">
        <f t="shared" si="5"/>
        <v>19057603</v>
      </c>
      <c r="O22" s="401">
        <f>'OPEX_ Bdgt_F'!I2986</f>
        <v>5130719</v>
      </c>
      <c r="P22" s="243">
        <f>'Table 3 - Capex by Vote'!H20</f>
        <v>500000</v>
      </c>
      <c r="Q22" s="243">
        <f>'Schedule 2 -Opex by Vote_6'!H20</f>
        <v>16758796</v>
      </c>
      <c r="R22" s="397">
        <f t="shared" si="6"/>
        <v>17258796</v>
      </c>
      <c r="S22" s="397">
        <f t="shared" si="7"/>
        <v>23637792</v>
      </c>
      <c r="T22" s="397">
        <f>P22</f>
        <v>500000</v>
      </c>
      <c r="U22" s="397">
        <f>S22+T22</f>
        <v>24137792</v>
      </c>
      <c r="V22" s="401">
        <f>'OPEX_ Bdgt_F'!J2986</f>
        <v>6878996</v>
      </c>
    </row>
    <row r="23" spans="1:22" ht="20.100000000000001" customHeight="1" x14ac:dyDescent="0.2">
      <c r="A23" s="392" t="s">
        <v>4172</v>
      </c>
      <c r="B23" s="243">
        <f>'Table 3 - Capex by Vote'!F21</f>
        <v>0</v>
      </c>
      <c r="C23" s="243">
        <f>'Schedule 2 -Opex by Vote_6'!F21</f>
        <v>155453</v>
      </c>
      <c r="D23" s="397">
        <f>B23+C23</f>
        <v>155453</v>
      </c>
      <c r="E23" s="397">
        <f t="shared" si="0"/>
        <v>155453</v>
      </c>
      <c r="F23" s="297">
        <v>0</v>
      </c>
      <c r="G23" s="397">
        <f t="shared" si="2"/>
        <v>155453</v>
      </c>
      <c r="H23" s="401">
        <f>'OPEX_ Bdgt_F'!H3061</f>
        <v>0</v>
      </c>
      <c r="I23" s="243">
        <f>'Table 3 - Capex by Vote'!G21</f>
        <v>0</v>
      </c>
      <c r="J23" s="243">
        <f>'Schedule 2 -Opex by Vote_6'!G21</f>
        <v>164780</v>
      </c>
      <c r="K23" s="397">
        <f t="shared" si="3"/>
        <v>164780</v>
      </c>
      <c r="L23" s="397">
        <f t="shared" si="4"/>
        <v>164780</v>
      </c>
      <c r="M23" s="297">
        <v>0</v>
      </c>
      <c r="N23" s="397">
        <f t="shared" si="5"/>
        <v>164780</v>
      </c>
      <c r="O23" s="401">
        <f>'OPEX_ Bdgt_F'!I3061</f>
        <v>0</v>
      </c>
      <c r="P23" s="243">
        <f>'Table 3 - Capex by Vote'!H21</f>
        <v>0</v>
      </c>
      <c r="Q23" s="243">
        <f>'Schedule 2 -Opex by Vote_6'!H21</f>
        <v>174666</v>
      </c>
      <c r="R23" s="397">
        <f t="shared" si="6"/>
        <v>174666</v>
      </c>
      <c r="S23" s="397">
        <f t="shared" si="7"/>
        <v>174666</v>
      </c>
      <c r="T23" s="297">
        <v>0</v>
      </c>
      <c r="U23" s="397">
        <f t="shared" si="8"/>
        <v>174666</v>
      </c>
      <c r="V23" s="401">
        <f>'OPEX_ Bdgt_F'!J3061</f>
        <v>0</v>
      </c>
    </row>
    <row r="24" spans="1:22" ht="20.100000000000001" customHeight="1" thickBot="1" x14ac:dyDescent="0.25">
      <c r="A24" s="376"/>
      <c r="C24" s="398"/>
      <c r="D24" s="375"/>
      <c r="E24" s="375"/>
      <c r="F24" s="375"/>
      <c r="G24" s="375"/>
      <c r="H24" s="376"/>
      <c r="I24" s="374"/>
      <c r="J24" s="375"/>
      <c r="K24" s="375"/>
      <c r="L24" s="375"/>
      <c r="M24" s="375"/>
      <c r="N24" s="375"/>
      <c r="O24" s="376"/>
      <c r="P24" s="374"/>
      <c r="Q24" s="375"/>
      <c r="R24" s="375"/>
      <c r="S24" s="375"/>
      <c r="T24" s="375"/>
      <c r="U24" s="375"/>
      <c r="V24" s="376"/>
    </row>
    <row r="25" spans="1:22" ht="20.100000000000001" customHeight="1" thickBot="1" x14ac:dyDescent="0.25">
      <c r="A25" s="395" t="s">
        <v>744</v>
      </c>
      <c r="B25" s="394">
        <f t="shared" ref="B25:O25" si="9">SUM(B10:B24)</f>
        <v>74983188</v>
      </c>
      <c r="C25" s="396">
        <f t="shared" si="9"/>
        <v>85543486</v>
      </c>
      <c r="D25" s="400">
        <f t="shared" si="9"/>
        <v>160526674</v>
      </c>
      <c r="E25" s="400">
        <f t="shared" si="9"/>
        <v>89897141</v>
      </c>
      <c r="F25" s="400">
        <f t="shared" si="9"/>
        <v>71483188</v>
      </c>
      <c r="G25" s="400">
        <f t="shared" si="9"/>
        <v>161380329</v>
      </c>
      <c r="H25" s="399">
        <f t="shared" si="9"/>
        <v>853655</v>
      </c>
      <c r="I25" s="403">
        <f t="shared" si="9"/>
        <v>17831000</v>
      </c>
      <c r="J25" s="400">
        <f t="shared" si="9"/>
        <v>92736915</v>
      </c>
      <c r="K25" s="404">
        <f t="shared" si="9"/>
        <v>110567915</v>
      </c>
      <c r="L25" s="404">
        <f t="shared" si="9"/>
        <v>97160661</v>
      </c>
      <c r="M25" s="404">
        <f t="shared" si="9"/>
        <v>15831000</v>
      </c>
      <c r="N25" s="404">
        <f t="shared" si="9"/>
        <v>112991661</v>
      </c>
      <c r="O25" s="402">
        <f t="shared" si="9"/>
        <v>2423746</v>
      </c>
      <c r="P25" s="394">
        <f t="shared" ref="P25:V25" si="10">SUM(P10:P24)</f>
        <v>19384000</v>
      </c>
      <c r="Q25" s="400">
        <f t="shared" si="10"/>
        <v>101723790</v>
      </c>
      <c r="R25" s="404">
        <f t="shared" si="10"/>
        <v>121107790</v>
      </c>
      <c r="S25" s="404">
        <f t="shared" si="10"/>
        <v>110208080</v>
      </c>
      <c r="T25" s="404">
        <f t="shared" si="10"/>
        <v>19384000</v>
      </c>
      <c r="U25" s="404">
        <f t="shared" si="10"/>
        <v>129592080</v>
      </c>
      <c r="V25" s="402">
        <f t="shared" si="10"/>
        <v>8484290</v>
      </c>
    </row>
    <row r="27" spans="1:22" x14ac:dyDescent="0.2">
      <c r="A27" s="377" t="s">
        <v>1132</v>
      </c>
    </row>
    <row r="28" spans="1:22" x14ac:dyDescent="0.2">
      <c r="A28" s="264" t="s">
        <v>745</v>
      </c>
    </row>
    <row r="29" spans="1:22" x14ac:dyDescent="0.2">
      <c r="A29" s="302" t="s">
        <v>3278</v>
      </c>
    </row>
    <row r="30" spans="1:22" x14ac:dyDescent="0.2">
      <c r="A30" s="378" t="s">
        <v>746</v>
      </c>
    </row>
    <row r="31" spans="1:22" x14ac:dyDescent="0.2">
      <c r="A31" s="378" t="s">
        <v>747</v>
      </c>
    </row>
    <row r="32" spans="1:22" x14ac:dyDescent="0.2">
      <c r="A32" s="378" t="s">
        <v>748</v>
      </c>
    </row>
    <row r="33" spans="1:22" x14ac:dyDescent="0.2">
      <c r="A33" s="378" t="s">
        <v>749</v>
      </c>
    </row>
    <row r="35" spans="1:22" x14ac:dyDescent="0.2">
      <c r="A35" s="761" t="s">
        <v>4038</v>
      </c>
      <c r="B35" s="761"/>
      <c r="C35" s="761"/>
      <c r="D35" s="761"/>
      <c r="E35" s="761"/>
      <c r="F35" s="761"/>
      <c r="G35" s="761"/>
      <c r="H35" s="761"/>
      <c r="I35" s="761"/>
      <c r="J35" s="761"/>
      <c r="K35" s="761"/>
      <c r="L35" s="761"/>
      <c r="M35" s="761"/>
      <c r="N35" s="761"/>
      <c r="O35" s="761"/>
      <c r="P35" s="761"/>
      <c r="Q35" s="761"/>
      <c r="R35" s="761"/>
      <c r="S35" s="761"/>
      <c r="T35" s="761"/>
      <c r="U35" s="761"/>
      <c r="V35" s="761"/>
    </row>
  </sheetData>
  <mergeCells count="1">
    <mergeCell ref="A35:V35"/>
  </mergeCells>
  <phoneticPr fontId="3" type="noConversion"/>
  <pageMargins left="0.24" right="0.17" top="1" bottom="1" header="0.5" footer="0.5"/>
  <pageSetup paperSize="9" scale="59" orientation="landscape" horizont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8"/>
  <sheetViews>
    <sheetView view="pageBreakPreview" topLeftCell="D12" zoomScaleNormal="100" workbookViewId="0">
      <selection activeCell="C39" sqref="C8:I39"/>
    </sheetView>
  </sheetViews>
  <sheetFormatPr defaultColWidth="10.6640625" defaultRowHeight="12.75" x14ac:dyDescent="0.2"/>
  <cols>
    <col min="1" max="1" width="57.83203125" style="413" customWidth="1"/>
    <col min="2" max="2" width="33.1640625" style="413" customWidth="1"/>
    <col min="3" max="3" width="21.33203125" style="440" bestFit="1" customWidth="1"/>
    <col min="4" max="4" width="24" style="440" bestFit="1" customWidth="1"/>
    <col min="5" max="6" width="23.6640625" style="440" bestFit="1" customWidth="1"/>
    <col min="7" max="7" width="23.83203125" style="440" bestFit="1" customWidth="1"/>
    <col min="8" max="9" width="23.83203125" style="440" customWidth="1"/>
    <col min="10" max="16384" width="10.6640625" style="413"/>
  </cols>
  <sheetData>
    <row r="1" spans="1:9" x14ac:dyDescent="0.2">
      <c r="A1" s="405"/>
      <c r="B1" s="405"/>
      <c r="C1" s="406" t="s">
        <v>1096</v>
      </c>
      <c r="D1" s="407" t="s">
        <v>1097</v>
      </c>
      <c r="E1" s="408"/>
      <c r="F1" s="409"/>
      <c r="G1" s="410" t="s">
        <v>1098</v>
      </c>
      <c r="H1" s="411"/>
      <c r="I1" s="412"/>
    </row>
    <row r="2" spans="1:9" x14ac:dyDescent="0.2">
      <c r="A2" s="414" t="s">
        <v>1827</v>
      </c>
      <c r="B2" s="414"/>
      <c r="C2" s="415" t="s">
        <v>1103</v>
      </c>
      <c r="D2" s="416" t="s">
        <v>4093</v>
      </c>
      <c r="E2" s="417"/>
      <c r="F2" s="418"/>
      <c r="G2" s="419" t="s">
        <v>1100</v>
      </c>
      <c r="H2" s="414" t="s">
        <v>1101</v>
      </c>
      <c r="I2" s="414" t="s">
        <v>1102</v>
      </c>
    </row>
    <row r="3" spans="1:9" x14ac:dyDescent="0.2">
      <c r="A3" s="420"/>
      <c r="B3" s="420"/>
      <c r="C3" s="421"/>
      <c r="D3" s="422"/>
      <c r="E3" s="423"/>
      <c r="F3" s="424"/>
      <c r="G3" s="425" t="s">
        <v>4094</v>
      </c>
      <c r="H3" s="425" t="s">
        <v>4095</v>
      </c>
      <c r="I3" s="425" t="s">
        <v>4096</v>
      </c>
    </row>
    <row r="4" spans="1:9" x14ac:dyDescent="0.2">
      <c r="A4" s="414" t="s">
        <v>1828</v>
      </c>
      <c r="B4" s="426"/>
      <c r="C4" s="427" t="s">
        <v>1104</v>
      </c>
      <c r="D4" s="406" t="s">
        <v>1105</v>
      </c>
      <c r="E4" s="406" t="s">
        <v>1106</v>
      </c>
      <c r="F4" s="428" t="s">
        <v>1107</v>
      </c>
      <c r="G4" s="428" t="s">
        <v>1108</v>
      </c>
      <c r="H4" s="428" t="s">
        <v>1108</v>
      </c>
      <c r="I4" s="428" t="s">
        <v>1108</v>
      </c>
    </row>
    <row r="5" spans="1:9" x14ac:dyDescent="0.2">
      <c r="A5" s="420"/>
      <c r="B5" s="429"/>
      <c r="C5" s="426" t="s">
        <v>1109</v>
      </c>
      <c r="D5" s="414" t="s">
        <v>1109</v>
      </c>
      <c r="E5" s="414" t="s">
        <v>1109</v>
      </c>
      <c r="F5" s="414" t="s">
        <v>1109</v>
      </c>
      <c r="G5" s="414" t="s">
        <v>1109</v>
      </c>
      <c r="H5" s="414" t="s">
        <v>1109</v>
      </c>
      <c r="I5" s="414" t="s">
        <v>1109</v>
      </c>
    </row>
    <row r="6" spans="1:9" x14ac:dyDescent="0.2">
      <c r="A6" s="430" t="s">
        <v>1829</v>
      </c>
      <c r="B6" s="431" t="s">
        <v>4140</v>
      </c>
      <c r="C6" s="432" t="s">
        <v>1110</v>
      </c>
      <c r="D6" s="433" t="s">
        <v>1111</v>
      </c>
      <c r="E6" s="433" t="s">
        <v>1112</v>
      </c>
      <c r="F6" s="433" t="s">
        <v>1113</v>
      </c>
      <c r="G6" s="433" t="s">
        <v>1114</v>
      </c>
      <c r="H6" s="434" t="s">
        <v>1115</v>
      </c>
      <c r="I6" s="434" t="s">
        <v>1116</v>
      </c>
    </row>
    <row r="7" spans="1:9" x14ac:dyDescent="0.2">
      <c r="A7" s="435"/>
      <c r="B7" s="435"/>
      <c r="C7" s="436"/>
      <c r="D7" s="436"/>
      <c r="E7" s="436"/>
      <c r="F7" s="436"/>
      <c r="G7" s="436"/>
      <c r="H7" s="436"/>
      <c r="I7" s="436"/>
    </row>
    <row r="8" spans="1:9" x14ac:dyDescent="0.2">
      <c r="A8" s="437" t="s">
        <v>1832</v>
      </c>
      <c r="B8" s="437" t="s">
        <v>3575</v>
      </c>
      <c r="C8" s="243">
        <f>'OPEX_ Bdgt_F'!C24-'OPEX_ Bdgt_F'!C692</f>
        <v>72250</v>
      </c>
      <c r="D8" s="243">
        <f>'OPEX_ Bdgt_F'!D24-'OPEX_ Bdgt_F'!D692</f>
        <v>0</v>
      </c>
      <c r="E8" s="243">
        <f>'OPEX_ Bdgt_F'!E24-'OPEX_ Bdgt_F'!E692</f>
        <v>0</v>
      </c>
      <c r="F8" s="243">
        <f>'OPEX_ Bdgt_F'!G24-'OPEX_ Bdgt_F'!G692</f>
        <v>0</v>
      </c>
      <c r="G8" s="243">
        <f>'OPEX_ Bdgt_F'!H24-'OPEX_ Bdgt_F'!H692</f>
        <v>0</v>
      </c>
      <c r="H8" s="243">
        <f>'OPEX_ Bdgt_F'!I24-'OPEX_ Bdgt_F'!I692</f>
        <v>0</v>
      </c>
      <c r="I8" s="243">
        <f>'OPEX_ Bdgt_F'!J24-'OPEX_ Bdgt_F'!J692</f>
        <v>0</v>
      </c>
    </row>
    <row r="9" spans="1:9" x14ac:dyDescent="0.2">
      <c r="A9" s="437" t="s">
        <v>3568</v>
      </c>
      <c r="B9" s="437" t="s">
        <v>3576</v>
      </c>
      <c r="C9" s="243">
        <f>'OPEX_ Bdgt_F'!C175</f>
        <v>104955</v>
      </c>
      <c r="D9" s="243">
        <f>'OPEX_ Bdgt_F'!D175</f>
        <v>476000</v>
      </c>
      <c r="E9" s="243">
        <f>'OPEX_ Bdgt_F'!E175</f>
        <v>476000</v>
      </c>
      <c r="F9" s="243">
        <f>'OPEX_ Bdgt_F'!G175</f>
        <v>476000</v>
      </c>
      <c r="G9" s="243">
        <f>'OPEX_ Bdgt_F'!H175</f>
        <v>467000</v>
      </c>
      <c r="H9" s="436">
        <f>'OPEX_ Bdgt_F'!I175</f>
        <v>0</v>
      </c>
      <c r="I9" s="436">
        <f>'OPEX_ Bdgt_F'!J175</f>
        <v>0</v>
      </c>
    </row>
    <row r="10" spans="1:9" x14ac:dyDescent="0.2">
      <c r="A10" s="437" t="s">
        <v>3569</v>
      </c>
      <c r="B10" s="437" t="s">
        <v>3577</v>
      </c>
      <c r="C10" s="243">
        <f>'OPEX_ Bdgt_F'!C263</f>
        <v>0</v>
      </c>
      <c r="D10" s="243">
        <f>'OPEX_ Bdgt_F'!D263</f>
        <v>476000</v>
      </c>
      <c r="E10" s="243">
        <f>'OPEX_ Bdgt_F'!E263</f>
        <v>476000</v>
      </c>
      <c r="F10" s="243">
        <f>'OPEX_ Bdgt_F'!G263</f>
        <v>476000</v>
      </c>
      <c r="G10" s="243">
        <f>'OPEX_ Bdgt_F'!H263</f>
        <v>476000</v>
      </c>
      <c r="H10" s="243">
        <f>'OPEX_ Bdgt_F'!I263</f>
        <v>0</v>
      </c>
      <c r="I10" s="243">
        <f>'OPEX_ Bdgt_F'!J263</f>
        <v>0</v>
      </c>
    </row>
    <row r="11" spans="1:9" x14ac:dyDescent="0.2">
      <c r="A11" s="437" t="s">
        <v>3570</v>
      </c>
      <c r="B11" s="437" t="s">
        <v>3578</v>
      </c>
      <c r="C11" s="243">
        <f>'OPEX_ Bdgt_F'!C349</f>
        <v>65037</v>
      </c>
      <c r="D11" s="243">
        <f>'OPEX_ Bdgt_F'!D349</f>
        <v>476000</v>
      </c>
      <c r="E11" s="243">
        <f>'OPEX_ Bdgt_F'!E349</f>
        <v>476000</v>
      </c>
      <c r="F11" s="243">
        <f>'OPEX_ Bdgt_F'!G349</f>
        <v>476000</v>
      </c>
      <c r="G11" s="243">
        <f>'OPEX_ Bdgt_F'!H349</f>
        <v>476000</v>
      </c>
      <c r="H11" s="243">
        <f>'OPEX_ Bdgt_F'!I349</f>
        <v>0</v>
      </c>
      <c r="I11" s="243">
        <f>'OPEX_ Bdgt_F'!J349</f>
        <v>0</v>
      </c>
    </row>
    <row r="12" spans="1:9" x14ac:dyDescent="0.2">
      <c r="A12" s="437" t="s">
        <v>1832</v>
      </c>
      <c r="B12" s="437" t="s">
        <v>3579</v>
      </c>
      <c r="C12" s="243">
        <f>'OPEX_ Bdgt_F'!C430</f>
        <v>0</v>
      </c>
      <c r="D12" s="243">
        <f>'OPEX_ Bdgt_F'!D430</f>
        <v>476000</v>
      </c>
      <c r="E12" s="243">
        <f>'OPEX_ Bdgt_F'!E430</f>
        <v>476000</v>
      </c>
      <c r="F12" s="243">
        <f>'OPEX_ Bdgt_F'!G430</f>
        <v>476000</v>
      </c>
      <c r="G12" s="243">
        <f>'OPEX_ Bdgt_F'!H430</f>
        <v>476000</v>
      </c>
      <c r="H12" s="243">
        <f>'OPEX_ Bdgt_F'!I430</f>
        <v>0</v>
      </c>
      <c r="I12" s="243">
        <f>'OPEX_ Bdgt_F'!J430</f>
        <v>0</v>
      </c>
    </row>
    <row r="13" spans="1:9" x14ac:dyDescent="0.2">
      <c r="A13" s="437" t="s">
        <v>3571</v>
      </c>
      <c r="B13" s="437" t="s">
        <v>3580</v>
      </c>
      <c r="C13" s="243">
        <f>'OPEX_ Bdgt_F'!C516</f>
        <v>0</v>
      </c>
      <c r="D13" s="243">
        <f>'OPEX_ Bdgt_F'!D516</f>
        <v>476000</v>
      </c>
      <c r="E13" s="243">
        <f>'OPEX_ Bdgt_F'!E516</f>
        <v>692350</v>
      </c>
      <c r="F13" s="243">
        <f>'OPEX_ Bdgt_F'!G516</f>
        <v>642500</v>
      </c>
      <c r="G13" s="243">
        <f>'OPEX_ Bdgt_F'!H516</f>
        <v>745094</v>
      </c>
      <c r="H13" s="243">
        <f>'OPEX_ Bdgt_F'!I516</f>
        <v>0</v>
      </c>
      <c r="I13" s="243">
        <f>'OPEX_ Bdgt_F'!J516</f>
        <v>0</v>
      </c>
    </row>
    <row r="14" spans="1:9" x14ac:dyDescent="0.2">
      <c r="A14" s="437" t="s">
        <v>3570</v>
      </c>
      <c r="B14" s="437" t="s">
        <v>3581</v>
      </c>
      <c r="C14" s="243">
        <f>'OPEX_ Bdgt_F'!C616</f>
        <v>26450190</v>
      </c>
      <c r="D14" s="243">
        <f>'OPEX_ Bdgt_F'!D616</f>
        <v>33189998</v>
      </c>
      <c r="E14" s="243">
        <f>'OPEX_ Bdgt_F'!E616</f>
        <v>33870998</v>
      </c>
      <c r="F14" s="243">
        <f>'OPEX_ Bdgt_F'!G616</f>
        <v>33336178.800000001</v>
      </c>
      <c r="G14" s="243">
        <f>'OPEX_ Bdgt_F'!H616</f>
        <v>42232800</v>
      </c>
      <c r="H14" s="243">
        <f>'OPEX_ Bdgt_F'!I616</f>
        <v>47700060</v>
      </c>
      <c r="I14" s="243">
        <f>'OPEX_ Bdgt_F'!J616</f>
        <v>52318537</v>
      </c>
    </row>
    <row r="15" spans="1:9" x14ac:dyDescent="0.2">
      <c r="A15" s="437" t="s">
        <v>1832</v>
      </c>
      <c r="B15" s="437" t="s">
        <v>3582</v>
      </c>
      <c r="C15" s="243">
        <v>0</v>
      </c>
      <c r="D15" s="436">
        <v>0</v>
      </c>
      <c r="E15" s="436">
        <v>0</v>
      </c>
      <c r="F15" s="436">
        <v>0</v>
      </c>
      <c r="G15" s="436">
        <v>0</v>
      </c>
      <c r="H15" s="436">
        <v>0</v>
      </c>
      <c r="I15" s="436">
        <v>0</v>
      </c>
    </row>
    <row r="16" spans="1:9" x14ac:dyDescent="0.2">
      <c r="A16" s="437" t="s">
        <v>3571</v>
      </c>
      <c r="B16" s="437" t="s">
        <v>3583</v>
      </c>
      <c r="C16" s="243">
        <f>'OPEX_ Bdgt_F'!C834</f>
        <v>4180942</v>
      </c>
      <c r="D16" s="243">
        <f>'OPEX_ Bdgt_F'!D834</f>
        <v>4685507</v>
      </c>
      <c r="E16" s="243">
        <f>'OPEX_ Bdgt_F'!E834</f>
        <v>4029049</v>
      </c>
      <c r="F16" s="243">
        <f>'OPEX_ Bdgt_F'!G834</f>
        <v>6301144.96</v>
      </c>
      <c r="G16" s="243">
        <f>'OPEX_ Bdgt_F'!H834</f>
        <v>7974224</v>
      </c>
      <c r="H16" s="243">
        <f>'OPEX_ Bdgt_F'!I834</f>
        <v>7856122</v>
      </c>
      <c r="I16" s="243">
        <f>'OPEX_ Bdgt_F'!J834</f>
        <v>10224535</v>
      </c>
    </row>
    <row r="17" spans="1:11" x14ac:dyDescent="0.2">
      <c r="A17" s="437" t="s">
        <v>3571</v>
      </c>
      <c r="B17" s="437" t="s">
        <v>3584</v>
      </c>
      <c r="C17" s="243">
        <v>0</v>
      </c>
      <c r="D17" s="436">
        <v>0</v>
      </c>
      <c r="E17" s="436">
        <v>0</v>
      </c>
      <c r="F17" s="436">
        <v>0</v>
      </c>
      <c r="G17" s="436">
        <v>0</v>
      </c>
      <c r="H17" s="436">
        <v>0</v>
      </c>
      <c r="I17" s="436">
        <v>0</v>
      </c>
    </row>
    <row r="18" spans="1:11" x14ac:dyDescent="0.2">
      <c r="A18" s="437" t="s">
        <v>3571</v>
      </c>
      <c r="B18" s="437" t="s">
        <v>3585</v>
      </c>
      <c r="C18" s="243">
        <f>'OPEX_ Bdgt_F'!C983</f>
        <v>212639</v>
      </c>
      <c r="D18" s="243">
        <f>'OPEX_ Bdgt_F'!D983</f>
        <v>92800</v>
      </c>
      <c r="E18" s="243">
        <f>'OPEX_ Bdgt_F'!E983</f>
        <v>92800</v>
      </c>
      <c r="F18" s="243">
        <f>'OPEX_ Bdgt_F'!G983</f>
        <v>186464.39999999997</v>
      </c>
      <c r="G18" s="243">
        <f>'OPEX_ Bdgt_F'!H983</f>
        <v>206111</v>
      </c>
      <c r="H18" s="243">
        <f>'OPEX_ Bdgt_F'!I983</f>
        <v>218478</v>
      </c>
      <c r="I18" s="243">
        <f>'OPEX_ Bdgt_F'!J983</f>
        <v>231587</v>
      </c>
    </row>
    <row r="19" spans="1:11" x14ac:dyDescent="0.2">
      <c r="A19" s="437" t="s">
        <v>3571</v>
      </c>
      <c r="B19" s="437" t="s">
        <v>3586</v>
      </c>
      <c r="C19" s="243">
        <f>'OPEX_ Bdgt_F'!C1057</f>
        <v>0</v>
      </c>
      <c r="D19" s="243">
        <f>'OPEX_ Bdgt_F'!D1057</f>
        <v>0</v>
      </c>
      <c r="E19" s="243">
        <f>'OPEX_ Bdgt_F'!E1057</f>
        <v>0</v>
      </c>
      <c r="F19" s="243">
        <f>'OPEX_ Bdgt_F'!G1057</f>
        <v>0</v>
      </c>
      <c r="G19" s="243">
        <f>'OPEX_ Bdgt_F'!H1057</f>
        <v>0</v>
      </c>
      <c r="H19" s="243">
        <f>'OPEX_ Bdgt_F'!I1057</f>
        <v>0</v>
      </c>
      <c r="I19" s="243">
        <f>'OPEX_ Bdgt_F'!J1057</f>
        <v>0</v>
      </c>
      <c r="J19" s="545"/>
      <c r="K19" s="439"/>
    </row>
    <row r="20" spans="1:11" x14ac:dyDescent="0.2">
      <c r="A20" s="437" t="s">
        <v>3569</v>
      </c>
      <c r="B20" s="437" t="s">
        <v>3587</v>
      </c>
      <c r="C20" s="243">
        <v>0</v>
      </c>
      <c r="D20" s="436">
        <v>0</v>
      </c>
      <c r="E20" s="436">
        <v>0</v>
      </c>
      <c r="F20" s="436">
        <v>0</v>
      </c>
      <c r="G20" s="436">
        <v>0</v>
      </c>
      <c r="H20" s="436">
        <v>0</v>
      </c>
      <c r="I20" s="436">
        <v>0</v>
      </c>
    </row>
    <row r="21" spans="1:11" x14ac:dyDescent="0.2">
      <c r="A21" s="437" t="s">
        <v>1832</v>
      </c>
      <c r="B21" s="437" t="s">
        <v>3588</v>
      </c>
      <c r="C21" s="243">
        <f>'OPEX_ Bdgt_F'!C1214-'OPEX_ Bdgt_F'!C694</f>
        <v>3845</v>
      </c>
      <c r="D21" s="243">
        <f>'OPEX_ Bdgt_F'!D1214-'OPEX_ Bdgt_F'!D694</f>
        <v>840000</v>
      </c>
      <c r="E21" s="243">
        <f>'OPEX_ Bdgt_F'!E1214-'OPEX_ Bdgt_F'!E694</f>
        <v>1410000</v>
      </c>
      <c r="F21" s="243">
        <f>'OPEX_ Bdgt_F'!G1214-'OPEX_ Bdgt_F'!G694</f>
        <v>1305000</v>
      </c>
      <c r="G21" s="243">
        <f>'OPEX_ Bdgt_F'!H1214-'OPEX_ Bdgt_F'!H694</f>
        <v>750000</v>
      </c>
      <c r="H21" s="243">
        <f>'OPEX_ Bdgt_F'!I1214-'OPEX_ Bdgt_F'!I694</f>
        <v>790000</v>
      </c>
      <c r="I21" s="243">
        <f>'OPEX_ Bdgt_F'!J1214-'OPEX_ Bdgt_F'!J694</f>
        <v>800000</v>
      </c>
    </row>
    <row r="22" spans="1:11" x14ac:dyDescent="0.2">
      <c r="A22" s="437" t="s">
        <v>3572</v>
      </c>
      <c r="B22" s="437" t="s">
        <v>24</v>
      </c>
      <c r="C22" s="243">
        <v>0</v>
      </c>
      <c r="D22" s="436">
        <v>0</v>
      </c>
      <c r="E22" s="436">
        <v>0</v>
      </c>
      <c r="F22" s="436">
        <v>0</v>
      </c>
      <c r="G22" s="436">
        <v>0</v>
      </c>
      <c r="H22" s="436">
        <v>0</v>
      </c>
      <c r="I22" s="436">
        <v>0</v>
      </c>
    </row>
    <row r="23" spans="1:11" x14ac:dyDescent="0.2">
      <c r="A23" s="437" t="s">
        <v>3573</v>
      </c>
      <c r="B23" s="437" t="s">
        <v>3589</v>
      </c>
      <c r="C23" s="243">
        <f>+'OPEX_ Bdgt_F'!C1432</f>
        <v>0</v>
      </c>
      <c r="D23" s="243">
        <f>+'OPEX_ Bdgt_F'!D1432</f>
        <v>0</v>
      </c>
      <c r="E23" s="243">
        <f>+'OPEX_ Bdgt_F'!E1432</f>
        <v>0</v>
      </c>
      <c r="F23" s="243">
        <f>+'OPEX_ Bdgt_F'!G1432</f>
        <v>0</v>
      </c>
      <c r="G23" s="243">
        <f>+'OPEX_ Bdgt_F'!H1432</f>
        <v>216573</v>
      </c>
      <c r="H23" s="243">
        <f>+'OPEX_ Bdgt_F'!I1432</f>
        <v>233542</v>
      </c>
      <c r="I23" s="243">
        <f>+'OPEX_ Bdgt_F'!J1432</f>
        <v>251849</v>
      </c>
    </row>
    <row r="24" spans="1:11" x14ac:dyDescent="0.2">
      <c r="A24" s="437" t="s">
        <v>3574</v>
      </c>
      <c r="B24" s="437" t="s">
        <v>3590</v>
      </c>
      <c r="C24" s="243">
        <v>0</v>
      </c>
      <c r="D24" s="436">
        <v>0</v>
      </c>
      <c r="E24" s="436">
        <v>0</v>
      </c>
      <c r="F24" s="436">
        <v>0</v>
      </c>
      <c r="G24" s="436">
        <v>0</v>
      </c>
      <c r="H24" s="436">
        <v>0</v>
      </c>
      <c r="I24" s="436">
        <v>0</v>
      </c>
    </row>
    <row r="25" spans="1:11" x14ac:dyDescent="0.2">
      <c r="A25" s="437" t="s">
        <v>3571</v>
      </c>
      <c r="B25" s="437" t="s">
        <v>3564</v>
      </c>
      <c r="C25" s="243">
        <f>'OPEX_ Bdgt_F'!C1609-'OPEX_ Bdgt_F'!C697</f>
        <v>324</v>
      </c>
      <c r="D25" s="243">
        <f>'OPEX_ Bdgt_F'!D1609-'OPEX_ Bdgt_F'!D697</f>
        <v>1365</v>
      </c>
      <c r="E25" s="243">
        <f>'OPEX_ Bdgt_F'!E1609-'OPEX_ Bdgt_F'!E697</f>
        <v>1365</v>
      </c>
      <c r="F25" s="243">
        <f>'OPEX_ Bdgt_F'!G1609-'OPEX_ Bdgt_F'!G697</f>
        <v>30</v>
      </c>
      <c r="G25" s="243">
        <f>'OPEX_ Bdgt_F'!H1609-'OPEX_ Bdgt_F'!H697</f>
        <v>1230521</v>
      </c>
      <c r="H25" s="243">
        <f>'OPEX_ Bdgt_F'!I1609-'OPEX_ Bdgt_F'!I697</f>
        <v>1327178</v>
      </c>
      <c r="I25" s="243">
        <f>'OPEX_ Bdgt_F'!J1609-'OPEX_ Bdgt_F'!J697</f>
        <v>1431458</v>
      </c>
    </row>
    <row r="26" spans="1:11" x14ac:dyDescent="0.2">
      <c r="A26" s="437" t="s">
        <v>3571</v>
      </c>
      <c r="B26" s="437" t="s">
        <v>3591</v>
      </c>
      <c r="C26" s="243">
        <f>'OPEX_ Bdgt_F'!C1678</f>
        <v>7725</v>
      </c>
      <c r="D26" s="243">
        <f>'OPEX_ Bdgt_F'!D1678</f>
        <v>13100</v>
      </c>
      <c r="E26" s="243">
        <f>'OPEX_ Bdgt_F'!E1678</f>
        <v>13100</v>
      </c>
      <c r="F26" s="243">
        <f>'OPEX_ Bdgt_F'!G1678</f>
        <v>13045.199999999999</v>
      </c>
      <c r="G26" s="243">
        <f>'OPEX_ Bdgt_F'!H1678</f>
        <v>14349</v>
      </c>
      <c r="H26" s="243">
        <f>'OPEX_ Bdgt_F'!I1678</f>
        <v>15784</v>
      </c>
      <c r="I26" s="243">
        <f>'OPEX_ Bdgt_F'!J1678</f>
        <v>17362</v>
      </c>
    </row>
    <row r="27" spans="1:11" x14ac:dyDescent="0.2">
      <c r="A27" s="437" t="s">
        <v>3571</v>
      </c>
      <c r="B27" s="437" t="s">
        <v>1831</v>
      </c>
      <c r="C27" s="243">
        <f>'OPEX_ Bdgt_F'!C1754</f>
        <v>40933</v>
      </c>
      <c r="D27" s="243">
        <f>'OPEX_ Bdgt_F'!D1754</f>
        <v>50863</v>
      </c>
      <c r="E27" s="243">
        <f>'OPEX_ Bdgt_F'!E1754</f>
        <v>50863</v>
      </c>
      <c r="F27" s="243">
        <f>'OPEX_ Bdgt_F'!G1754</f>
        <v>46500</v>
      </c>
      <c r="G27" s="243">
        <f>'OPEX_ Bdgt_F'!H1754</f>
        <v>51150</v>
      </c>
      <c r="H27" s="243">
        <f>'OPEX_ Bdgt_F'!I1754</f>
        <v>54219</v>
      </c>
      <c r="I27" s="243">
        <f>'OPEX_ Bdgt_F'!J1754</f>
        <v>57472</v>
      </c>
    </row>
    <row r="28" spans="1:11" x14ac:dyDescent="0.2">
      <c r="A28" s="437" t="s">
        <v>3571</v>
      </c>
      <c r="B28" s="437" t="s">
        <v>3592</v>
      </c>
      <c r="C28" s="243">
        <f>'OPEX_ Bdgt_F'!C1839</f>
        <v>197757</v>
      </c>
      <c r="D28" s="243">
        <f>'OPEX_ Bdgt_F'!D1839</f>
        <v>237468.00000000003</v>
      </c>
      <c r="E28" s="243">
        <f>'OPEX_ Bdgt_F'!E1839</f>
        <v>237468</v>
      </c>
      <c r="F28" s="243">
        <f>'OPEX_ Bdgt_F'!G1839</f>
        <v>253370.39999999997</v>
      </c>
      <c r="G28" s="243">
        <f>'OPEX_ Bdgt_F'!H1839</f>
        <v>295763</v>
      </c>
      <c r="H28" s="243">
        <f>'OPEX_ Bdgt_F'!I1839</f>
        <v>313509</v>
      </c>
      <c r="I28" s="243">
        <f>'OPEX_ Bdgt_F'!J1839</f>
        <v>332319</v>
      </c>
    </row>
    <row r="29" spans="1:11" x14ac:dyDescent="0.2">
      <c r="A29" s="437" t="s">
        <v>3571</v>
      </c>
      <c r="B29" s="437" t="s">
        <v>248</v>
      </c>
      <c r="C29" s="243">
        <f>'OPEX_ Bdgt_F'!C1913</f>
        <v>1033949</v>
      </c>
      <c r="D29" s="243">
        <f>'OPEX_ Bdgt_F'!D1913</f>
        <v>1360360</v>
      </c>
      <c r="E29" s="243">
        <f>'OPEX_ Bdgt_F'!E1913</f>
        <v>1360360</v>
      </c>
      <c r="F29" s="243">
        <f>'OPEX_ Bdgt_F'!G1913</f>
        <v>1081886.3999999999</v>
      </c>
      <c r="G29" s="243">
        <f>'OPEX_ Bdgt_F'!H1913</f>
        <v>1100000</v>
      </c>
      <c r="H29" s="243">
        <f>'OPEX_ Bdgt_F'!I1913</f>
        <v>1166000</v>
      </c>
      <c r="I29" s="243">
        <f>'OPEX_ Bdgt_F'!J1913</f>
        <v>1235960</v>
      </c>
    </row>
    <row r="30" spans="1:11" x14ac:dyDescent="0.2">
      <c r="A30" s="437" t="s">
        <v>3571</v>
      </c>
      <c r="B30" s="437" t="s">
        <v>2944</v>
      </c>
      <c r="C30" s="243">
        <f>'OPEX_ Bdgt_F'!C1988-'OPEX_ Bdgt_F'!C696</f>
        <v>0</v>
      </c>
      <c r="D30" s="243">
        <f>'OPEX_ Bdgt_F'!D1988-'OPEX_ Bdgt_F'!D696</f>
        <v>0</v>
      </c>
      <c r="E30" s="243">
        <f>'OPEX_ Bdgt_F'!E1988-'OPEX_ Bdgt_F'!E696</f>
        <v>0</v>
      </c>
      <c r="F30" s="243">
        <f>'OPEX_ Bdgt_F'!G1988-'OPEX_ Bdgt_F'!G696</f>
        <v>0</v>
      </c>
      <c r="G30" s="243">
        <f>'OPEX_ Bdgt_F'!H1988-'OPEX_ Bdgt_F'!H696</f>
        <v>0</v>
      </c>
      <c r="H30" s="243">
        <f>'OPEX_ Bdgt_F'!I1988-'OPEX_ Bdgt_F'!I696</f>
        <v>0</v>
      </c>
      <c r="I30" s="243">
        <f>'OPEX_ Bdgt_F'!J1988-'OPEX_ Bdgt_F'!J696</f>
        <v>0</v>
      </c>
    </row>
    <row r="31" spans="1:11" x14ac:dyDescent="0.2">
      <c r="A31" s="437" t="s">
        <v>3571</v>
      </c>
      <c r="B31" s="437" t="s">
        <v>2945</v>
      </c>
      <c r="C31" s="243">
        <f>'OPEX_ Bdgt_F'!C2063</f>
        <v>15844</v>
      </c>
      <c r="D31" s="243">
        <f>'OPEX_ Bdgt_F'!D2063</f>
        <v>23008</v>
      </c>
      <c r="E31" s="243">
        <f>'OPEX_ Bdgt_F'!E2063</f>
        <v>23008</v>
      </c>
      <c r="F31" s="243">
        <f>'OPEX_ Bdgt_F'!G2063</f>
        <v>8275.2000000000007</v>
      </c>
      <c r="G31" s="243">
        <f>'OPEX_ Bdgt_F'!H2063</f>
        <v>9103</v>
      </c>
      <c r="H31" s="243">
        <f>'OPEX_ Bdgt_F'!I2063</f>
        <v>9649</v>
      </c>
      <c r="I31" s="243">
        <f>'OPEX_ Bdgt_F'!J2063</f>
        <v>10228</v>
      </c>
    </row>
    <row r="32" spans="1:11" x14ac:dyDescent="0.2">
      <c r="A32" s="437" t="s">
        <v>3571</v>
      </c>
      <c r="B32" s="437" t="s">
        <v>2946</v>
      </c>
      <c r="C32" s="243">
        <f>'OPEX_ Bdgt_F'!C2144</f>
        <v>19350</v>
      </c>
      <c r="D32" s="243">
        <f>'OPEX_ Bdgt_F'!D2144</f>
        <v>0</v>
      </c>
      <c r="E32" s="243">
        <f>'OPEX_ Bdgt_F'!E2144</f>
        <v>0</v>
      </c>
      <c r="F32" s="243">
        <f>'OPEX_ Bdgt_F'!G2144</f>
        <v>0</v>
      </c>
      <c r="G32" s="243">
        <f>'OPEX_ Bdgt_F'!H2144</f>
        <v>0</v>
      </c>
      <c r="H32" s="243">
        <f>'OPEX_ Bdgt_F'!I2144</f>
        <v>0</v>
      </c>
      <c r="I32" s="243">
        <f>'OPEX_ Bdgt_F'!J2144</f>
        <v>0</v>
      </c>
    </row>
    <row r="33" spans="1:9" x14ac:dyDescent="0.2">
      <c r="A33" s="437" t="s">
        <v>3571</v>
      </c>
      <c r="B33" s="437" t="s">
        <v>2947</v>
      </c>
      <c r="C33" s="243">
        <f>'OPEX_ Bdgt_F'!C2220</f>
        <v>1830</v>
      </c>
      <c r="D33" s="243">
        <f>'OPEX_ Bdgt_F'!D2220</f>
        <v>2800</v>
      </c>
      <c r="E33" s="243">
        <f>'OPEX_ Bdgt_F'!E2220</f>
        <v>2800</v>
      </c>
      <c r="F33" s="243">
        <f>'OPEX_ Bdgt_F'!G2220</f>
        <v>5296.7999999999993</v>
      </c>
      <c r="G33" s="243">
        <f>'OPEX_ Bdgt_F'!H2220</f>
        <v>5826</v>
      </c>
      <c r="H33" s="243">
        <f>'OPEX_ Bdgt_F'!I2220</f>
        <v>6176</v>
      </c>
      <c r="I33" s="243">
        <f>'OPEX_ Bdgt_F'!J2220</f>
        <v>6547</v>
      </c>
    </row>
    <row r="34" spans="1:9" x14ac:dyDescent="0.2">
      <c r="A34" s="437" t="s">
        <v>3571</v>
      </c>
      <c r="B34" s="437" t="s">
        <v>2948</v>
      </c>
      <c r="C34" s="243">
        <f>'OPEX_ Bdgt_F'!C2304</f>
        <v>3014546</v>
      </c>
      <c r="D34" s="243">
        <f>'OPEX_ Bdgt_F'!D2304</f>
        <v>3120604</v>
      </c>
      <c r="E34" s="243">
        <f>'OPEX_ Bdgt_F'!E2304</f>
        <v>3120604</v>
      </c>
      <c r="F34" s="243">
        <f>'OPEX_ Bdgt_F'!G2304</f>
        <v>3124473.5999999996</v>
      </c>
      <c r="G34" s="243">
        <f>'OPEX_ Bdgt_F'!H2304</f>
        <v>3458160</v>
      </c>
      <c r="H34" s="243">
        <f>'OPEX_ Bdgt_F'!I2304</f>
        <v>3976884</v>
      </c>
      <c r="I34" s="243">
        <f>'OPEX_ Bdgt_F'!J2304</f>
        <v>4573417</v>
      </c>
    </row>
    <row r="35" spans="1:9" x14ac:dyDescent="0.2">
      <c r="A35" s="437" t="s">
        <v>1830</v>
      </c>
      <c r="B35" s="437" t="s">
        <v>1830</v>
      </c>
      <c r="C35" s="243">
        <f>'OPEX_ Bdgt_F'!C2460</f>
        <v>3484037</v>
      </c>
      <c r="D35" s="243">
        <f>'OPEX_ Bdgt_F'!D2460</f>
        <v>4748202</v>
      </c>
      <c r="E35" s="243">
        <f>'OPEX_ Bdgt_F'!E2460</f>
        <v>4752802</v>
      </c>
      <c r="F35" s="243">
        <f>'OPEX_ Bdgt_F'!G2460</f>
        <v>4686064.7999999989</v>
      </c>
      <c r="G35" s="243">
        <f>'OPEX_ Bdgt_F'!H2460</f>
        <v>5137869</v>
      </c>
      <c r="H35" s="243">
        <f>'OPEX_ Bdgt_F'!I2460</f>
        <v>5907725</v>
      </c>
      <c r="I35" s="243">
        <f>'OPEX_ Bdgt_F'!J2460</f>
        <v>7243706</v>
      </c>
    </row>
    <row r="36" spans="1:9" x14ac:dyDescent="0.2">
      <c r="A36" s="437" t="s">
        <v>3571</v>
      </c>
      <c r="B36" s="437" t="s">
        <v>2949</v>
      </c>
      <c r="C36" s="243">
        <f>'OPEX_ Bdgt_F'!C2610</f>
        <v>7093</v>
      </c>
      <c r="D36" s="243">
        <f>'OPEX_ Bdgt_F'!D2610</f>
        <v>9357</v>
      </c>
      <c r="E36" s="243">
        <f>'OPEX_ Bdgt_F'!E2610</f>
        <v>9357</v>
      </c>
      <c r="F36" s="243">
        <f>'OPEX_ Bdgt_F'!G2610</f>
        <v>8376</v>
      </c>
      <c r="G36" s="243">
        <f>'OPEX_ Bdgt_F'!H2610</f>
        <v>9214</v>
      </c>
      <c r="H36" s="243">
        <f>'OPEX_ Bdgt_F'!I2610</f>
        <v>9767</v>
      </c>
      <c r="I36" s="243">
        <f>'OPEX_ Bdgt_F'!J2610</f>
        <v>10353</v>
      </c>
    </row>
    <row r="37" spans="1:9" x14ac:dyDescent="0.2">
      <c r="A37" s="437" t="s">
        <v>444</v>
      </c>
      <c r="B37" s="437" t="s">
        <v>2951</v>
      </c>
      <c r="C37" s="243">
        <f>'OPEX_ Bdgt_F'!C2759</f>
        <v>3546194</v>
      </c>
      <c r="D37" s="243">
        <f>'OPEX_ Bdgt_F'!D2759</f>
        <v>6927007</v>
      </c>
      <c r="E37" s="243">
        <f>'OPEX_ Bdgt_F'!E2759</f>
        <v>6927007</v>
      </c>
      <c r="F37" s="243">
        <f>'OPEX_ Bdgt_F'!G2759</f>
        <v>5458208.4000000004</v>
      </c>
      <c r="G37" s="243">
        <f>'OPEX_ Bdgt_F'!H2769-'OPEX_ Bdgt_F'!H695</f>
        <v>6012499</v>
      </c>
      <c r="H37" s="243">
        <f>'OPEX_ Bdgt_F'!I2769-'OPEX_ Bdgt_F'!I695</f>
        <v>6653185</v>
      </c>
      <c r="I37" s="243">
        <f>'OPEX_ Bdgt_F'!J2769-'OPEX_ Bdgt_F'!J695</f>
        <v>7650292</v>
      </c>
    </row>
    <row r="38" spans="1:9" x14ac:dyDescent="0.2">
      <c r="A38" s="437" t="s">
        <v>3571</v>
      </c>
      <c r="B38" s="437" t="s">
        <v>2950</v>
      </c>
      <c r="C38" s="243">
        <f>'OPEX_ Bdgt_F'!C2910</f>
        <v>-678648</v>
      </c>
      <c r="D38" s="243">
        <f>'OPEX_ Bdgt_F'!D2910</f>
        <v>-242491</v>
      </c>
      <c r="E38" s="243">
        <f>'OPEX_ Bdgt_F'!E2910</f>
        <v>-442491</v>
      </c>
      <c r="F38" s="243">
        <f>'OPEX_ Bdgt_F'!G2910</f>
        <v>-490704</v>
      </c>
      <c r="G38" s="243">
        <f>'OPEX_ Bdgt_F'!H2910</f>
        <v>14897432</v>
      </c>
      <c r="H38" s="243">
        <f>'OPEX_ Bdgt_F'!I2910</f>
        <v>18757603</v>
      </c>
      <c r="I38" s="243">
        <f>'OPEX_ Bdgt_F'!J2910</f>
        <v>23637792</v>
      </c>
    </row>
    <row r="39" spans="1:9" x14ac:dyDescent="0.2">
      <c r="A39" s="437" t="s">
        <v>3571</v>
      </c>
      <c r="B39" s="437" t="s">
        <v>1825</v>
      </c>
      <c r="C39" s="243">
        <f>'OPEX_ Bdgt_F'!C3030</f>
        <v>88645</v>
      </c>
      <c r="D39" s="243">
        <f>'OPEX_ Bdgt_F'!D3030</f>
        <v>0</v>
      </c>
      <c r="E39" s="243">
        <f>'OPEX_ Bdgt_F'!E3030</f>
        <v>0</v>
      </c>
      <c r="F39" s="243">
        <f>'OPEX_ Bdgt_F'!G3030</f>
        <v>64200</v>
      </c>
      <c r="G39" s="243">
        <f>'OPEX_ Bdgt_F'!H3030</f>
        <v>155453</v>
      </c>
      <c r="H39" s="243">
        <f>'OPEX_ Bdgt_F'!I3030</f>
        <v>164780</v>
      </c>
      <c r="I39" s="243">
        <f>'OPEX_ Bdgt_F'!J3030</f>
        <v>174666</v>
      </c>
    </row>
    <row r="40" spans="1:9" x14ac:dyDescent="0.2">
      <c r="A40" s="437"/>
      <c r="B40" s="437"/>
      <c r="C40" s="243"/>
      <c r="D40" s="436"/>
      <c r="E40" s="436"/>
      <c r="F40" s="436"/>
      <c r="G40" s="436"/>
      <c r="H40" s="436"/>
      <c r="I40" s="436"/>
    </row>
    <row r="41" spans="1:9" x14ac:dyDescent="0.2">
      <c r="A41" s="437"/>
      <c r="B41" s="437"/>
      <c r="C41" s="436"/>
      <c r="D41" s="436"/>
      <c r="E41" s="436"/>
      <c r="F41" s="436"/>
      <c r="G41" s="436"/>
      <c r="H41" s="436"/>
      <c r="I41" s="436"/>
    </row>
    <row r="42" spans="1:9" x14ac:dyDescent="0.2">
      <c r="A42" s="438" t="s">
        <v>4043</v>
      </c>
      <c r="B42" s="438"/>
      <c r="C42" s="325">
        <f t="shared" ref="C42:I42" si="0">SUM(C8:C41)</f>
        <v>41869437</v>
      </c>
      <c r="D42" s="325">
        <f t="shared" si="0"/>
        <v>57439948</v>
      </c>
      <c r="E42" s="325">
        <f t="shared" si="0"/>
        <v>58055440</v>
      </c>
      <c r="F42" s="325">
        <f t="shared" si="0"/>
        <v>57934310.959999993</v>
      </c>
      <c r="G42" s="325">
        <f t="shared" si="0"/>
        <v>86397141</v>
      </c>
      <c r="H42" s="325">
        <f t="shared" si="0"/>
        <v>95160661</v>
      </c>
      <c r="I42" s="325">
        <f t="shared" si="0"/>
        <v>110208080</v>
      </c>
    </row>
    <row r="43" spans="1:9" x14ac:dyDescent="0.2">
      <c r="A43" s="439"/>
      <c r="B43" s="439"/>
    </row>
    <row r="44" spans="1:9" x14ac:dyDescent="0.2">
      <c r="A44" s="441" t="s">
        <v>1131</v>
      </c>
      <c r="B44" s="439"/>
    </row>
    <row r="45" spans="1:9" x14ac:dyDescent="0.2">
      <c r="A45" s="304" t="s">
        <v>4099</v>
      </c>
      <c r="B45" s="439"/>
    </row>
    <row r="46" spans="1:9" x14ac:dyDescent="0.2">
      <c r="A46" s="304" t="s">
        <v>4100</v>
      </c>
      <c r="B46" s="439"/>
    </row>
    <row r="47" spans="1:9" x14ac:dyDescent="0.2">
      <c r="A47" s="304" t="s">
        <v>4101</v>
      </c>
      <c r="B47" s="439"/>
    </row>
    <row r="48" spans="1:9" x14ac:dyDescent="0.2">
      <c r="A48" s="304" t="s">
        <v>4102</v>
      </c>
      <c r="B48" s="439"/>
    </row>
    <row r="49" spans="1:9" x14ac:dyDescent="0.2">
      <c r="A49" s="304" t="s">
        <v>4103</v>
      </c>
      <c r="B49" s="439"/>
    </row>
    <row r="50" spans="1:9" x14ac:dyDescent="0.2">
      <c r="A50" s="304" t="s">
        <v>4104</v>
      </c>
      <c r="B50" s="439"/>
    </row>
    <row r="51" spans="1:9" x14ac:dyDescent="0.2">
      <c r="A51" s="304" t="s">
        <v>4359</v>
      </c>
      <c r="B51" s="439"/>
    </row>
    <row r="52" spans="1:9" x14ac:dyDescent="0.2">
      <c r="A52" s="439"/>
      <c r="B52" s="439"/>
    </row>
    <row r="53" spans="1:9" x14ac:dyDescent="0.2">
      <c r="A53" s="441" t="s">
        <v>1132</v>
      </c>
    </row>
    <row r="54" spans="1:9" x14ac:dyDescent="0.2">
      <c r="A54" s="442" t="s">
        <v>1833</v>
      </c>
    </row>
    <row r="55" spans="1:9" x14ac:dyDescent="0.2">
      <c r="A55" s="413" t="s">
        <v>1834</v>
      </c>
    </row>
    <row r="56" spans="1:9" x14ac:dyDescent="0.2">
      <c r="A56" s="413" t="s">
        <v>1835</v>
      </c>
    </row>
    <row r="58" spans="1:9" x14ac:dyDescent="0.2">
      <c r="A58" s="762" t="s">
        <v>4056</v>
      </c>
      <c r="B58" s="762"/>
      <c r="C58" s="762"/>
      <c r="D58" s="762"/>
      <c r="E58" s="762"/>
      <c r="F58" s="762"/>
      <c r="G58" s="762"/>
      <c r="H58" s="762"/>
      <c r="I58" s="762"/>
    </row>
  </sheetData>
  <mergeCells count="1">
    <mergeCell ref="A58:I58"/>
  </mergeCells>
  <phoneticPr fontId="3" type="noConversion"/>
  <pageMargins left="0.75" right="0.75" top="1" bottom="1" header="0.5" footer="0.5"/>
  <pageSetup paperSize="9" scale="6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8"/>
  <sheetViews>
    <sheetView view="pageBreakPreview" topLeftCell="D27" zoomScaleNormal="100" workbookViewId="0">
      <selection activeCell="C8" sqref="C8:I39"/>
    </sheetView>
  </sheetViews>
  <sheetFormatPr defaultColWidth="10.6640625" defaultRowHeight="12.75" x14ac:dyDescent="0.2"/>
  <cols>
    <col min="1" max="1" width="57.83203125" style="413" customWidth="1"/>
    <col min="2" max="2" width="33.1640625" style="413" customWidth="1"/>
    <col min="3" max="3" width="21.33203125" style="440" bestFit="1" customWidth="1"/>
    <col min="4" max="4" width="24" style="440" bestFit="1" customWidth="1"/>
    <col min="5" max="6" width="23.6640625" style="440" bestFit="1" customWidth="1"/>
    <col min="7" max="7" width="23.83203125" style="440" bestFit="1" customWidth="1"/>
    <col min="8" max="9" width="23.83203125" style="440" customWidth="1"/>
    <col min="10" max="16384" width="10.6640625" style="413"/>
  </cols>
  <sheetData>
    <row r="1" spans="1:9" x14ac:dyDescent="0.2">
      <c r="A1" s="443"/>
      <c r="B1" s="405"/>
      <c r="C1" s="406" t="s">
        <v>1096</v>
      </c>
      <c r="D1" s="407" t="s">
        <v>1097</v>
      </c>
      <c r="E1" s="408"/>
      <c r="F1" s="409"/>
      <c r="G1" s="410" t="s">
        <v>1098</v>
      </c>
      <c r="H1" s="411"/>
      <c r="I1" s="412"/>
    </row>
    <row r="2" spans="1:9" x14ac:dyDescent="0.2">
      <c r="A2" s="414" t="s">
        <v>1836</v>
      </c>
      <c r="B2" s="414"/>
      <c r="C2" s="415" t="s">
        <v>1103</v>
      </c>
      <c r="D2" s="416" t="s">
        <v>4093</v>
      </c>
      <c r="E2" s="417"/>
      <c r="F2" s="418"/>
      <c r="G2" s="419" t="s">
        <v>1100</v>
      </c>
      <c r="H2" s="414" t="s">
        <v>1101</v>
      </c>
      <c r="I2" s="414" t="s">
        <v>1102</v>
      </c>
    </row>
    <row r="3" spans="1:9" x14ac:dyDescent="0.2">
      <c r="A3" s="420"/>
      <c r="B3" s="420"/>
      <c r="C3" s="421"/>
      <c r="D3" s="422"/>
      <c r="E3" s="423"/>
      <c r="F3" s="424"/>
      <c r="G3" s="425" t="s">
        <v>4094</v>
      </c>
      <c r="H3" s="425" t="s">
        <v>4095</v>
      </c>
      <c r="I3" s="425" t="s">
        <v>4096</v>
      </c>
    </row>
    <row r="4" spans="1:9" x14ac:dyDescent="0.2">
      <c r="A4" s="414" t="s">
        <v>4141</v>
      </c>
      <c r="B4" s="426"/>
      <c r="C4" s="427" t="s">
        <v>1104</v>
      </c>
      <c r="D4" s="406" t="s">
        <v>1105</v>
      </c>
      <c r="E4" s="406" t="s">
        <v>1106</v>
      </c>
      <c r="F4" s="428" t="s">
        <v>1107</v>
      </c>
      <c r="G4" s="428" t="s">
        <v>1108</v>
      </c>
      <c r="H4" s="428" t="s">
        <v>1108</v>
      </c>
      <c r="I4" s="428" t="s">
        <v>1108</v>
      </c>
    </row>
    <row r="5" spans="1:9" x14ac:dyDescent="0.2">
      <c r="A5" s="420"/>
      <c r="B5" s="429"/>
      <c r="C5" s="426" t="s">
        <v>1109</v>
      </c>
      <c r="D5" s="414" t="s">
        <v>1109</v>
      </c>
      <c r="E5" s="414" t="s">
        <v>1109</v>
      </c>
      <c r="F5" s="414" t="s">
        <v>1109</v>
      </c>
      <c r="G5" s="414" t="s">
        <v>1109</v>
      </c>
      <c r="H5" s="414" t="s">
        <v>1109</v>
      </c>
      <c r="I5" s="414" t="s">
        <v>1109</v>
      </c>
    </row>
    <row r="6" spans="1:9" x14ac:dyDescent="0.2">
      <c r="A6" s="430" t="s">
        <v>1829</v>
      </c>
      <c r="B6" s="431" t="s">
        <v>4140</v>
      </c>
      <c r="C6" s="432" t="s">
        <v>1110</v>
      </c>
      <c r="D6" s="433" t="s">
        <v>1111</v>
      </c>
      <c r="E6" s="433" t="s">
        <v>1112</v>
      </c>
      <c r="F6" s="433" t="s">
        <v>1113</v>
      </c>
      <c r="G6" s="433" t="s">
        <v>1114</v>
      </c>
      <c r="H6" s="434" t="s">
        <v>1115</v>
      </c>
      <c r="I6" s="434" t="s">
        <v>1116</v>
      </c>
    </row>
    <row r="7" spans="1:9" x14ac:dyDescent="0.2">
      <c r="A7" s="435"/>
      <c r="B7" s="435"/>
      <c r="C7" s="436"/>
      <c r="D7" s="436"/>
      <c r="E7" s="436"/>
      <c r="F7" s="436"/>
      <c r="G7" s="436"/>
      <c r="H7" s="436"/>
      <c r="I7" s="436"/>
    </row>
    <row r="8" spans="1:9" x14ac:dyDescent="0.2">
      <c r="A8" s="437" t="s">
        <v>1832</v>
      </c>
      <c r="B8" s="437" t="s">
        <v>3575</v>
      </c>
      <c r="C8" s="243">
        <f>'OPEX_ Bdgt_F'!C99-'OPEX_ Bdgt_F'!C93</f>
        <v>3026174</v>
      </c>
      <c r="D8" s="243">
        <f>'OPEX_ Bdgt_F'!D99-'OPEX_ Bdgt_F'!D93</f>
        <v>3629876</v>
      </c>
      <c r="E8" s="243">
        <f>'OPEX_ Bdgt_F'!E99-'OPEX_ Bdgt_F'!E93</f>
        <v>3729876</v>
      </c>
      <c r="F8" s="243">
        <f>'OPEX_ Bdgt_F'!G99-'OPEX_ Bdgt_F'!G93</f>
        <v>3464353.9000000004</v>
      </c>
      <c r="G8" s="243">
        <f>'OPEX_ Bdgt_F'!H99-'OPEX_ Bdgt_F'!H93</f>
        <v>3664021</v>
      </c>
      <c r="H8" s="243">
        <f>'OPEX_ Bdgt_F'!I99-'OPEX_ Bdgt_F'!I93</f>
        <v>3934594</v>
      </c>
      <c r="I8" s="243">
        <f>'OPEX_ Bdgt_F'!J99-'OPEX_ Bdgt_F'!J93</f>
        <v>4227315</v>
      </c>
    </row>
    <row r="9" spans="1:9" x14ac:dyDescent="0.2">
      <c r="A9" s="437" t="s">
        <v>3568</v>
      </c>
      <c r="B9" s="437" t="s">
        <v>3576</v>
      </c>
      <c r="C9" s="243">
        <f>'OPEX_ Bdgt_F'!C226</f>
        <v>352452.76</v>
      </c>
      <c r="D9" s="243">
        <f>'OPEX_ Bdgt_F'!D226</f>
        <v>793081</v>
      </c>
      <c r="E9" s="243">
        <f>'OPEX_ Bdgt_F'!E226</f>
        <v>943081</v>
      </c>
      <c r="F9" s="243">
        <f>'OPEX_ Bdgt_F'!G226</f>
        <v>891115.2</v>
      </c>
      <c r="G9" s="243">
        <f>'OPEX_ Bdgt_F'!H226</f>
        <v>1222247</v>
      </c>
      <c r="H9" s="243">
        <f>'OPEX_ Bdgt_F'!I226</f>
        <v>1312114</v>
      </c>
      <c r="I9" s="243">
        <f>'OPEX_ Bdgt_F'!J226</f>
        <v>1408772</v>
      </c>
    </row>
    <row r="10" spans="1:9" x14ac:dyDescent="0.2">
      <c r="A10" s="437" t="s">
        <v>3569</v>
      </c>
      <c r="B10" s="437" t="s">
        <v>3577</v>
      </c>
      <c r="C10" s="243">
        <f>'OPEX_ Bdgt_F'!C304</f>
        <v>336108</v>
      </c>
      <c r="D10" s="243">
        <f>'OPEX_ Bdgt_F'!D304</f>
        <v>642350</v>
      </c>
      <c r="E10" s="243">
        <f>'OPEX_ Bdgt_F'!E304</f>
        <v>642350</v>
      </c>
      <c r="F10" s="243">
        <f>'OPEX_ Bdgt_F'!G304</f>
        <v>6805.2000000000007</v>
      </c>
      <c r="G10" s="243">
        <f>'OPEX_ Bdgt_F'!H304</f>
        <v>783289</v>
      </c>
      <c r="H10" s="243">
        <f>'OPEX_ Bdgt_F'!I304</f>
        <v>844573</v>
      </c>
      <c r="I10" s="243">
        <f>'OPEX_ Bdgt_F'!J304</f>
        <v>910677</v>
      </c>
    </row>
    <row r="11" spans="1:9" x14ac:dyDescent="0.2">
      <c r="A11" s="437" t="s">
        <v>3570</v>
      </c>
      <c r="B11" s="437" t="s">
        <v>3578</v>
      </c>
      <c r="C11" s="243">
        <f>'OPEX_ Bdgt_F'!C397</f>
        <v>183592</v>
      </c>
      <c r="D11" s="243">
        <f>'OPEX_ Bdgt_F'!D397</f>
        <v>675009</v>
      </c>
      <c r="E11" s="243">
        <f>'OPEX_ Bdgt_F'!E397</f>
        <v>775009</v>
      </c>
      <c r="F11" s="243">
        <f>'OPEX_ Bdgt_F'!G397</f>
        <v>789708</v>
      </c>
      <c r="G11" s="243">
        <f>'OPEX_ Bdgt_F'!H397</f>
        <v>969461</v>
      </c>
      <c r="H11" s="243">
        <f>'OPEX_ Bdgt_F'!I397</f>
        <v>1019087</v>
      </c>
      <c r="I11" s="243">
        <f>'OPEX_ Bdgt_F'!J397</f>
        <v>1096811</v>
      </c>
    </row>
    <row r="12" spans="1:9" x14ac:dyDescent="0.2">
      <c r="A12" s="437" t="s">
        <v>1832</v>
      </c>
      <c r="B12" s="437" t="s">
        <v>3579</v>
      </c>
      <c r="C12" s="243">
        <f>'OPEX_ Bdgt_F'!C473</f>
        <v>133854</v>
      </c>
      <c r="D12" s="243">
        <f>'OPEX_ Bdgt_F'!D473</f>
        <v>642350</v>
      </c>
      <c r="E12" s="243">
        <f>'OPEX_ Bdgt_F'!E473</f>
        <v>692350</v>
      </c>
      <c r="F12" s="243">
        <f>'OPEX_ Bdgt_F'!G473</f>
        <v>209420.39999999997</v>
      </c>
      <c r="G12" s="243">
        <f>'OPEX_ Bdgt_F'!H473</f>
        <v>734127</v>
      </c>
      <c r="H12" s="243">
        <f>'OPEX_ Bdgt_F'!I473</f>
        <v>790317</v>
      </c>
      <c r="I12" s="243">
        <f>'OPEX_ Bdgt_F'!J473</f>
        <v>850850</v>
      </c>
    </row>
    <row r="13" spans="1:9" x14ac:dyDescent="0.2">
      <c r="A13" s="437" t="s">
        <v>3571</v>
      </c>
      <c r="B13" s="437" t="s">
        <v>3580</v>
      </c>
      <c r="C13" s="243">
        <f>'OPEX_ Bdgt_F'!C559</f>
        <v>125469</v>
      </c>
      <c r="D13" s="243">
        <f>'OPEX_ Bdgt_F'!D559</f>
        <v>642350</v>
      </c>
      <c r="E13" s="243">
        <f>'OPEX_ Bdgt_F'!E559</f>
        <v>692350</v>
      </c>
      <c r="F13" s="243">
        <f>'OPEX_ Bdgt_F'!G559</f>
        <v>237079.2</v>
      </c>
      <c r="G13" s="243">
        <f>'OPEX_ Bdgt_F'!H559</f>
        <v>1568368</v>
      </c>
      <c r="H13" s="243">
        <f>'OPEX_ Bdgt_F'!I559</f>
        <v>1691299</v>
      </c>
      <c r="I13" s="243">
        <f>'OPEX_ Bdgt_F'!J559</f>
        <v>1823910</v>
      </c>
    </row>
    <row r="14" spans="1:9" x14ac:dyDescent="0.2">
      <c r="A14" s="437" t="s">
        <v>3570</v>
      </c>
      <c r="B14" s="437" t="s">
        <v>3581</v>
      </c>
      <c r="C14" s="243">
        <f>'OPEX_ Bdgt_F'!C702-'OPEX_ Bdgt_F'!C700+'OPEX_ Bdgt_F'!C689+'OPEX_ Bdgt_F'!C690+'OPEX_ Bdgt_F'!C691</f>
        <v>9108187</v>
      </c>
      <c r="D14" s="243">
        <f>'OPEX_ Bdgt_F'!D702-'OPEX_ Bdgt_F'!D700+'OPEX_ Bdgt_F'!D689+'OPEX_ Bdgt_F'!D690+'OPEX_ Bdgt_F'!D691</f>
        <v>5013038</v>
      </c>
      <c r="E14" s="243">
        <f>'OPEX_ Bdgt_F'!E702-'OPEX_ Bdgt_F'!E700+'OPEX_ Bdgt_F'!E689+'OPEX_ Bdgt_F'!E690+'OPEX_ Bdgt_F'!E691</f>
        <v>5395038</v>
      </c>
      <c r="F14" s="243">
        <f>'OPEX_ Bdgt_F'!G702-'OPEX_ Bdgt_F'!G700+'OPEX_ Bdgt_F'!G689+'OPEX_ Bdgt_F'!G690+'OPEX_ Bdgt_F'!G691</f>
        <v>7511144</v>
      </c>
      <c r="G14" s="243">
        <f>'OPEX_ Bdgt_F'!H702-'OPEX_ Bdgt_F'!H700+'OPEX_ Bdgt_F'!H689+'OPEX_ Bdgt_F'!H690+'OPEX_ Bdgt_F'!H691</f>
        <v>6380560</v>
      </c>
      <c r="H14" s="243">
        <f>'OPEX_ Bdgt_F'!I702-'OPEX_ Bdgt_F'!I700+'OPEX_ Bdgt_F'!I689+'OPEX_ Bdgt_F'!I690+'OPEX_ Bdgt_F'!I691</f>
        <v>6824154</v>
      </c>
      <c r="I14" s="243">
        <f>'OPEX_ Bdgt_F'!J702-'OPEX_ Bdgt_F'!J700+'OPEX_ Bdgt_F'!J689+'OPEX_ Bdgt_F'!J690+'OPEX_ Bdgt_F'!J691</f>
        <v>7306112</v>
      </c>
    </row>
    <row r="15" spans="1:9" x14ac:dyDescent="0.2">
      <c r="A15" s="437" t="s">
        <v>1832</v>
      </c>
      <c r="B15" s="437" t="s">
        <v>3582</v>
      </c>
      <c r="C15" s="243">
        <f>'OPEX_ Bdgt_F'!C780</f>
        <v>26639</v>
      </c>
      <c r="D15" s="243">
        <f>'OPEX_ Bdgt_F'!D780</f>
        <v>307171</v>
      </c>
      <c r="E15" s="243">
        <f>'OPEX_ Bdgt_F'!E780</f>
        <v>307171</v>
      </c>
      <c r="F15" s="243">
        <f>'OPEX_ Bdgt_F'!G780</f>
        <v>118787.99999999999</v>
      </c>
      <c r="G15" s="243">
        <f>'OPEX_ Bdgt_F'!H780</f>
        <v>278500</v>
      </c>
      <c r="H15" s="243">
        <f>'OPEX_ Bdgt_F'!I780</f>
        <v>299690</v>
      </c>
      <c r="I15" s="243">
        <f>'OPEX_ Bdgt_F'!J780</f>
        <v>322509</v>
      </c>
    </row>
    <row r="16" spans="1:9" x14ac:dyDescent="0.2">
      <c r="A16" s="437" t="s">
        <v>3571</v>
      </c>
      <c r="B16" s="437" t="s">
        <v>3583</v>
      </c>
      <c r="C16" s="243">
        <f>'OPEX_ Bdgt_F'!C853</f>
        <v>1565074</v>
      </c>
      <c r="D16" s="243">
        <f>'OPEX_ Bdgt_F'!D853</f>
        <v>2736448</v>
      </c>
      <c r="E16" s="243">
        <f>'OPEX_ Bdgt_F'!E853</f>
        <v>1736448</v>
      </c>
      <c r="F16" s="243">
        <f>'OPEX_ Bdgt_F'!G853</f>
        <v>1183724</v>
      </c>
      <c r="G16" s="243">
        <f>'OPEX_ Bdgt_F'!H853</f>
        <v>2383650</v>
      </c>
      <c r="H16" s="243">
        <f>'OPEX_ Bdgt_F'!I853</f>
        <v>1663635</v>
      </c>
      <c r="I16" s="243">
        <f>'OPEX_ Bdgt_F'!J853</f>
        <v>1762453</v>
      </c>
    </row>
    <row r="17" spans="1:9" x14ac:dyDescent="0.2">
      <c r="A17" s="437" t="s">
        <v>3571</v>
      </c>
      <c r="B17" s="437" t="s">
        <v>3584</v>
      </c>
      <c r="C17" s="243">
        <f>'OPEX_ Bdgt_F'!C953-'OPEX_ Bdgt_F'!C947</f>
        <v>1033691</v>
      </c>
      <c r="D17" s="243">
        <f>'OPEX_ Bdgt_F'!D953-'OPEX_ Bdgt_F'!D947</f>
        <v>2137596</v>
      </c>
      <c r="E17" s="243">
        <f>'OPEX_ Bdgt_F'!E953-'OPEX_ Bdgt_F'!E947</f>
        <v>2137596</v>
      </c>
      <c r="F17" s="243">
        <f>'OPEX_ Bdgt_F'!G953-'OPEX_ Bdgt_F'!G947</f>
        <v>2135031.2000000002</v>
      </c>
      <c r="G17" s="243">
        <f>'OPEX_ Bdgt_F'!H953-'OPEX_ Bdgt_F'!H947</f>
        <v>4171942</v>
      </c>
      <c r="H17" s="243">
        <f>'OPEX_ Bdgt_F'!I953-'OPEX_ Bdgt_F'!I947</f>
        <v>4292879</v>
      </c>
      <c r="I17" s="243">
        <f>'OPEX_ Bdgt_F'!J953-'OPEX_ Bdgt_F'!J947</f>
        <v>4421870</v>
      </c>
    </row>
    <row r="18" spans="1:9" x14ac:dyDescent="0.2">
      <c r="A18" s="437" t="s">
        <v>3571</v>
      </c>
      <c r="B18" s="437" t="s">
        <v>3585</v>
      </c>
      <c r="C18" s="243">
        <f>'OPEX_ Bdgt_F'!C1000</f>
        <v>327564</v>
      </c>
      <c r="D18" s="243">
        <f>'OPEX_ Bdgt_F'!D1000</f>
        <v>479950</v>
      </c>
      <c r="E18" s="243">
        <f>'OPEX_ Bdgt_F'!E1000</f>
        <v>479950</v>
      </c>
      <c r="F18" s="243">
        <f>'OPEX_ Bdgt_F'!G1000</f>
        <v>594138.00000000012</v>
      </c>
      <c r="G18" s="243">
        <f>'OPEX_ Bdgt_F'!H1000</f>
        <v>503948</v>
      </c>
      <c r="H18" s="243">
        <f>'OPEX_ Bdgt_F'!I1000</f>
        <v>534185</v>
      </c>
      <c r="I18" s="243">
        <f>'OPEX_ Bdgt_F'!J1000</f>
        <v>566236</v>
      </c>
    </row>
    <row r="19" spans="1:9" x14ac:dyDescent="0.2">
      <c r="A19" s="437" t="s">
        <v>3571</v>
      </c>
      <c r="B19" s="437" t="s">
        <v>3586</v>
      </c>
      <c r="C19" s="243">
        <v>0</v>
      </c>
      <c r="D19" s="436">
        <v>0</v>
      </c>
      <c r="E19" s="436">
        <v>0</v>
      </c>
      <c r="F19" s="436">
        <v>0</v>
      </c>
      <c r="G19" s="436">
        <v>0</v>
      </c>
      <c r="H19" s="436">
        <v>0</v>
      </c>
      <c r="I19" s="436">
        <v>0</v>
      </c>
    </row>
    <row r="20" spans="1:9" x14ac:dyDescent="0.2">
      <c r="A20" s="437" t="s">
        <v>3569</v>
      </c>
      <c r="B20" s="437" t="s">
        <v>3587</v>
      </c>
      <c r="C20" s="243">
        <f>'OPEX_ Bdgt_F'!C1164</f>
        <v>375461</v>
      </c>
      <c r="D20" s="243">
        <f>'OPEX_ Bdgt_F'!D1164</f>
        <v>876306</v>
      </c>
      <c r="E20" s="243">
        <f>'OPEX_ Bdgt_F'!E1164</f>
        <v>726306</v>
      </c>
      <c r="F20" s="243">
        <f>'OPEX_ Bdgt_F'!G1164</f>
        <v>397421.99999999994</v>
      </c>
      <c r="G20" s="243">
        <f>'OPEX_ Bdgt_F'!H1164</f>
        <v>912925</v>
      </c>
      <c r="H20" s="243">
        <f>'OPEX_ Bdgt_F'!I1164</f>
        <v>984856</v>
      </c>
      <c r="I20" s="243">
        <f>'OPEX_ Bdgt_F'!J1164</f>
        <v>1062476</v>
      </c>
    </row>
    <row r="21" spans="1:9" x14ac:dyDescent="0.2">
      <c r="A21" s="437" t="s">
        <v>1832</v>
      </c>
      <c r="B21" s="437" t="s">
        <v>3588</v>
      </c>
      <c r="C21" s="243">
        <f>'OPEX_ Bdgt_F'!C1281-'OPEX_ Bdgt_F'!C1275</f>
        <v>3119056</v>
      </c>
      <c r="D21" s="243">
        <f>'OPEX_ Bdgt_F'!D1281-'OPEX_ Bdgt_F'!D1275</f>
        <v>3499023</v>
      </c>
      <c r="E21" s="243">
        <f>'OPEX_ Bdgt_F'!E1281-'OPEX_ Bdgt_F'!E1275</f>
        <v>5119023</v>
      </c>
      <c r="F21" s="243">
        <f>'OPEX_ Bdgt_F'!G1281-'OPEX_ Bdgt_F'!G1275</f>
        <v>5372301.5999999996</v>
      </c>
      <c r="G21" s="243">
        <f>'OPEX_ Bdgt_F'!H1281-'OPEX_ Bdgt_F'!H1275</f>
        <v>6436916</v>
      </c>
      <c r="H21" s="243">
        <f>'OPEX_ Bdgt_F'!I1281-'OPEX_ Bdgt_F'!I1275</f>
        <v>6850426</v>
      </c>
      <c r="I21" s="243">
        <f>'OPEX_ Bdgt_F'!J1281-'OPEX_ Bdgt_F'!J1275</f>
        <v>7290927</v>
      </c>
    </row>
    <row r="22" spans="1:9" x14ac:dyDescent="0.2">
      <c r="A22" s="437" t="s">
        <v>3572</v>
      </c>
      <c r="B22" s="437" t="s">
        <v>24</v>
      </c>
      <c r="C22" s="243">
        <f>'OPEX_ Bdgt_F'!C1415</f>
        <v>467343</v>
      </c>
      <c r="D22" s="243">
        <f>'OPEX_ Bdgt_F'!D1415</f>
        <v>936532</v>
      </c>
      <c r="E22" s="243">
        <f>'OPEX_ Bdgt_F'!E1415</f>
        <v>1036532</v>
      </c>
      <c r="F22" s="243">
        <f>'OPEX_ Bdgt_F'!G1415</f>
        <v>526707.6</v>
      </c>
      <c r="G22" s="243">
        <f>'OPEX_ Bdgt_F'!H1415</f>
        <v>1966028</v>
      </c>
      <c r="H22" s="243">
        <f>'OPEX_ Bdgt_F'!I1415</f>
        <v>2587468</v>
      </c>
      <c r="I22" s="243">
        <f>'OPEX_ Bdgt_F'!J1415</f>
        <v>2739372</v>
      </c>
    </row>
    <row r="23" spans="1:9" x14ac:dyDescent="0.2">
      <c r="A23" s="437" t="s">
        <v>3573</v>
      </c>
      <c r="B23" s="437" t="s">
        <v>3589</v>
      </c>
      <c r="C23" s="243">
        <f>'OPEX_ Bdgt_F'!C1461</f>
        <v>0</v>
      </c>
      <c r="D23" s="243">
        <f>'OPEX_ Bdgt_F'!D1461</f>
        <v>0</v>
      </c>
      <c r="E23" s="243">
        <f>'OPEX_ Bdgt_F'!E1461</f>
        <v>0</v>
      </c>
      <c r="F23" s="243">
        <f>'OPEX_ Bdgt_F'!G1461</f>
        <v>67014</v>
      </c>
      <c r="G23" s="243">
        <f>'OPEX_ Bdgt_F'!H1461</f>
        <v>216573</v>
      </c>
      <c r="H23" s="243">
        <f>'OPEX_ Bdgt_F'!I1461</f>
        <v>233542</v>
      </c>
      <c r="I23" s="243">
        <f>'OPEX_ Bdgt_F'!J1461</f>
        <v>251849</v>
      </c>
    </row>
    <row r="24" spans="1:9" x14ac:dyDescent="0.2">
      <c r="A24" s="437" t="s">
        <v>3574</v>
      </c>
      <c r="B24" s="437" t="s">
        <v>3590</v>
      </c>
      <c r="C24" s="243">
        <f>'OPEX_ Bdgt_F'!C1554</f>
        <v>318370</v>
      </c>
      <c r="D24" s="243">
        <f>'OPEX_ Bdgt_F'!D1554</f>
        <v>471770</v>
      </c>
      <c r="E24" s="243">
        <f>'OPEX_ Bdgt_F'!E1554</f>
        <v>471770</v>
      </c>
      <c r="F24" s="243">
        <f>'OPEX_ Bdgt_F'!G1554</f>
        <v>633386.40000000014</v>
      </c>
      <c r="G24" s="243">
        <f>'OPEX_ Bdgt_F'!H1554</f>
        <v>127360</v>
      </c>
      <c r="H24" s="243">
        <f>'OPEX_ Bdgt_F'!I1554</f>
        <v>136805</v>
      </c>
      <c r="I24" s="243">
        <f>'OPEX_ Bdgt_F'!J1554</f>
        <v>146965</v>
      </c>
    </row>
    <row r="25" spans="1:9" x14ac:dyDescent="0.2">
      <c r="A25" s="437" t="s">
        <v>3571</v>
      </c>
      <c r="B25" s="437" t="s">
        <v>3564</v>
      </c>
      <c r="C25" s="243">
        <f>'OPEX_ Bdgt_F'!C1651</f>
        <v>1018984</v>
      </c>
      <c r="D25" s="243">
        <f>'OPEX_ Bdgt_F'!D1651</f>
        <v>1297767</v>
      </c>
      <c r="E25" s="243">
        <f>'OPEX_ Bdgt_F'!E1651</f>
        <v>1297767</v>
      </c>
      <c r="F25" s="243">
        <f>'OPEX_ Bdgt_F'!G1651</f>
        <v>1118414.4000000001</v>
      </c>
      <c r="G25" s="243">
        <f>'OPEX_ Bdgt_F'!H1651</f>
        <v>1230521</v>
      </c>
      <c r="H25" s="243">
        <f>'OPEX_ Bdgt_F'!I1651</f>
        <v>1327178</v>
      </c>
      <c r="I25" s="243">
        <f>'OPEX_ Bdgt_F'!J1651</f>
        <v>1431458</v>
      </c>
    </row>
    <row r="26" spans="1:9" x14ac:dyDescent="0.2">
      <c r="A26" s="437" t="s">
        <v>3571</v>
      </c>
      <c r="B26" s="437" t="s">
        <v>3591</v>
      </c>
      <c r="C26" s="243">
        <f>'OPEX_ Bdgt_F'!C1722</f>
        <v>377596</v>
      </c>
      <c r="D26" s="243">
        <f>'OPEX_ Bdgt_F'!D1722</f>
        <v>848018</v>
      </c>
      <c r="E26" s="243">
        <f>'OPEX_ Bdgt_F'!E1722</f>
        <v>848018</v>
      </c>
      <c r="F26" s="243">
        <f>'OPEX_ Bdgt_F'!G1722</f>
        <v>532465.19999999995</v>
      </c>
      <c r="G26" s="243">
        <f>'OPEX_ Bdgt_F'!H1722</f>
        <v>1153396</v>
      </c>
      <c r="H26" s="243">
        <f>'OPEX_ Bdgt_F'!I1722</f>
        <v>1233828</v>
      </c>
      <c r="I26" s="243">
        <f>'OPEX_ Bdgt_F'!J1722</f>
        <v>1319892</v>
      </c>
    </row>
    <row r="27" spans="1:9" x14ac:dyDescent="0.2">
      <c r="A27" s="437" t="s">
        <v>3571</v>
      </c>
      <c r="B27" s="437" t="s">
        <v>1831</v>
      </c>
      <c r="C27" s="243">
        <f>'OPEX_ Bdgt_F'!C1778</f>
        <v>5563</v>
      </c>
      <c r="D27" s="243">
        <f>'OPEX_ Bdgt_F'!D1778</f>
        <v>1050000</v>
      </c>
      <c r="E27" s="243">
        <f>'OPEX_ Bdgt_F'!E1778</f>
        <v>450000</v>
      </c>
      <c r="F27" s="243">
        <f>'OPEX_ Bdgt_F'!G1778</f>
        <v>21237.599999999999</v>
      </c>
      <c r="G27" s="243">
        <f>'OPEX_ Bdgt_F'!H1778</f>
        <v>440494</v>
      </c>
      <c r="H27" s="243">
        <f>'OPEX_ Bdgt_F'!I1778</f>
        <v>466924</v>
      </c>
      <c r="I27" s="243">
        <f>'OPEX_ Bdgt_F'!J1778</f>
        <v>494939</v>
      </c>
    </row>
    <row r="28" spans="1:9" x14ac:dyDescent="0.2">
      <c r="A28" s="437" t="s">
        <v>3571</v>
      </c>
      <c r="B28" s="437" t="s">
        <v>3592</v>
      </c>
      <c r="C28" s="243">
        <f>'OPEX_ Bdgt_F'!C1883</f>
        <v>538459</v>
      </c>
      <c r="D28" s="243">
        <f>'OPEX_ Bdgt_F'!D1883</f>
        <v>546450</v>
      </c>
      <c r="E28" s="243">
        <f>'OPEX_ Bdgt_F'!E1883</f>
        <v>550765</v>
      </c>
      <c r="F28" s="243">
        <f>'OPEX_ Bdgt_F'!G1883</f>
        <v>454564.8000000001</v>
      </c>
      <c r="G28" s="243">
        <f>'OPEX_ Bdgt_F'!H1883</f>
        <v>864992</v>
      </c>
      <c r="H28" s="243">
        <f>'OPEX_ Bdgt_F'!I1883</f>
        <v>933759</v>
      </c>
      <c r="I28" s="243">
        <f>'OPEX_ Bdgt_F'!J1883</f>
        <v>1008000</v>
      </c>
    </row>
    <row r="29" spans="1:9" x14ac:dyDescent="0.2">
      <c r="A29" s="437" t="s">
        <v>3571</v>
      </c>
      <c r="B29" s="437" t="s">
        <v>248</v>
      </c>
      <c r="C29" s="243">
        <f>'OPEX_ Bdgt_F'!C1963</f>
        <v>2690414</v>
      </c>
      <c r="D29" s="243">
        <f>'OPEX_ Bdgt_F'!D1963</f>
        <v>1980334</v>
      </c>
      <c r="E29" s="243">
        <f>'OPEX_ Bdgt_F'!E1963</f>
        <v>1930334</v>
      </c>
      <c r="F29" s="243">
        <f>'OPEX_ Bdgt_F'!G1963</f>
        <v>6239084.3999999994</v>
      </c>
      <c r="G29" s="243">
        <f>'OPEX_ Bdgt_F'!H1963</f>
        <v>2139133</v>
      </c>
      <c r="H29" s="243">
        <f>'OPEX_ Bdgt_F'!I1963</f>
        <v>2282205</v>
      </c>
      <c r="I29" s="243">
        <f>'OPEX_ Bdgt_F'!J1963</f>
        <v>2435041</v>
      </c>
    </row>
    <row r="30" spans="1:9" x14ac:dyDescent="0.2">
      <c r="A30" s="437" t="s">
        <v>3571</v>
      </c>
      <c r="B30" s="437" t="s">
        <v>2944</v>
      </c>
      <c r="C30" s="243">
        <f>'OPEX_ Bdgt_F'!C2004</f>
        <v>17708</v>
      </c>
      <c r="D30" s="243">
        <f>'OPEX_ Bdgt_F'!D2004</f>
        <v>233500</v>
      </c>
      <c r="E30" s="243">
        <f>'OPEX_ Bdgt_F'!E2004</f>
        <v>133500</v>
      </c>
      <c r="F30" s="243">
        <f>'OPEX_ Bdgt_F'!G2004</f>
        <v>193767.60000000003</v>
      </c>
      <c r="G30" s="243">
        <f>'OPEX_ Bdgt_F'!H2004</f>
        <v>140175</v>
      </c>
      <c r="H30" s="243">
        <f>'OPEX_ Bdgt_F'!I2004</f>
        <v>147184</v>
      </c>
      <c r="I30" s="243">
        <f>'OPEX_ Bdgt_F'!J2004</f>
        <v>154544</v>
      </c>
    </row>
    <row r="31" spans="1:9" x14ac:dyDescent="0.2">
      <c r="A31" s="437" t="s">
        <v>3571</v>
      </c>
      <c r="B31" s="437" t="s">
        <v>2945</v>
      </c>
      <c r="C31" s="243">
        <f>'OPEX_ Bdgt_F'!C2103</f>
        <v>98591</v>
      </c>
      <c r="D31" s="243">
        <f>'OPEX_ Bdgt_F'!D2103</f>
        <v>271606</v>
      </c>
      <c r="E31" s="243">
        <f>'OPEX_ Bdgt_F'!E2103</f>
        <v>271606</v>
      </c>
      <c r="F31" s="243">
        <f>'OPEX_ Bdgt_F'!G2103</f>
        <v>131407.20000000001</v>
      </c>
      <c r="G31" s="243">
        <f>'OPEX_ Bdgt_F'!H2103</f>
        <v>356372</v>
      </c>
      <c r="H31" s="243">
        <f>'OPEX_ Bdgt_F'!I2103</f>
        <v>382408</v>
      </c>
      <c r="I31" s="243">
        <f>'OPEX_ Bdgt_F'!J2103</f>
        <v>410380</v>
      </c>
    </row>
    <row r="32" spans="1:9" x14ac:dyDescent="0.2">
      <c r="A32" s="437" t="s">
        <v>3571</v>
      </c>
      <c r="B32" s="437" t="s">
        <v>2946</v>
      </c>
      <c r="C32" s="243">
        <f>'OPEX_ Bdgt_F'!C2193</f>
        <v>870258</v>
      </c>
      <c r="D32" s="243">
        <f>'OPEX_ Bdgt_F'!D2193</f>
        <v>1741130</v>
      </c>
      <c r="E32" s="243">
        <f>'OPEX_ Bdgt_F'!E2193</f>
        <v>1741130</v>
      </c>
      <c r="F32" s="243">
        <f>'OPEX_ Bdgt_F'!G2193</f>
        <v>941926.8</v>
      </c>
      <c r="G32" s="243">
        <f>'OPEX_ Bdgt_F'!H2193</f>
        <v>2458497</v>
      </c>
      <c r="H32" s="243">
        <f>'OPEX_ Bdgt_F'!I2193</f>
        <v>2663596</v>
      </c>
      <c r="I32" s="243">
        <f>'OPEX_ Bdgt_F'!J2193</f>
        <v>2887902</v>
      </c>
    </row>
    <row r="33" spans="1:9" x14ac:dyDescent="0.2">
      <c r="A33" s="437" t="s">
        <v>3571</v>
      </c>
      <c r="B33" s="437" t="s">
        <v>2947</v>
      </c>
      <c r="C33" s="243">
        <f>'OPEX_ Bdgt_F'!C2260</f>
        <v>332684</v>
      </c>
      <c r="D33" s="243">
        <f>'OPEX_ Bdgt_F'!D2260</f>
        <v>499816</v>
      </c>
      <c r="E33" s="243">
        <f>'OPEX_ Bdgt_F'!E2260</f>
        <v>499816</v>
      </c>
      <c r="F33" s="243">
        <f>'OPEX_ Bdgt_F'!G2260</f>
        <v>417237.60000000003</v>
      </c>
      <c r="G33" s="243">
        <f>'OPEX_ Bdgt_F'!H2260</f>
        <v>606193</v>
      </c>
      <c r="H33" s="243">
        <f>'OPEX_ Bdgt_F'!I2260</f>
        <v>653983</v>
      </c>
      <c r="I33" s="243">
        <f>'OPEX_ Bdgt_F'!J2260</f>
        <v>705552</v>
      </c>
    </row>
    <row r="34" spans="1:9" x14ac:dyDescent="0.2">
      <c r="A34" s="437" t="s">
        <v>3571</v>
      </c>
      <c r="B34" s="437" t="s">
        <v>2948</v>
      </c>
      <c r="C34" s="243">
        <f>'OPEX_ Bdgt_F'!C2386</f>
        <v>5178613</v>
      </c>
      <c r="D34" s="243">
        <f>'OPEX_ Bdgt_F'!D2386</f>
        <v>4761043</v>
      </c>
      <c r="E34" s="243">
        <f>'OPEX_ Bdgt_F'!E2386</f>
        <v>4761043</v>
      </c>
      <c r="F34" s="243">
        <f>'OPEX_ Bdgt_F'!G2386</f>
        <v>2717603.9999999995</v>
      </c>
      <c r="G34" s="243">
        <f>'OPEX_ Bdgt_F'!H2386</f>
        <v>7923143</v>
      </c>
      <c r="H34" s="243">
        <f>'OPEX_ Bdgt_F'!I2386</f>
        <v>8593247</v>
      </c>
      <c r="I34" s="243">
        <f>'OPEX_ Bdgt_F'!J2386</f>
        <v>9313912</v>
      </c>
    </row>
    <row r="35" spans="1:9" x14ac:dyDescent="0.2">
      <c r="A35" s="437" t="s">
        <v>1830</v>
      </c>
      <c r="B35" s="437" t="s">
        <v>1830</v>
      </c>
      <c r="C35" s="243">
        <f>'OPEX_ Bdgt_F'!C2560-'OPEX_ Bdgt_F'!C2553</f>
        <v>7474715</v>
      </c>
      <c r="D35" s="243">
        <f>'OPEX_ Bdgt_F'!D2560-'OPEX_ Bdgt_F'!D2553</f>
        <v>7391984</v>
      </c>
      <c r="E35" s="243">
        <f>'OPEX_ Bdgt_F'!E2560-'OPEX_ Bdgt_F'!E2553</f>
        <v>7291984</v>
      </c>
      <c r="F35" s="243">
        <f>'OPEX_ Bdgt_F'!G2560-'OPEX_ Bdgt_F'!G2553</f>
        <v>5509267.1999999993</v>
      </c>
      <c r="G35" s="243">
        <f>'OPEX_ Bdgt_F'!H2560-'OPEX_ Bdgt_F'!H2553</f>
        <v>8272033</v>
      </c>
      <c r="H35" s="243">
        <f>'OPEX_ Bdgt_F'!I2560-'OPEX_ Bdgt_F'!I2553</f>
        <v>8937360</v>
      </c>
      <c r="I35" s="243">
        <f>'OPEX_ Bdgt_F'!J2560-'OPEX_ Bdgt_F'!J2553</f>
        <v>9682213</v>
      </c>
    </row>
    <row r="36" spans="1:9" x14ac:dyDescent="0.2">
      <c r="A36" s="437" t="s">
        <v>3571</v>
      </c>
      <c r="B36" s="437" t="s">
        <v>2949</v>
      </c>
      <c r="C36" s="243">
        <f>'OPEX_ Bdgt_F'!C2685</f>
        <v>1994731</v>
      </c>
      <c r="D36" s="243">
        <f>'OPEX_ Bdgt_F'!D2685</f>
        <v>2686026</v>
      </c>
      <c r="E36" s="243">
        <f>'OPEX_ Bdgt_F'!E2685</f>
        <v>2532334</v>
      </c>
      <c r="F36" s="243">
        <f>'OPEX_ Bdgt_F'!G2685</f>
        <v>2921811.6</v>
      </c>
      <c r="G36" s="243">
        <f>'OPEX_ Bdgt_F'!H2685</f>
        <v>7805533</v>
      </c>
      <c r="H36" s="243">
        <f>'OPEX_ Bdgt_F'!I2685</f>
        <v>8317953</v>
      </c>
      <c r="I36" s="243">
        <f>'OPEX_ Bdgt_F'!J2685</f>
        <v>9022406</v>
      </c>
    </row>
    <row r="37" spans="1:9" x14ac:dyDescent="0.2">
      <c r="A37" s="437" t="s">
        <v>444</v>
      </c>
      <c r="B37" s="437" t="s">
        <v>2951</v>
      </c>
      <c r="C37" s="243">
        <f>'OPEX_ Bdgt_F'!C2863-'OPEX_ Bdgt_F'!C2856-'OPEX_ Bdgt_F'!C2861</f>
        <v>7094443</v>
      </c>
      <c r="D37" s="243">
        <f>'OPEX_ Bdgt_F'!D2863-'OPEX_ Bdgt_F'!D2856-'OPEX_ Bdgt_F'!D2861</f>
        <v>6930726</v>
      </c>
      <c r="E37" s="243">
        <f>'OPEX_ Bdgt_F'!E2863-'OPEX_ Bdgt_F'!E2856-'OPEX_ Bdgt_F'!E2861</f>
        <v>6930726</v>
      </c>
      <c r="F37" s="243">
        <f>'OPEX_ Bdgt_F'!G2863-'OPEX_ Bdgt_F'!G2856-'OPEX_ Bdgt_F'!G2861</f>
        <v>5338705.2000000011</v>
      </c>
      <c r="G37" s="243">
        <f>'OPEX_ Bdgt_F'!H2863-'OPEX_ Bdgt_F'!H2856-'OPEX_ Bdgt_F'!H2861</f>
        <v>8562718</v>
      </c>
      <c r="H37" s="243">
        <f>'OPEX_ Bdgt_F'!I2863-'OPEX_ Bdgt_F'!I2856-'OPEX_ Bdgt_F'!I2861</f>
        <v>9006002</v>
      </c>
      <c r="I37" s="243">
        <f>'OPEX_ Bdgt_F'!J2863-'OPEX_ Bdgt_F'!J2856-'OPEX_ Bdgt_F'!J2861</f>
        <v>9734985</v>
      </c>
    </row>
    <row r="38" spans="1:9" x14ac:dyDescent="0.2">
      <c r="A38" s="437" t="s">
        <v>3571</v>
      </c>
      <c r="B38" s="437" t="s">
        <v>2950</v>
      </c>
      <c r="C38" s="243">
        <f>'OPEX_ Bdgt_F'!C2984-'OPEX_ Bdgt_F'!C2982</f>
        <v>44064</v>
      </c>
      <c r="D38" s="243">
        <f>'OPEX_ Bdgt_F'!D2984-'OPEX_ Bdgt_F'!D2982</f>
        <v>340418</v>
      </c>
      <c r="E38" s="243">
        <f>'OPEX_ Bdgt_F'!E2984-'OPEX_ Bdgt_F'!E2982</f>
        <v>340418</v>
      </c>
      <c r="F38" s="243">
        <f>'OPEX_ Bdgt_F'!G2984-'OPEX_ Bdgt_F'!G2982</f>
        <v>337134</v>
      </c>
      <c r="G38" s="243">
        <f>'OPEX_ Bdgt_F'!H2984-'OPEX_ Bdgt_F'!H2982</f>
        <v>11114918</v>
      </c>
      <c r="H38" s="243">
        <f>'OPEX_ Bdgt_F'!I2984-'OPEX_ Bdgt_F'!I2982</f>
        <v>13626884</v>
      </c>
      <c r="I38" s="243">
        <f>'OPEX_ Bdgt_F'!J2984-'OPEX_ Bdgt_F'!J2982</f>
        <v>16758796</v>
      </c>
    </row>
    <row r="39" spans="1:9" x14ac:dyDescent="0.2">
      <c r="A39" s="437" t="s">
        <v>3571</v>
      </c>
      <c r="B39" s="437" t="s">
        <v>1825</v>
      </c>
      <c r="C39" s="243">
        <f>'OPEX_ Bdgt_F'!C3059</f>
        <v>29824</v>
      </c>
      <c r="D39" s="243">
        <f>'OPEX_ Bdgt_F'!D3059</f>
        <v>148050</v>
      </c>
      <c r="E39" s="243">
        <f>'OPEX_ Bdgt_F'!E3059</f>
        <v>148050</v>
      </c>
      <c r="F39" s="243">
        <f>'OPEX_ Bdgt_F'!G3059</f>
        <v>6355.2000000000007</v>
      </c>
      <c r="G39" s="243">
        <f>'OPEX_ Bdgt_F'!H3059</f>
        <v>155453</v>
      </c>
      <c r="H39" s="243">
        <f>'OPEX_ Bdgt_F'!I3059</f>
        <v>164780</v>
      </c>
      <c r="I39" s="243">
        <f>'OPEX_ Bdgt_F'!J3059</f>
        <v>174666</v>
      </c>
    </row>
    <row r="40" spans="1:9" x14ac:dyDescent="0.2">
      <c r="A40" s="437"/>
      <c r="B40" s="437"/>
      <c r="C40" s="243"/>
      <c r="D40" s="436"/>
      <c r="E40" s="436"/>
      <c r="F40" s="436"/>
      <c r="G40" s="436"/>
      <c r="H40" s="436"/>
      <c r="I40" s="436"/>
    </row>
    <row r="41" spans="1:9" x14ac:dyDescent="0.2">
      <c r="A41" s="437"/>
      <c r="B41" s="437"/>
      <c r="C41" s="436"/>
      <c r="D41" s="436"/>
      <c r="E41" s="436"/>
      <c r="F41" s="436"/>
      <c r="G41" s="436"/>
      <c r="H41" s="436"/>
      <c r="I41" s="436"/>
    </row>
    <row r="42" spans="1:9" x14ac:dyDescent="0.2">
      <c r="A42" s="438" t="s">
        <v>4025</v>
      </c>
      <c r="B42" s="438"/>
      <c r="C42" s="325">
        <f t="shared" ref="C42:I42" si="0">SUM(C8:C41)</f>
        <v>48265681.759999998</v>
      </c>
      <c r="D42" s="325">
        <f t="shared" si="0"/>
        <v>54209718</v>
      </c>
      <c r="E42" s="325">
        <f t="shared" si="0"/>
        <v>54612341</v>
      </c>
      <c r="F42" s="325">
        <f t="shared" si="0"/>
        <v>51019121.500000007</v>
      </c>
      <c r="G42" s="325">
        <f t="shared" si="0"/>
        <v>85543486</v>
      </c>
      <c r="H42" s="325">
        <f t="shared" si="0"/>
        <v>92736915</v>
      </c>
      <c r="I42" s="325">
        <f t="shared" si="0"/>
        <v>101723790</v>
      </c>
    </row>
    <row r="44" spans="1:9" x14ac:dyDescent="0.2">
      <c r="A44" s="441" t="s">
        <v>1131</v>
      </c>
    </row>
    <row r="45" spans="1:9" x14ac:dyDescent="0.2">
      <c r="A45" s="304" t="s">
        <v>4099</v>
      </c>
    </row>
    <row r="46" spans="1:9" x14ac:dyDescent="0.2">
      <c r="A46" s="304" t="s">
        <v>4100</v>
      </c>
    </row>
    <row r="47" spans="1:9" x14ac:dyDescent="0.2">
      <c r="A47" s="304" t="s">
        <v>4101</v>
      </c>
    </row>
    <row r="48" spans="1:9" x14ac:dyDescent="0.2">
      <c r="A48" s="304" t="s">
        <v>4102</v>
      </c>
    </row>
    <row r="49" spans="1:9" x14ac:dyDescent="0.2">
      <c r="A49" s="304" t="s">
        <v>4103</v>
      </c>
    </row>
    <row r="50" spans="1:9" x14ac:dyDescent="0.2">
      <c r="A50" s="304" t="s">
        <v>4104</v>
      </c>
    </row>
    <row r="51" spans="1:9" x14ac:dyDescent="0.2">
      <c r="A51" s="304" t="s">
        <v>4359</v>
      </c>
    </row>
    <row r="53" spans="1:9" x14ac:dyDescent="0.2">
      <c r="A53" s="441" t="s">
        <v>1132</v>
      </c>
    </row>
    <row r="54" spans="1:9" x14ac:dyDescent="0.2">
      <c r="A54" s="442" t="s">
        <v>1833</v>
      </c>
    </row>
    <row r="55" spans="1:9" x14ac:dyDescent="0.2">
      <c r="A55" s="413" t="s">
        <v>2669</v>
      </c>
    </row>
    <row r="56" spans="1:9" x14ac:dyDescent="0.2">
      <c r="A56" s="413" t="s">
        <v>2670</v>
      </c>
    </row>
    <row r="58" spans="1:9" x14ac:dyDescent="0.2">
      <c r="A58" s="762" t="s">
        <v>4060</v>
      </c>
      <c r="B58" s="762"/>
      <c r="C58" s="762"/>
      <c r="D58" s="762"/>
      <c r="E58" s="762"/>
      <c r="F58" s="762"/>
      <c r="G58" s="762"/>
      <c r="H58" s="762"/>
      <c r="I58" s="762"/>
    </row>
  </sheetData>
  <mergeCells count="1">
    <mergeCell ref="A58:I58"/>
  </mergeCells>
  <phoneticPr fontId="3" type="noConversion"/>
  <pageMargins left="0.75" right="0.75" top="1" bottom="1" header="0.5" footer="0.5"/>
  <pageSetup paperSize="9" scale="6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8"/>
  <sheetViews>
    <sheetView view="pageBreakPreview" topLeftCell="D19" zoomScaleNormal="100" workbookViewId="0">
      <selection activeCell="C39" sqref="C8:I39"/>
    </sheetView>
  </sheetViews>
  <sheetFormatPr defaultColWidth="10.6640625" defaultRowHeight="12.75" x14ac:dyDescent="0.2"/>
  <cols>
    <col min="1" max="1" width="57.83203125" style="413" customWidth="1"/>
    <col min="2" max="2" width="33.1640625" style="413" customWidth="1"/>
    <col min="3" max="3" width="21.33203125" style="440" bestFit="1" customWidth="1"/>
    <col min="4" max="4" width="24" style="440" bestFit="1" customWidth="1"/>
    <col min="5" max="6" width="23.6640625" style="440" bestFit="1" customWidth="1"/>
    <col min="7" max="7" width="23.83203125" style="440" bestFit="1" customWidth="1"/>
    <col min="8" max="9" width="23.83203125" style="440" customWidth="1"/>
    <col min="10" max="16384" width="10.6640625" style="413"/>
  </cols>
  <sheetData>
    <row r="1" spans="1:9" x14ac:dyDescent="0.2">
      <c r="A1" s="443"/>
      <c r="B1" s="405"/>
      <c r="C1" s="406" t="s">
        <v>1096</v>
      </c>
      <c r="D1" s="407" t="s">
        <v>1097</v>
      </c>
      <c r="E1" s="408"/>
      <c r="F1" s="409"/>
      <c r="G1" s="410" t="s">
        <v>1098</v>
      </c>
      <c r="H1" s="411"/>
      <c r="I1" s="412"/>
    </row>
    <row r="2" spans="1:9" x14ac:dyDescent="0.2">
      <c r="A2" s="414" t="s">
        <v>2671</v>
      </c>
      <c r="B2" s="414"/>
      <c r="C2" s="415" t="s">
        <v>1103</v>
      </c>
      <c r="D2" s="416" t="s">
        <v>4093</v>
      </c>
      <c r="E2" s="417"/>
      <c r="F2" s="418"/>
      <c r="G2" s="419" t="s">
        <v>1100</v>
      </c>
      <c r="H2" s="414" t="s">
        <v>1101</v>
      </c>
      <c r="I2" s="414" t="s">
        <v>1102</v>
      </c>
    </row>
    <row r="3" spans="1:9" x14ac:dyDescent="0.2">
      <c r="A3" s="420"/>
      <c r="B3" s="420"/>
      <c r="C3" s="421"/>
      <c r="D3" s="422"/>
      <c r="E3" s="423"/>
      <c r="F3" s="424"/>
      <c r="G3" s="425" t="s">
        <v>4094</v>
      </c>
      <c r="H3" s="425" t="s">
        <v>4095</v>
      </c>
      <c r="I3" s="425" t="s">
        <v>4096</v>
      </c>
    </row>
    <row r="4" spans="1:9" x14ac:dyDescent="0.2">
      <c r="A4" s="414" t="s">
        <v>4142</v>
      </c>
      <c r="B4" s="426"/>
      <c r="C4" s="427" t="s">
        <v>1104</v>
      </c>
      <c r="D4" s="406" t="s">
        <v>1105</v>
      </c>
      <c r="E4" s="406" t="s">
        <v>1106</v>
      </c>
      <c r="F4" s="428" t="s">
        <v>1107</v>
      </c>
      <c r="G4" s="428" t="s">
        <v>1108</v>
      </c>
      <c r="H4" s="428" t="s">
        <v>1108</v>
      </c>
      <c r="I4" s="428" t="s">
        <v>1108</v>
      </c>
    </row>
    <row r="5" spans="1:9" x14ac:dyDescent="0.2">
      <c r="A5" s="420"/>
      <c r="B5" s="429"/>
      <c r="C5" s="426" t="s">
        <v>1109</v>
      </c>
      <c r="D5" s="414" t="s">
        <v>1109</v>
      </c>
      <c r="E5" s="414" t="s">
        <v>1109</v>
      </c>
      <c r="F5" s="414" t="s">
        <v>1109</v>
      </c>
      <c r="G5" s="414" t="s">
        <v>1109</v>
      </c>
      <c r="H5" s="414" t="s">
        <v>1109</v>
      </c>
      <c r="I5" s="414" t="s">
        <v>1109</v>
      </c>
    </row>
    <row r="6" spans="1:9" x14ac:dyDescent="0.2">
      <c r="A6" s="430" t="s">
        <v>1829</v>
      </c>
      <c r="B6" s="431" t="s">
        <v>4140</v>
      </c>
      <c r="C6" s="432" t="s">
        <v>1110</v>
      </c>
      <c r="D6" s="433" t="s">
        <v>1111</v>
      </c>
      <c r="E6" s="433" t="s">
        <v>1112</v>
      </c>
      <c r="F6" s="433" t="s">
        <v>1113</v>
      </c>
      <c r="G6" s="433" t="s">
        <v>1114</v>
      </c>
      <c r="H6" s="434" t="s">
        <v>1115</v>
      </c>
      <c r="I6" s="434" t="s">
        <v>1116</v>
      </c>
    </row>
    <row r="7" spans="1:9" x14ac:dyDescent="0.2">
      <c r="A7" s="435"/>
      <c r="B7" s="435"/>
      <c r="C7" s="436"/>
      <c r="D7" s="436"/>
      <c r="E7" s="436"/>
      <c r="F7" s="436"/>
      <c r="G7" s="436"/>
      <c r="H7" s="436"/>
      <c r="I7" s="436"/>
    </row>
    <row r="8" spans="1:9" x14ac:dyDescent="0.2">
      <c r="A8" s="437" t="s">
        <v>1832</v>
      </c>
      <c r="B8" s="437" t="s">
        <v>3575</v>
      </c>
      <c r="C8" s="243">
        <f>'Table 3 - Capex by Vote'!B8+25711</f>
        <v>128781</v>
      </c>
      <c r="D8" s="243">
        <f>'Table 3 - Capex by Vote'!C8</f>
        <v>2093221</v>
      </c>
      <c r="E8" s="243">
        <f>'Table 3 - Capex by Vote'!D8</f>
        <v>2093221</v>
      </c>
      <c r="F8" s="243">
        <f>'Table 3 - Capex by Vote'!E8</f>
        <v>459351</v>
      </c>
      <c r="G8" s="243">
        <f>'Table 3 - Capex by Vote'!F8</f>
        <v>1633870</v>
      </c>
      <c r="H8" s="243">
        <f>'Table 3 - Capex by Vote'!G8</f>
        <v>0</v>
      </c>
      <c r="I8" s="243">
        <f>'Table 3 - Capex by Vote'!H8</f>
        <v>0</v>
      </c>
    </row>
    <row r="9" spans="1:9" x14ac:dyDescent="0.2">
      <c r="A9" s="437" t="s">
        <v>3568</v>
      </c>
      <c r="B9" s="437" t="s">
        <v>3576</v>
      </c>
      <c r="C9" s="243">
        <v>0</v>
      </c>
      <c r="D9" s="243">
        <v>0</v>
      </c>
      <c r="E9" s="436">
        <v>0</v>
      </c>
      <c r="F9" s="436">
        <v>0</v>
      </c>
      <c r="G9" s="436">
        <v>0</v>
      </c>
      <c r="H9" s="436">
        <v>0</v>
      </c>
      <c r="I9" s="436">
        <v>0</v>
      </c>
    </row>
    <row r="10" spans="1:9" x14ac:dyDescent="0.2">
      <c r="A10" s="437" t="s">
        <v>3569</v>
      </c>
      <c r="B10" s="437" t="s">
        <v>3577</v>
      </c>
      <c r="C10" s="243">
        <v>0</v>
      </c>
      <c r="D10" s="243">
        <v>0</v>
      </c>
      <c r="E10" s="436">
        <v>0</v>
      </c>
      <c r="F10" s="436">
        <v>0</v>
      </c>
      <c r="G10" s="436">
        <v>0</v>
      </c>
      <c r="H10" s="436">
        <v>0</v>
      </c>
      <c r="I10" s="436">
        <v>0</v>
      </c>
    </row>
    <row r="11" spans="1:9" x14ac:dyDescent="0.2">
      <c r="A11" s="437" t="s">
        <v>3570</v>
      </c>
      <c r="B11" s="437" t="s">
        <v>3578</v>
      </c>
      <c r="C11" s="243">
        <v>0</v>
      </c>
      <c r="D11" s="243">
        <v>0</v>
      </c>
      <c r="E11" s="436">
        <v>0</v>
      </c>
      <c r="F11" s="436">
        <v>0</v>
      </c>
      <c r="G11" s="436">
        <v>0</v>
      </c>
      <c r="H11" s="436">
        <v>0</v>
      </c>
      <c r="I11" s="436">
        <v>0</v>
      </c>
    </row>
    <row r="12" spans="1:9" x14ac:dyDescent="0.2">
      <c r="A12" s="437" t="s">
        <v>1832</v>
      </c>
      <c r="B12" s="437" t="s">
        <v>3579</v>
      </c>
      <c r="C12" s="243">
        <v>0</v>
      </c>
      <c r="D12" s="243">
        <v>0</v>
      </c>
      <c r="E12" s="436">
        <v>0</v>
      </c>
      <c r="F12" s="436">
        <v>0</v>
      </c>
      <c r="G12" s="436">
        <v>0</v>
      </c>
      <c r="H12" s="436">
        <v>0</v>
      </c>
      <c r="I12" s="436">
        <v>0</v>
      </c>
    </row>
    <row r="13" spans="1:9" x14ac:dyDescent="0.2">
      <c r="A13" s="437" t="s">
        <v>3571</v>
      </c>
      <c r="B13" s="437" t="s">
        <v>3580</v>
      </c>
      <c r="C13" s="243">
        <v>0</v>
      </c>
      <c r="D13" s="243">
        <v>0</v>
      </c>
      <c r="E13" s="436">
        <v>0</v>
      </c>
      <c r="F13" s="436">
        <v>0</v>
      </c>
      <c r="G13" s="436">
        <v>0</v>
      </c>
      <c r="H13" s="436">
        <v>0</v>
      </c>
      <c r="I13" s="436">
        <v>0</v>
      </c>
    </row>
    <row r="14" spans="1:9" x14ac:dyDescent="0.2">
      <c r="A14" s="437" t="s">
        <v>3570</v>
      </c>
      <c r="B14" s="437" t="s">
        <v>3581</v>
      </c>
      <c r="C14" s="243">
        <v>67551</v>
      </c>
      <c r="D14" s="243">
        <v>0</v>
      </c>
      <c r="E14" s="436">
        <v>0</v>
      </c>
      <c r="F14" s="436">
        <v>0</v>
      </c>
      <c r="G14" s="436">
        <v>0</v>
      </c>
      <c r="H14" s="436">
        <v>0</v>
      </c>
      <c r="I14" s="436">
        <v>0</v>
      </c>
    </row>
    <row r="15" spans="1:9" x14ac:dyDescent="0.2">
      <c r="A15" s="437" t="s">
        <v>1832</v>
      </c>
      <c r="B15" s="437" t="s">
        <v>3582</v>
      </c>
      <c r="C15" s="243">
        <v>0</v>
      </c>
      <c r="D15" s="243">
        <v>0</v>
      </c>
      <c r="E15" s="436">
        <v>0</v>
      </c>
      <c r="F15" s="436">
        <v>0</v>
      </c>
      <c r="G15" s="436">
        <v>0</v>
      </c>
      <c r="H15" s="436">
        <v>0</v>
      </c>
      <c r="I15" s="436">
        <v>0</v>
      </c>
    </row>
    <row r="16" spans="1:9" x14ac:dyDescent="0.2">
      <c r="A16" s="437" t="s">
        <v>3571</v>
      </c>
      <c r="B16" s="437" t="s">
        <v>3583</v>
      </c>
      <c r="C16" s="243">
        <v>0</v>
      </c>
      <c r="D16" s="243">
        <v>0</v>
      </c>
      <c r="E16" s="243">
        <f>'Table 3 - Capex by Vote'!D9</f>
        <v>2000000</v>
      </c>
      <c r="F16" s="243">
        <f>'Table 3 - Capex by Vote'!E9</f>
        <v>0</v>
      </c>
      <c r="G16" s="243">
        <f>'Table 3 - Capex by Vote'!F9-43000000</f>
        <v>4000000</v>
      </c>
      <c r="H16" s="243">
        <f>'Table 3 - Capex by Vote'!G9</f>
        <v>0</v>
      </c>
      <c r="I16" s="243">
        <f>'Table 3 - Capex by Vote'!H9</f>
        <v>0</v>
      </c>
    </row>
    <row r="17" spans="1:9" x14ac:dyDescent="0.2">
      <c r="A17" s="437" t="s">
        <v>3571</v>
      </c>
      <c r="B17" s="437" t="s">
        <v>3584</v>
      </c>
      <c r="C17" s="243">
        <f>136330+39912</f>
        <v>176242</v>
      </c>
      <c r="D17" s="243">
        <v>0</v>
      </c>
      <c r="E17" s="243">
        <v>0</v>
      </c>
      <c r="F17" s="436">
        <v>0</v>
      </c>
      <c r="G17" s="243">
        <v>43000000</v>
      </c>
      <c r="H17" s="436">
        <v>0</v>
      </c>
      <c r="I17" s="436">
        <v>0</v>
      </c>
    </row>
    <row r="18" spans="1:9" x14ac:dyDescent="0.2">
      <c r="A18" s="437" t="s">
        <v>3571</v>
      </c>
      <c r="B18" s="437" t="s">
        <v>3585</v>
      </c>
      <c r="C18" s="243">
        <v>8681</v>
      </c>
      <c r="D18" s="243">
        <v>0</v>
      </c>
      <c r="E18" s="436">
        <v>0</v>
      </c>
      <c r="F18" s="436">
        <v>0</v>
      </c>
      <c r="G18" s="436">
        <v>0</v>
      </c>
      <c r="H18" s="436">
        <v>0</v>
      </c>
      <c r="I18" s="436">
        <v>0</v>
      </c>
    </row>
    <row r="19" spans="1:9" x14ac:dyDescent="0.2">
      <c r="A19" s="437" t="s">
        <v>3571</v>
      </c>
      <c r="B19" s="437" t="s">
        <v>3586</v>
      </c>
      <c r="C19" s="243">
        <v>0</v>
      </c>
      <c r="D19" s="243">
        <v>0</v>
      </c>
      <c r="E19" s="436">
        <v>0</v>
      </c>
      <c r="F19" s="436">
        <v>0</v>
      </c>
      <c r="G19" s="436">
        <v>0</v>
      </c>
      <c r="H19" s="436">
        <v>0</v>
      </c>
      <c r="I19" s="436">
        <v>0</v>
      </c>
    </row>
    <row r="20" spans="1:9" x14ac:dyDescent="0.2">
      <c r="A20" s="437" t="s">
        <v>3569</v>
      </c>
      <c r="B20" s="437" t="s">
        <v>3587</v>
      </c>
      <c r="C20" s="243">
        <v>0</v>
      </c>
      <c r="D20" s="243">
        <v>0</v>
      </c>
      <c r="E20" s="436">
        <v>0</v>
      </c>
      <c r="F20" s="436">
        <v>0</v>
      </c>
      <c r="G20" s="436">
        <v>0</v>
      </c>
      <c r="H20" s="436">
        <v>0</v>
      </c>
      <c r="I20" s="436">
        <v>0</v>
      </c>
    </row>
    <row r="21" spans="1:9" x14ac:dyDescent="0.2">
      <c r="A21" s="437" t="s">
        <v>1832</v>
      </c>
      <c r="B21" s="437" t="s">
        <v>3588</v>
      </c>
      <c r="C21" s="243">
        <v>14432</v>
      </c>
      <c r="D21" s="243">
        <v>0</v>
      </c>
      <c r="E21" s="436">
        <v>0</v>
      </c>
      <c r="F21" s="436">
        <v>0</v>
      </c>
      <c r="G21" s="436">
        <v>0</v>
      </c>
      <c r="H21" s="436">
        <v>0</v>
      </c>
      <c r="I21" s="436">
        <v>0</v>
      </c>
    </row>
    <row r="22" spans="1:9" x14ac:dyDescent="0.2">
      <c r="A22" s="437" t="s">
        <v>3572</v>
      </c>
      <c r="B22" s="437" t="s">
        <v>24</v>
      </c>
      <c r="C22" s="243">
        <v>0</v>
      </c>
      <c r="D22" s="243">
        <f>'Table 3 - Capex by Vote'!C10</f>
        <v>2220000</v>
      </c>
      <c r="E22" s="243">
        <f>'Table 3 - Capex by Vote'!D10</f>
        <v>2220000</v>
      </c>
      <c r="F22" s="243">
        <f>'Table 3 - Capex by Vote'!E10</f>
        <v>0</v>
      </c>
      <c r="G22" s="243">
        <f>'Table 3 - Capex by Vote'!F10</f>
        <v>2220000</v>
      </c>
      <c r="H22" s="243">
        <f>'Table 3 - Capex by Vote'!G10</f>
        <v>0</v>
      </c>
      <c r="I22" s="243">
        <f>'Table 3 - Capex by Vote'!H10</f>
        <v>0</v>
      </c>
    </row>
    <row r="23" spans="1:9" x14ac:dyDescent="0.2">
      <c r="A23" s="437" t="s">
        <v>3573</v>
      </c>
      <c r="B23" s="437" t="s">
        <v>3589</v>
      </c>
      <c r="C23" s="243">
        <v>0</v>
      </c>
      <c r="D23" s="243">
        <v>0</v>
      </c>
      <c r="E23" s="436">
        <v>0</v>
      </c>
      <c r="F23" s="436">
        <v>0</v>
      </c>
      <c r="G23" s="243">
        <f>'Table 3 - Capex by Vote'!F11</f>
        <v>1500000</v>
      </c>
      <c r="H23" s="243">
        <f>'Table 3 - Capex by Vote'!G11</f>
        <v>2000000</v>
      </c>
      <c r="I23" s="436">
        <f>'Table 3 - Capex by Vote'!H11</f>
        <v>0</v>
      </c>
    </row>
    <row r="24" spans="1:9" x14ac:dyDescent="0.2">
      <c r="A24" s="437" t="s">
        <v>3574</v>
      </c>
      <c r="B24" s="437" t="s">
        <v>3590</v>
      </c>
      <c r="C24" s="243">
        <v>0</v>
      </c>
      <c r="D24" s="243">
        <v>0</v>
      </c>
      <c r="E24" s="436">
        <v>0</v>
      </c>
      <c r="F24" s="436">
        <v>0</v>
      </c>
      <c r="G24" s="436">
        <v>0</v>
      </c>
      <c r="H24" s="436">
        <v>0</v>
      </c>
      <c r="I24" s="436">
        <v>0</v>
      </c>
    </row>
    <row r="25" spans="1:9" x14ac:dyDescent="0.2">
      <c r="A25" s="437" t="s">
        <v>3571</v>
      </c>
      <c r="B25" s="437" t="s">
        <v>3564</v>
      </c>
      <c r="C25" s="243">
        <v>0</v>
      </c>
      <c r="D25" s="243">
        <v>0</v>
      </c>
      <c r="E25" s="436">
        <v>0</v>
      </c>
      <c r="F25" s="436">
        <v>0</v>
      </c>
      <c r="G25" s="436">
        <v>0</v>
      </c>
      <c r="H25" s="436">
        <v>0</v>
      </c>
      <c r="I25" s="436">
        <v>0</v>
      </c>
    </row>
    <row r="26" spans="1:9" x14ac:dyDescent="0.2">
      <c r="A26" s="437" t="s">
        <v>3571</v>
      </c>
      <c r="B26" s="437" t="s">
        <v>3591</v>
      </c>
      <c r="C26" s="243">
        <v>0</v>
      </c>
      <c r="D26" s="243">
        <v>0</v>
      </c>
      <c r="E26" s="436">
        <v>0</v>
      </c>
      <c r="F26" s="436">
        <v>0</v>
      </c>
      <c r="G26" s="436">
        <v>0</v>
      </c>
      <c r="H26" s="436">
        <v>0</v>
      </c>
      <c r="I26" s="436">
        <v>0</v>
      </c>
    </row>
    <row r="27" spans="1:9" x14ac:dyDescent="0.2">
      <c r="A27" s="437" t="s">
        <v>3571</v>
      </c>
      <c r="B27" s="437" t="s">
        <v>1831</v>
      </c>
      <c r="C27" s="243">
        <v>0</v>
      </c>
      <c r="D27" s="243">
        <v>0</v>
      </c>
      <c r="E27" s="436">
        <v>0</v>
      </c>
      <c r="F27" s="436">
        <v>0</v>
      </c>
      <c r="G27" s="436">
        <v>0</v>
      </c>
      <c r="H27" s="436">
        <v>0</v>
      </c>
      <c r="I27" s="436">
        <v>0</v>
      </c>
    </row>
    <row r="28" spans="1:9" x14ac:dyDescent="0.2">
      <c r="A28" s="437" t="s">
        <v>3571</v>
      </c>
      <c r="B28" s="437" t="s">
        <v>3592</v>
      </c>
      <c r="C28" s="243">
        <v>0</v>
      </c>
      <c r="D28" s="243">
        <v>0</v>
      </c>
      <c r="E28" s="436">
        <v>0</v>
      </c>
      <c r="F28" s="436">
        <v>0</v>
      </c>
      <c r="G28" s="436">
        <v>0</v>
      </c>
      <c r="H28" s="436">
        <v>0</v>
      </c>
      <c r="I28" s="436">
        <v>0</v>
      </c>
    </row>
    <row r="29" spans="1:9" x14ac:dyDescent="0.2">
      <c r="A29" s="437" t="s">
        <v>3571</v>
      </c>
      <c r="B29" s="437" t="s">
        <v>248</v>
      </c>
      <c r="C29" s="243">
        <v>0</v>
      </c>
      <c r="D29" s="243">
        <v>0</v>
      </c>
      <c r="E29" s="436">
        <v>0</v>
      </c>
      <c r="F29" s="436">
        <v>0</v>
      </c>
      <c r="G29" s="436">
        <v>0</v>
      </c>
      <c r="H29" s="436">
        <v>0</v>
      </c>
      <c r="I29" s="436">
        <v>0</v>
      </c>
    </row>
    <row r="30" spans="1:9" x14ac:dyDescent="0.2">
      <c r="A30" s="437" t="s">
        <v>3571</v>
      </c>
      <c r="B30" s="437" t="s">
        <v>2944</v>
      </c>
      <c r="C30" s="243">
        <v>0</v>
      </c>
      <c r="D30" s="243">
        <v>0</v>
      </c>
      <c r="E30" s="436">
        <v>0</v>
      </c>
      <c r="F30" s="436">
        <v>0</v>
      </c>
      <c r="G30" s="436">
        <v>0</v>
      </c>
      <c r="H30" s="436">
        <v>0</v>
      </c>
      <c r="I30" s="436">
        <v>0</v>
      </c>
    </row>
    <row r="31" spans="1:9" x14ac:dyDescent="0.2">
      <c r="A31" s="437" t="s">
        <v>3571</v>
      </c>
      <c r="B31" s="437" t="s">
        <v>2945</v>
      </c>
      <c r="C31" s="243">
        <v>0</v>
      </c>
      <c r="D31" s="243">
        <v>0</v>
      </c>
      <c r="E31" s="436">
        <v>0</v>
      </c>
      <c r="F31" s="436">
        <v>0</v>
      </c>
      <c r="G31" s="436">
        <v>0</v>
      </c>
      <c r="H31" s="436">
        <v>0</v>
      </c>
      <c r="I31" s="436">
        <v>0</v>
      </c>
    </row>
    <row r="32" spans="1:9" x14ac:dyDescent="0.2">
      <c r="A32" s="437" t="s">
        <v>3571</v>
      </c>
      <c r="B32" s="437" t="s">
        <v>2946</v>
      </c>
      <c r="C32" s="243">
        <v>0</v>
      </c>
      <c r="D32" s="243">
        <v>0</v>
      </c>
      <c r="E32" s="436">
        <v>0</v>
      </c>
      <c r="F32" s="436">
        <v>0</v>
      </c>
      <c r="G32" s="436">
        <v>0</v>
      </c>
      <c r="H32" s="436">
        <v>0</v>
      </c>
      <c r="I32" s="436">
        <v>0</v>
      </c>
    </row>
    <row r="33" spans="1:9" x14ac:dyDescent="0.2">
      <c r="A33" s="437" t="s">
        <v>3571</v>
      </c>
      <c r="B33" s="437" t="s">
        <v>2947</v>
      </c>
      <c r="C33" s="243">
        <v>0</v>
      </c>
      <c r="D33" s="243">
        <v>0</v>
      </c>
      <c r="E33" s="436">
        <v>0</v>
      </c>
      <c r="F33" s="436">
        <v>0</v>
      </c>
      <c r="G33" s="436">
        <v>0</v>
      </c>
      <c r="H33" s="436">
        <v>0</v>
      </c>
      <c r="I33" s="436">
        <v>0</v>
      </c>
    </row>
    <row r="34" spans="1:9" x14ac:dyDescent="0.2">
      <c r="A34" s="437" t="s">
        <v>3571</v>
      </c>
      <c r="B34" s="437" t="s">
        <v>2948</v>
      </c>
      <c r="C34" s="243">
        <v>0</v>
      </c>
      <c r="D34" s="243">
        <v>0</v>
      </c>
      <c r="E34" s="436">
        <v>0</v>
      </c>
      <c r="F34" s="436">
        <v>0</v>
      </c>
      <c r="G34" s="436">
        <v>0</v>
      </c>
      <c r="H34" s="436">
        <v>0</v>
      </c>
      <c r="I34" s="436">
        <v>0</v>
      </c>
    </row>
    <row r="35" spans="1:9" x14ac:dyDescent="0.2">
      <c r="A35" s="437" t="s">
        <v>1830</v>
      </c>
      <c r="B35" s="437" t="s">
        <v>1830</v>
      </c>
      <c r="C35" s="243">
        <f>'Table 3 - Capex by Vote'!B17</f>
        <v>3777478</v>
      </c>
      <c r="D35" s="243">
        <f>'Table 3 - Capex by Vote'!C17</f>
        <v>4301271</v>
      </c>
      <c r="E35" s="243">
        <f>'Table 3 - Capex by Vote'!D17</f>
        <v>4301271</v>
      </c>
      <c r="F35" s="243">
        <f>'Table 3 - Capex by Vote'!E17</f>
        <v>8665901</v>
      </c>
      <c r="G35" s="243">
        <f>'Table 3 - Capex by Vote'!F17</f>
        <v>6892247</v>
      </c>
      <c r="H35" s="243">
        <f>'Table 3 - Capex by Vote'!G17</f>
        <v>0</v>
      </c>
      <c r="I35" s="243">
        <f>'Table 3 - Capex by Vote'!H17</f>
        <v>0</v>
      </c>
    </row>
    <row r="36" spans="1:9" x14ac:dyDescent="0.2">
      <c r="A36" s="437" t="s">
        <v>3571</v>
      </c>
      <c r="B36" s="437" t="s">
        <v>2949</v>
      </c>
      <c r="C36" s="243">
        <f>'Table 3 - Capex by Vote'!B18</f>
        <v>43827</v>
      </c>
      <c r="D36" s="243">
        <f>'Table 3 - Capex by Vote'!C18</f>
        <v>0</v>
      </c>
      <c r="E36" s="243">
        <f>'Table 3 - Capex by Vote'!D18</f>
        <v>797884</v>
      </c>
      <c r="F36" s="243">
        <f>'Table 3 - Capex by Vote'!E18</f>
        <v>797884</v>
      </c>
      <c r="G36" s="243">
        <f>'Table 3 - Capex by Vote'!F18</f>
        <v>0</v>
      </c>
      <c r="H36" s="243">
        <f>'Table 3 - Capex by Vote'!G18</f>
        <v>0</v>
      </c>
      <c r="I36" s="243">
        <f>'Table 3 - Capex by Vote'!H18</f>
        <v>0</v>
      </c>
    </row>
    <row r="37" spans="1:9" x14ac:dyDescent="0.2">
      <c r="A37" s="437" t="s">
        <v>444</v>
      </c>
      <c r="B37" s="437" t="s">
        <v>2951</v>
      </c>
      <c r="C37" s="243">
        <f>'Table 3 - Capex by Vote'!B19</f>
        <v>1722004</v>
      </c>
      <c r="D37" s="243">
        <f>'Table 3 - Capex by Vote'!C19</f>
        <v>11721818</v>
      </c>
      <c r="E37" s="243">
        <f>'Table 3 - Capex by Vote'!D19</f>
        <v>14555468</v>
      </c>
      <c r="F37" s="243">
        <f>'Table 3 - Capex by Vote'!E19</f>
        <v>906367</v>
      </c>
      <c r="G37" s="243">
        <f>'Table 3 - Capex by Vote'!F19</f>
        <v>12913000</v>
      </c>
      <c r="H37" s="243">
        <f>'Table 3 - Capex by Vote'!G19</f>
        <v>15531000</v>
      </c>
      <c r="I37" s="243">
        <f>'Table 3 - Capex by Vote'!H19</f>
        <v>18884000</v>
      </c>
    </row>
    <row r="38" spans="1:9" x14ac:dyDescent="0.2">
      <c r="A38" s="437" t="s">
        <v>3571</v>
      </c>
      <c r="B38" s="437" t="s">
        <v>2950</v>
      </c>
      <c r="C38" s="243">
        <v>0</v>
      </c>
      <c r="D38" s="243">
        <f>'Table 3 - Capex by Vote'!C20</f>
        <v>3859915</v>
      </c>
      <c r="E38" s="243">
        <f>'Table 3 - Capex by Vote'!D20</f>
        <v>3859915</v>
      </c>
      <c r="F38" s="243">
        <f>'Table 3 - Capex by Vote'!E20</f>
        <v>1035845</v>
      </c>
      <c r="G38" s="243">
        <f>'Table 3 - Capex by Vote'!F20</f>
        <v>2824071</v>
      </c>
      <c r="H38" s="243">
        <f>'Table 3 - Capex by Vote'!G20</f>
        <v>300000</v>
      </c>
      <c r="I38" s="243">
        <f>'Table 3 - Capex by Vote'!H20</f>
        <v>500000</v>
      </c>
    </row>
    <row r="39" spans="1:9" x14ac:dyDescent="0.2">
      <c r="A39" s="437" t="s">
        <v>3571</v>
      </c>
      <c r="B39" s="437" t="s">
        <v>1825</v>
      </c>
      <c r="C39" s="243">
        <v>0</v>
      </c>
      <c r="D39" s="243">
        <f>'Table 3 - Capex by Vote'!C21</f>
        <v>0</v>
      </c>
      <c r="E39" s="436">
        <v>0</v>
      </c>
      <c r="F39" s="436">
        <v>0</v>
      </c>
      <c r="G39" s="436">
        <v>0</v>
      </c>
      <c r="H39" s="436">
        <v>0</v>
      </c>
      <c r="I39" s="436">
        <v>0</v>
      </c>
    </row>
    <row r="40" spans="1:9" x14ac:dyDescent="0.2">
      <c r="A40" s="437"/>
      <c r="B40" s="437"/>
      <c r="C40" s="436"/>
      <c r="D40" s="436"/>
      <c r="E40" s="436"/>
      <c r="F40" s="436"/>
      <c r="G40" s="436"/>
      <c r="H40" s="436"/>
      <c r="I40" s="436"/>
    </row>
    <row r="41" spans="1:9" x14ac:dyDescent="0.2">
      <c r="A41" s="437"/>
      <c r="B41" s="437"/>
      <c r="C41" s="436"/>
      <c r="D41" s="436"/>
      <c r="E41" s="436"/>
      <c r="F41" s="436"/>
      <c r="G41" s="436"/>
      <c r="H41" s="436"/>
      <c r="I41" s="436"/>
    </row>
    <row r="42" spans="1:9" x14ac:dyDescent="0.2">
      <c r="A42" s="438" t="s">
        <v>2672</v>
      </c>
      <c r="B42" s="438"/>
      <c r="C42" s="325">
        <f t="shared" ref="C42:I42" si="0">SUM(C8:C41)</f>
        <v>5938996</v>
      </c>
      <c r="D42" s="325">
        <f t="shared" si="0"/>
        <v>24196225</v>
      </c>
      <c r="E42" s="325">
        <f t="shared" si="0"/>
        <v>29827759</v>
      </c>
      <c r="F42" s="325">
        <f t="shared" si="0"/>
        <v>11865348</v>
      </c>
      <c r="G42" s="325">
        <f t="shared" si="0"/>
        <v>74983188</v>
      </c>
      <c r="H42" s="325">
        <f t="shared" si="0"/>
        <v>17831000</v>
      </c>
      <c r="I42" s="325">
        <f t="shared" si="0"/>
        <v>19384000</v>
      </c>
    </row>
    <row r="44" spans="1:9" x14ac:dyDescent="0.2">
      <c r="A44" s="441" t="s">
        <v>1131</v>
      </c>
    </row>
    <row r="45" spans="1:9" x14ac:dyDescent="0.2">
      <c r="A45" s="304" t="s">
        <v>4099</v>
      </c>
    </row>
    <row r="46" spans="1:9" x14ac:dyDescent="0.2">
      <c r="A46" s="304" t="s">
        <v>4100</v>
      </c>
    </row>
    <row r="47" spans="1:9" x14ac:dyDescent="0.2">
      <c r="A47" s="304" t="s">
        <v>4101</v>
      </c>
    </row>
    <row r="48" spans="1:9" x14ac:dyDescent="0.2">
      <c r="A48" s="304" t="s">
        <v>4102</v>
      </c>
    </row>
    <row r="49" spans="1:9" x14ac:dyDescent="0.2">
      <c r="A49" s="304" t="s">
        <v>4103</v>
      </c>
    </row>
    <row r="50" spans="1:9" x14ac:dyDescent="0.2">
      <c r="A50" s="304" t="s">
        <v>4104</v>
      </c>
    </row>
    <row r="51" spans="1:9" x14ac:dyDescent="0.2">
      <c r="A51" s="304" t="s">
        <v>4359</v>
      </c>
    </row>
    <row r="53" spans="1:9" x14ac:dyDescent="0.2">
      <c r="A53" s="441" t="s">
        <v>1132</v>
      </c>
    </row>
    <row r="54" spans="1:9" x14ac:dyDescent="0.2">
      <c r="A54" s="442" t="s">
        <v>2673</v>
      </c>
    </row>
    <row r="55" spans="1:9" x14ac:dyDescent="0.2">
      <c r="A55" s="413" t="s">
        <v>3418</v>
      </c>
    </row>
    <row r="56" spans="1:9" x14ac:dyDescent="0.2">
      <c r="A56" s="413" t="s">
        <v>2670</v>
      </c>
    </row>
    <row r="58" spans="1:9" x14ac:dyDescent="0.2">
      <c r="A58" s="762" t="s">
        <v>4064</v>
      </c>
      <c r="B58" s="762"/>
      <c r="C58" s="762"/>
      <c r="D58" s="762"/>
      <c r="E58" s="762"/>
      <c r="F58" s="762"/>
      <c r="G58" s="762"/>
      <c r="H58" s="762"/>
      <c r="I58" s="762"/>
    </row>
  </sheetData>
  <mergeCells count="1">
    <mergeCell ref="A58:I58"/>
  </mergeCells>
  <phoneticPr fontId="3" type="noConversion"/>
  <pageMargins left="0.75" right="0.75" top="1" bottom="1" header="0.5" footer="0.5"/>
  <pageSetup paperSize="9" scale="6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
  <sheetViews>
    <sheetView view="pageBreakPreview" zoomScaleNormal="100" workbookViewId="0">
      <selection activeCell="C16" sqref="C16"/>
    </sheetView>
  </sheetViews>
  <sheetFormatPr defaultColWidth="10.6640625" defaultRowHeight="12.75" x14ac:dyDescent="0.2"/>
  <cols>
    <col min="1" max="1" width="57.83203125" style="413" customWidth="1"/>
    <col min="2" max="2" width="21.33203125" style="413" bestFit="1" customWidth="1"/>
    <col min="3" max="3" width="24" style="413" bestFit="1" customWidth="1"/>
    <col min="4" max="5" width="23.6640625" style="413" bestFit="1" customWidth="1"/>
    <col min="6" max="6" width="23.83203125" style="413" bestFit="1" customWidth="1"/>
    <col min="7" max="8" width="23.83203125" style="413" customWidth="1"/>
    <col min="9" max="16384" width="10.6640625" style="413"/>
  </cols>
  <sheetData>
    <row r="1" spans="1:8" x14ac:dyDescent="0.2">
      <c r="A1" s="405"/>
      <c r="B1" s="406" t="s">
        <v>1096</v>
      </c>
      <c r="C1" s="407" t="s">
        <v>1097</v>
      </c>
      <c r="D1" s="408"/>
      <c r="E1" s="409"/>
      <c r="F1" s="410" t="s">
        <v>1098</v>
      </c>
      <c r="G1" s="411"/>
      <c r="H1" s="412"/>
    </row>
    <row r="2" spans="1:8" x14ac:dyDescent="0.2">
      <c r="A2" s="414" t="s">
        <v>3419</v>
      </c>
      <c r="B2" s="415" t="s">
        <v>1103</v>
      </c>
      <c r="C2" s="416" t="s">
        <v>4093</v>
      </c>
      <c r="D2" s="417"/>
      <c r="E2" s="418"/>
      <c r="F2" s="419" t="s">
        <v>1100</v>
      </c>
      <c r="G2" s="414" t="s">
        <v>1101</v>
      </c>
      <c r="H2" s="414" t="s">
        <v>1102</v>
      </c>
    </row>
    <row r="3" spans="1:8" x14ac:dyDescent="0.2">
      <c r="A3" s="420"/>
      <c r="B3" s="421"/>
      <c r="C3" s="422"/>
      <c r="D3" s="423"/>
      <c r="E3" s="424"/>
      <c r="F3" s="425" t="s">
        <v>4094</v>
      </c>
      <c r="G3" s="425" t="s">
        <v>4095</v>
      </c>
      <c r="H3" s="425" t="s">
        <v>4096</v>
      </c>
    </row>
    <row r="4" spans="1:8" x14ac:dyDescent="0.2">
      <c r="A4" s="414" t="s">
        <v>4147</v>
      </c>
      <c r="B4" s="427" t="s">
        <v>1104</v>
      </c>
      <c r="C4" s="406" t="s">
        <v>1105</v>
      </c>
      <c r="D4" s="406" t="s">
        <v>1106</v>
      </c>
      <c r="E4" s="428" t="s">
        <v>1107</v>
      </c>
      <c r="F4" s="428" t="s">
        <v>1108</v>
      </c>
      <c r="G4" s="428" t="s">
        <v>1108</v>
      </c>
      <c r="H4" s="428" t="s">
        <v>1108</v>
      </c>
    </row>
    <row r="5" spans="1:8" x14ac:dyDescent="0.2">
      <c r="A5" s="420"/>
      <c r="B5" s="426" t="s">
        <v>1109</v>
      </c>
      <c r="C5" s="414" t="s">
        <v>1109</v>
      </c>
      <c r="D5" s="414" t="s">
        <v>1109</v>
      </c>
      <c r="E5" s="414" t="s">
        <v>1109</v>
      </c>
      <c r="F5" s="414" t="s">
        <v>1109</v>
      </c>
      <c r="G5" s="414" t="s">
        <v>1109</v>
      </c>
      <c r="H5" s="414" t="s">
        <v>1109</v>
      </c>
    </row>
    <row r="6" spans="1:8" x14ac:dyDescent="0.2">
      <c r="A6" s="430"/>
      <c r="B6" s="432" t="s">
        <v>1110</v>
      </c>
      <c r="C6" s="433" t="s">
        <v>1111</v>
      </c>
      <c r="D6" s="433" t="s">
        <v>1112</v>
      </c>
      <c r="E6" s="433" t="s">
        <v>1113</v>
      </c>
      <c r="F6" s="433" t="s">
        <v>1114</v>
      </c>
      <c r="G6" s="434" t="s">
        <v>1115</v>
      </c>
      <c r="H6" s="434" t="s">
        <v>1116</v>
      </c>
    </row>
    <row r="7" spans="1:8" x14ac:dyDescent="0.2">
      <c r="A7" s="435"/>
      <c r="B7" s="444"/>
      <c r="C7" s="444"/>
      <c r="D7" s="444"/>
      <c r="E7" s="444"/>
      <c r="F7" s="444"/>
      <c r="G7" s="444"/>
      <c r="H7" s="444"/>
    </row>
    <row r="8" spans="1:8" x14ac:dyDescent="0.2">
      <c r="A8" s="435" t="s">
        <v>3420</v>
      </c>
      <c r="B8" s="444"/>
      <c r="C8" s="444"/>
      <c r="D8" s="444"/>
      <c r="E8" s="444"/>
      <c r="F8" s="444"/>
      <c r="G8" s="444"/>
      <c r="H8" s="444"/>
    </row>
    <row r="9" spans="1:8" x14ac:dyDescent="0.2">
      <c r="A9" s="437"/>
      <c r="B9" s="444"/>
      <c r="C9" s="444"/>
      <c r="D9" s="444"/>
      <c r="E9" s="444"/>
      <c r="F9" s="444"/>
      <c r="G9" s="444"/>
      <c r="H9" s="444"/>
    </row>
    <row r="10" spans="1:8" x14ac:dyDescent="0.2">
      <c r="A10" s="460" t="s">
        <v>4148</v>
      </c>
      <c r="B10" s="243">
        <f>20330+3616</f>
        <v>23946</v>
      </c>
      <c r="C10" s="243">
        <f>23330+3616</f>
        <v>26946</v>
      </c>
      <c r="D10" s="243">
        <f>23330+3616</f>
        <v>26946</v>
      </c>
      <c r="E10" s="243">
        <v>0</v>
      </c>
      <c r="F10" s="444">
        <v>0</v>
      </c>
      <c r="G10" s="444">
        <v>0</v>
      </c>
      <c r="H10" s="444">
        <v>0</v>
      </c>
    </row>
    <row r="11" spans="1:8" x14ac:dyDescent="0.2">
      <c r="A11" s="460" t="s">
        <v>4149</v>
      </c>
      <c r="B11" s="243">
        <v>81975</v>
      </c>
      <c r="C11" s="243">
        <v>90173</v>
      </c>
      <c r="D11" s="243">
        <v>90173</v>
      </c>
      <c r="E11" s="243">
        <v>85539</v>
      </c>
      <c r="F11" s="243">
        <v>85539</v>
      </c>
      <c r="G11" s="243">
        <v>85539</v>
      </c>
      <c r="H11" s="243">
        <v>85539</v>
      </c>
    </row>
    <row r="12" spans="1:8" x14ac:dyDescent="0.2">
      <c r="A12" s="460" t="s">
        <v>4150</v>
      </c>
      <c r="B12" s="243">
        <v>120653</v>
      </c>
      <c r="C12" s="243">
        <v>0</v>
      </c>
      <c r="D12" s="243">
        <v>0</v>
      </c>
      <c r="E12" s="444">
        <v>0</v>
      </c>
      <c r="F12" s="444">
        <v>0</v>
      </c>
      <c r="G12" s="444">
        <v>0</v>
      </c>
      <c r="H12" s="444">
        <v>0</v>
      </c>
    </row>
    <row r="13" spans="1:8" x14ac:dyDescent="0.2">
      <c r="A13" s="460" t="s">
        <v>4151</v>
      </c>
      <c r="B13" s="243">
        <v>52111</v>
      </c>
      <c r="C13" s="243">
        <v>57410</v>
      </c>
      <c r="D13" s="243">
        <v>57410</v>
      </c>
      <c r="E13" s="243">
        <f>52111+4200</f>
        <v>56311</v>
      </c>
      <c r="F13" s="243">
        <v>56311</v>
      </c>
      <c r="G13" s="243">
        <v>56311</v>
      </c>
      <c r="H13" s="243">
        <v>56311</v>
      </c>
    </row>
    <row r="14" spans="1:8" x14ac:dyDescent="0.2">
      <c r="A14" s="460" t="s">
        <v>4152</v>
      </c>
      <c r="B14" s="243">
        <v>1754</v>
      </c>
      <c r="C14" s="243">
        <v>1750</v>
      </c>
      <c r="D14" s="243">
        <v>1750</v>
      </c>
      <c r="E14" s="243">
        <v>1700</v>
      </c>
      <c r="F14" s="243">
        <v>1700</v>
      </c>
      <c r="G14" s="243">
        <v>1700</v>
      </c>
      <c r="H14" s="243">
        <v>1700</v>
      </c>
    </row>
    <row r="15" spans="1:8" x14ac:dyDescent="0.2">
      <c r="A15" s="460" t="s">
        <v>4153</v>
      </c>
      <c r="B15" s="243">
        <v>2243465</v>
      </c>
      <c r="C15" s="243">
        <v>2335843</v>
      </c>
      <c r="D15" s="243">
        <v>61816</v>
      </c>
      <c r="E15" s="243">
        <v>2168</v>
      </c>
      <c r="F15" s="243">
        <v>2168</v>
      </c>
      <c r="G15" s="243">
        <v>2168</v>
      </c>
      <c r="H15" s="243">
        <v>2168</v>
      </c>
    </row>
    <row r="16" spans="1:8" x14ac:dyDescent="0.2">
      <c r="A16" s="460" t="s">
        <v>4154</v>
      </c>
      <c r="B16" s="243">
        <v>268</v>
      </c>
      <c r="C16" s="243">
        <v>281</v>
      </c>
      <c r="D16" s="243">
        <v>281</v>
      </c>
      <c r="E16" s="243">
        <v>273</v>
      </c>
      <c r="F16" s="243">
        <v>273</v>
      </c>
      <c r="G16" s="243">
        <v>273</v>
      </c>
      <c r="H16" s="243">
        <v>273</v>
      </c>
    </row>
    <row r="17" spans="1:8" x14ac:dyDescent="0.2">
      <c r="A17" s="437"/>
      <c r="B17" s="444"/>
      <c r="C17" s="444"/>
      <c r="D17" s="444"/>
      <c r="E17" s="444"/>
      <c r="F17" s="444"/>
      <c r="G17" s="444"/>
      <c r="H17" s="444"/>
    </row>
    <row r="18" spans="1:8" x14ac:dyDescent="0.2">
      <c r="A18" s="437"/>
      <c r="B18" s="444"/>
      <c r="C18" s="444"/>
      <c r="D18" s="444"/>
      <c r="E18" s="444"/>
      <c r="F18" s="444"/>
      <c r="G18" s="444"/>
      <c r="H18" s="444"/>
    </row>
    <row r="19" spans="1:8" x14ac:dyDescent="0.2">
      <c r="A19" s="438" t="s">
        <v>4155</v>
      </c>
      <c r="B19" s="461">
        <f>SUM(B10:B18)</f>
        <v>2524172</v>
      </c>
      <c r="C19" s="661">
        <f t="shared" ref="C19:H19" si="0">SUM(C10:C18)</f>
        <v>2512403</v>
      </c>
      <c r="D19" s="461">
        <f t="shared" si="0"/>
        <v>238376</v>
      </c>
      <c r="E19" s="461">
        <f t="shared" si="0"/>
        <v>145991</v>
      </c>
      <c r="F19" s="461">
        <f t="shared" si="0"/>
        <v>145991</v>
      </c>
      <c r="G19" s="461">
        <f t="shared" si="0"/>
        <v>145991</v>
      </c>
      <c r="H19" s="461">
        <f t="shared" si="0"/>
        <v>145991</v>
      </c>
    </row>
    <row r="20" spans="1:8" x14ac:dyDescent="0.2">
      <c r="A20" s="439"/>
    </row>
    <row r="21" spans="1:8" x14ac:dyDescent="0.2">
      <c r="A21" s="441" t="s">
        <v>1131</v>
      </c>
    </row>
    <row r="22" spans="1:8" x14ac:dyDescent="0.2">
      <c r="A22" s="304" t="s">
        <v>4099</v>
      </c>
    </row>
    <row r="23" spans="1:8" x14ac:dyDescent="0.2">
      <c r="A23" s="304" t="s">
        <v>4100</v>
      </c>
    </row>
    <row r="24" spans="1:8" x14ac:dyDescent="0.2">
      <c r="A24" s="304" t="s">
        <v>4101</v>
      </c>
    </row>
    <row r="25" spans="1:8" x14ac:dyDescent="0.2">
      <c r="A25" s="304" t="s">
        <v>4102</v>
      </c>
    </row>
    <row r="26" spans="1:8" x14ac:dyDescent="0.2">
      <c r="A26" s="304" t="s">
        <v>4103</v>
      </c>
    </row>
    <row r="27" spans="1:8" x14ac:dyDescent="0.2">
      <c r="A27" s="304" t="s">
        <v>4104</v>
      </c>
    </row>
    <row r="28" spans="1:8" x14ac:dyDescent="0.2">
      <c r="A28" s="304" t="s">
        <v>4359</v>
      </c>
    </row>
    <row r="30" spans="1:8" x14ac:dyDescent="0.2">
      <c r="A30" s="441" t="s">
        <v>1132</v>
      </c>
    </row>
    <row r="31" spans="1:8" x14ac:dyDescent="0.2">
      <c r="A31" s="442" t="s">
        <v>2699</v>
      </c>
    </row>
    <row r="32" spans="1:8" x14ac:dyDescent="0.2">
      <c r="A32" s="442" t="s">
        <v>2700</v>
      </c>
    </row>
    <row r="33" spans="1:8" x14ac:dyDescent="0.2">
      <c r="A33" s="442" t="s">
        <v>2670</v>
      </c>
    </row>
    <row r="35" spans="1:8" x14ac:dyDescent="0.2">
      <c r="A35" s="762" t="s">
        <v>4073</v>
      </c>
      <c r="B35" s="762"/>
      <c r="C35" s="762"/>
      <c r="D35" s="762"/>
      <c r="E35" s="762"/>
      <c r="F35" s="762"/>
      <c r="G35" s="762"/>
      <c r="H35" s="762"/>
    </row>
  </sheetData>
  <mergeCells count="1">
    <mergeCell ref="A35:H35"/>
  </mergeCells>
  <phoneticPr fontId="3" type="noConversion"/>
  <pageMargins left="0.75" right="0.75" top="1" bottom="1" header="0.5" footer="0.5"/>
  <pageSetup paperSize="9" scale="72"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6"/>
  <sheetViews>
    <sheetView view="pageBreakPreview" zoomScaleNormal="100" workbookViewId="0">
      <selection activeCell="F15" sqref="F15"/>
    </sheetView>
  </sheetViews>
  <sheetFormatPr defaultColWidth="10.6640625" defaultRowHeight="12.75" x14ac:dyDescent="0.2"/>
  <cols>
    <col min="1" max="1" width="53.5" style="413" customWidth="1"/>
    <col min="2" max="3" width="13.83203125" style="413" customWidth="1"/>
    <col min="4" max="4" width="14.83203125" style="413" customWidth="1"/>
    <col min="5" max="5" width="13.83203125" style="413" customWidth="1"/>
    <col min="6" max="6" width="14.5" style="413" customWidth="1"/>
    <col min="7" max="16384" width="10.6640625" style="413"/>
  </cols>
  <sheetData>
    <row r="2" spans="1:6" x14ac:dyDescent="0.2">
      <c r="A2" s="405"/>
      <c r="B2" s="405"/>
      <c r="C2" s="405"/>
      <c r="D2" s="405"/>
      <c r="E2" s="446"/>
      <c r="F2" s="405"/>
    </row>
    <row r="3" spans="1:6" x14ac:dyDescent="0.2">
      <c r="A3" s="414" t="s">
        <v>2701</v>
      </c>
      <c r="B3" s="414" t="s">
        <v>2702</v>
      </c>
      <c r="C3" s="414" t="s">
        <v>2703</v>
      </c>
      <c r="D3" s="414" t="s">
        <v>2704</v>
      </c>
      <c r="E3" s="447" t="s">
        <v>2705</v>
      </c>
      <c r="F3" s="414" t="s">
        <v>2706</v>
      </c>
    </row>
    <row r="4" spans="1:6" x14ac:dyDescent="0.2">
      <c r="A4" s="420"/>
      <c r="B4" s="414" t="s">
        <v>2707</v>
      </c>
      <c r="C4" s="414" t="s">
        <v>2707</v>
      </c>
      <c r="D4" s="414" t="s">
        <v>2708</v>
      </c>
      <c r="E4" s="447" t="s">
        <v>2709</v>
      </c>
      <c r="F4" s="414" t="s">
        <v>2710</v>
      </c>
    </row>
    <row r="5" spans="1:6" x14ac:dyDescent="0.2">
      <c r="A5" s="414" t="s">
        <v>4156</v>
      </c>
      <c r="B5" s="414"/>
      <c r="C5" s="414"/>
      <c r="D5" s="414"/>
      <c r="E5" s="447" t="s">
        <v>1109</v>
      </c>
      <c r="F5" s="414" t="s">
        <v>1109</v>
      </c>
    </row>
    <row r="6" spans="1:6" x14ac:dyDescent="0.2">
      <c r="A6" s="430"/>
      <c r="B6" s="433"/>
      <c r="C6" s="433"/>
      <c r="D6" s="433"/>
      <c r="E6" s="448"/>
      <c r="F6" s="433"/>
    </row>
    <row r="7" spans="1:6" x14ac:dyDescent="0.2">
      <c r="A7" s="435"/>
      <c r="B7" s="449"/>
      <c r="C7" s="449"/>
      <c r="D7" s="449"/>
      <c r="E7" s="439"/>
      <c r="F7" s="449"/>
    </row>
    <row r="8" spans="1:6" x14ac:dyDescent="0.2">
      <c r="A8" s="435" t="s">
        <v>2711</v>
      </c>
      <c r="B8" s="449"/>
      <c r="C8" s="449"/>
      <c r="D8" s="449"/>
      <c r="E8" s="439"/>
      <c r="F8" s="449"/>
    </row>
    <row r="9" spans="1:6" x14ac:dyDescent="0.2">
      <c r="A9" s="437"/>
      <c r="B9" s="449"/>
      <c r="C9" s="449"/>
      <c r="D9" s="449"/>
      <c r="E9" s="439"/>
      <c r="F9" s="449"/>
    </row>
    <row r="10" spans="1:6" x14ac:dyDescent="0.2">
      <c r="A10" s="460" t="s">
        <v>4148</v>
      </c>
      <c r="B10" s="449" t="s">
        <v>4157</v>
      </c>
      <c r="C10" s="449" t="s">
        <v>4158</v>
      </c>
      <c r="D10" s="449" t="s">
        <v>4157</v>
      </c>
      <c r="E10" s="243">
        <v>23946</v>
      </c>
      <c r="F10" s="243">
        <v>4211</v>
      </c>
    </row>
    <row r="11" spans="1:6" x14ac:dyDescent="0.2">
      <c r="A11" s="460" t="s">
        <v>4149</v>
      </c>
      <c r="B11" s="449" t="s">
        <v>4157</v>
      </c>
      <c r="C11" s="449" t="s">
        <v>4159</v>
      </c>
      <c r="D11" s="449" t="s">
        <v>4157</v>
      </c>
      <c r="E11" s="243">
        <v>81975</v>
      </c>
      <c r="F11" s="243">
        <v>6800</v>
      </c>
    </row>
    <row r="12" spans="1:6" x14ac:dyDescent="0.2">
      <c r="A12" s="460" t="s">
        <v>4150</v>
      </c>
      <c r="B12" s="449" t="s">
        <v>4157</v>
      </c>
      <c r="C12" s="449" t="s">
        <v>4160</v>
      </c>
      <c r="D12" s="449">
        <v>2002</v>
      </c>
      <c r="E12" s="243">
        <v>0</v>
      </c>
      <c r="F12" s="243">
        <v>0</v>
      </c>
    </row>
    <row r="13" spans="1:6" x14ac:dyDescent="0.2">
      <c r="A13" s="460" t="s">
        <v>4151</v>
      </c>
      <c r="B13" s="449" t="s">
        <v>4157</v>
      </c>
      <c r="C13" s="449" t="s">
        <v>4161</v>
      </c>
      <c r="D13" s="449" t="s">
        <v>4157</v>
      </c>
      <c r="E13" s="243">
        <v>52191</v>
      </c>
      <c r="F13" s="243">
        <v>3400</v>
      </c>
    </row>
    <row r="14" spans="1:6" x14ac:dyDescent="0.2">
      <c r="A14" s="460" t="s">
        <v>4152</v>
      </c>
      <c r="B14" s="449" t="s">
        <v>4157</v>
      </c>
      <c r="C14" s="449" t="s">
        <v>4162</v>
      </c>
      <c r="D14" s="449" t="s">
        <v>4157</v>
      </c>
      <c r="E14" s="243">
        <v>1755</v>
      </c>
      <c r="F14" s="243">
        <v>0</v>
      </c>
    </row>
    <row r="15" spans="1:6" x14ac:dyDescent="0.2">
      <c r="A15" s="460" t="s">
        <v>4153</v>
      </c>
      <c r="B15" s="449" t="s">
        <v>4157</v>
      </c>
      <c r="C15" s="449" t="s">
        <v>4162</v>
      </c>
      <c r="D15" s="449" t="s">
        <v>4157</v>
      </c>
      <c r="E15" s="243">
        <v>61816</v>
      </c>
      <c r="F15" s="243">
        <v>480</v>
      </c>
    </row>
    <row r="16" spans="1:6" x14ac:dyDescent="0.2">
      <c r="A16" s="460" t="s">
        <v>4154</v>
      </c>
      <c r="B16" s="449" t="s">
        <v>4157</v>
      </c>
      <c r="C16" s="449" t="s">
        <v>4162</v>
      </c>
      <c r="D16" s="449" t="s">
        <v>4157</v>
      </c>
      <c r="E16" s="243">
        <v>268</v>
      </c>
      <c r="F16" s="243">
        <v>17</v>
      </c>
    </row>
    <row r="17" spans="1:6" x14ac:dyDescent="0.2">
      <c r="A17" s="437"/>
      <c r="B17" s="449"/>
      <c r="C17" s="449"/>
      <c r="D17" s="449"/>
      <c r="E17" s="439"/>
      <c r="F17" s="449"/>
    </row>
    <row r="18" spans="1:6" x14ac:dyDescent="0.2">
      <c r="A18" s="437"/>
      <c r="B18" s="449"/>
      <c r="C18" s="449"/>
      <c r="D18" s="449"/>
      <c r="E18" s="439"/>
      <c r="F18" s="449"/>
    </row>
    <row r="19" spans="1:6" x14ac:dyDescent="0.2">
      <c r="A19" s="437"/>
      <c r="B19" s="449"/>
      <c r="C19" s="449"/>
      <c r="D19" s="449"/>
      <c r="E19" s="439"/>
      <c r="F19" s="449"/>
    </row>
    <row r="20" spans="1:6" x14ac:dyDescent="0.2">
      <c r="A20" s="450"/>
      <c r="B20" s="451"/>
      <c r="C20" s="451"/>
      <c r="D20" s="451"/>
      <c r="E20" s="452"/>
      <c r="F20" s="451"/>
    </row>
    <row r="23" spans="1:6" x14ac:dyDescent="0.2">
      <c r="A23" s="441" t="s">
        <v>1132</v>
      </c>
    </row>
    <row r="24" spans="1:6" x14ac:dyDescent="0.2">
      <c r="A24" s="413" t="s">
        <v>2712</v>
      </c>
    </row>
    <row r="26" spans="1:6" x14ac:dyDescent="0.2">
      <c r="A26" s="762" t="s">
        <v>4074</v>
      </c>
      <c r="B26" s="762"/>
      <c r="C26" s="762"/>
      <c r="D26" s="762"/>
      <c r="E26" s="762"/>
      <c r="F26" s="762"/>
    </row>
  </sheetData>
  <mergeCells count="1">
    <mergeCell ref="A26:F26"/>
  </mergeCells>
  <phoneticPr fontId="3" type="noConversion"/>
  <pageMargins left="0.75" right="0.75" top="1" bottom="1" header="0.5" footer="0.5"/>
  <pageSetup paperSize="9" scale="6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8"/>
  <sheetViews>
    <sheetView view="pageBreakPreview" topLeftCell="A7" zoomScaleNormal="100" workbookViewId="0">
      <selection activeCell="A25" sqref="A25"/>
    </sheetView>
  </sheetViews>
  <sheetFormatPr defaultColWidth="10.6640625" defaultRowHeight="12.75" x14ac:dyDescent="0.2"/>
  <cols>
    <col min="1" max="1" width="57.83203125" style="413" customWidth="1"/>
    <col min="2" max="2" width="21.33203125" style="413" bestFit="1" customWidth="1"/>
    <col min="3" max="3" width="24" style="413" bestFit="1" customWidth="1"/>
    <col min="4" max="5" width="23.6640625" style="413" bestFit="1" customWidth="1"/>
    <col min="6" max="6" width="23.83203125" style="413" bestFit="1" customWidth="1"/>
    <col min="7" max="8" width="23.83203125" style="413" customWidth="1"/>
    <col min="9" max="16384" width="10.6640625" style="413"/>
  </cols>
  <sheetData>
    <row r="1" spans="1:8" x14ac:dyDescent="0.2">
      <c r="A1" s="405"/>
      <c r="B1" s="406" t="s">
        <v>1096</v>
      </c>
      <c r="C1" s="407" t="s">
        <v>1097</v>
      </c>
      <c r="D1" s="408"/>
      <c r="E1" s="409"/>
      <c r="F1" s="410" t="s">
        <v>1098</v>
      </c>
      <c r="G1" s="411"/>
      <c r="H1" s="412"/>
    </row>
    <row r="2" spans="1:8" x14ac:dyDescent="0.2">
      <c r="A2" s="414" t="s">
        <v>2713</v>
      </c>
      <c r="B2" s="415" t="s">
        <v>1103</v>
      </c>
      <c r="C2" s="416" t="s">
        <v>4093</v>
      </c>
      <c r="D2" s="417"/>
      <c r="E2" s="418"/>
      <c r="F2" s="419" t="s">
        <v>1100</v>
      </c>
      <c r="G2" s="414" t="s">
        <v>1101</v>
      </c>
      <c r="H2" s="414" t="s">
        <v>1102</v>
      </c>
    </row>
    <row r="3" spans="1:8" x14ac:dyDescent="0.2">
      <c r="A3" s="420"/>
      <c r="B3" s="421"/>
      <c r="C3" s="422"/>
      <c r="D3" s="423"/>
      <c r="E3" s="424"/>
      <c r="F3" s="425" t="s">
        <v>4094</v>
      </c>
      <c r="G3" s="425" t="s">
        <v>4095</v>
      </c>
      <c r="H3" s="425" t="s">
        <v>4096</v>
      </c>
    </row>
    <row r="4" spans="1:8" ht="14.25" x14ac:dyDescent="0.2">
      <c r="A4" s="414" t="s">
        <v>2721</v>
      </c>
      <c r="B4" s="427" t="s">
        <v>1104</v>
      </c>
      <c r="C4" s="406" t="s">
        <v>1105</v>
      </c>
      <c r="D4" s="406" t="s">
        <v>1106</v>
      </c>
      <c r="E4" s="428" t="s">
        <v>1107</v>
      </c>
      <c r="F4" s="428" t="s">
        <v>1108</v>
      </c>
      <c r="G4" s="428" t="s">
        <v>1108</v>
      </c>
      <c r="H4" s="428" t="s">
        <v>1108</v>
      </c>
    </row>
    <row r="5" spans="1:8" x14ac:dyDescent="0.2">
      <c r="A5" s="420"/>
      <c r="B5" s="426" t="s">
        <v>1109</v>
      </c>
      <c r="C5" s="414" t="s">
        <v>1109</v>
      </c>
      <c r="D5" s="414" t="s">
        <v>1109</v>
      </c>
      <c r="E5" s="414" t="s">
        <v>1109</v>
      </c>
      <c r="F5" s="414" t="s">
        <v>1109</v>
      </c>
      <c r="G5" s="414" t="s">
        <v>1109</v>
      </c>
      <c r="H5" s="414" t="s">
        <v>1109</v>
      </c>
    </row>
    <row r="6" spans="1:8" x14ac:dyDescent="0.2">
      <c r="A6" s="430"/>
      <c r="B6" s="432" t="s">
        <v>1110</v>
      </c>
      <c r="C6" s="433" t="s">
        <v>1111</v>
      </c>
      <c r="D6" s="433" t="s">
        <v>1112</v>
      </c>
      <c r="E6" s="433" t="s">
        <v>1113</v>
      </c>
      <c r="F6" s="433" t="s">
        <v>1114</v>
      </c>
      <c r="G6" s="434" t="s">
        <v>1115</v>
      </c>
      <c r="H6" s="434" t="s">
        <v>1116</v>
      </c>
    </row>
    <row r="7" spans="1:8" x14ac:dyDescent="0.2">
      <c r="A7" s="435"/>
      <c r="B7" s="444"/>
      <c r="C7" s="444"/>
      <c r="D7" s="444"/>
      <c r="E7" s="444"/>
      <c r="F7" s="444"/>
      <c r="G7" s="444"/>
      <c r="H7" s="444"/>
    </row>
    <row r="8" spans="1:8" ht="14.25" x14ac:dyDescent="0.2">
      <c r="A8" s="453" t="s">
        <v>2722</v>
      </c>
      <c r="B8" s="444"/>
      <c r="C8" s="444"/>
      <c r="D8" s="444"/>
      <c r="E8" s="444"/>
      <c r="F8" s="444"/>
      <c r="G8" s="444"/>
      <c r="H8" s="444"/>
    </row>
    <row r="9" spans="1:8" x14ac:dyDescent="0.2">
      <c r="A9" s="435"/>
      <c r="B9" s="444"/>
      <c r="C9" s="444"/>
      <c r="D9" s="444"/>
      <c r="E9" s="444"/>
      <c r="F9" s="444"/>
      <c r="G9" s="444"/>
      <c r="H9" s="444"/>
    </row>
    <row r="10" spans="1:8" x14ac:dyDescent="0.2">
      <c r="A10" s="145" t="s">
        <v>4163</v>
      </c>
      <c r="B10" s="243">
        <v>6670000</v>
      </c>
      <c r="C10" s="243">
        <v>11629000</v>
      </c>
      <c r="D10" s="463">
        <f>C10+3000000+50000-216350</f>
        <v>14462650</v>
      </c>
      <c r="E10" s="463">
        <v>8665901</v>
      </c>
      <c r="F10" s="243">
        <f>'Schedule 3(a) - Capex by GFS_7'!F17+'Schedule 3(a) - Capex by GFS_7'!F19</f>
        <v>19805247</v>
      </c>
      <c r="G10" s="243">
        <f>'Schedule 3(a) - Capex by GFS_7'!G19</f>
        <v>15531000</v>
      </c>
      <c r="H10" s="243">
        <f>'Schedule 3(a) - Capex by GFS_7'!H19</f>
        <v>18884000</v>
      </c>
    </row>
    <row r="11" spans="1:8" x14ac:dyDescent="0.2">
      <c r="A11" s="145" t="s">
        <v>4164</v>
      </c>
      <c r="B11" s="243">
        <v>735000</v>
      </c>
      <c r="C11" s="243">
        <f>'OPEX_ Bdgt_F'!D1204</f>
        <v>735000</v>
      </c>
      <c r="D11" s="243">
        <f>'OPEX_ Bdgt_F'!E1204</f>
        <v>735000</v>
      </c>
      <c r="E11" s="243">
        <f>'OPEX_ Bdgt_F'!G1204</f>
        <v>735000</v>
      </c>
      <c r="F11" s="243">
        <f>'OPEX_ Bdgt_F'!H1204</f>
        <v>750000</v>
      </c>
      <c r="G11" s="243">
        <f>'OPEX_ Bdgt_F'!I1204</f>
        <v>790000</v>
      </c>
      <c r="H11" s="243">
        <f>'OPEX_ Bdgt_F'!J1204</f>
        <v>800000</v>
      </c>
    </row>
    <row r="12" spans="1:8" x14ac:dyDescent="0.2">
      <c r="A12" s="145" t="s">
        <v>4165</v>
      </c>
      <c r="B12" s="243">
        <v>500000</v>
      </c>
      <c r="C12" s="243">
        <f>'OPEX_ Bdgt_F'!D605</f>
        <v>1000000</v>
      </c>
      <c r="D12" s="243">
        <f>'OPEX_ Bdgt_F'!E605</f>
        <v>1000000</v>
      </c>
      <c r="E12" s="243">
        <f>'OPEX_ Bdgt_F'!G605</f>
        <v>1000000</v>
      </c>
      <c r="F12" s="243">
        <f>'OPEX_ Bdgt_F'!H605</f>
        <v>1250000</v>
      </c>
      <c r="G12" s="243">
        <f>'OPEX_ Bdgt_F'!I605</f>
        <v>1500000</v>
      </c>
      <c r="H12" s="243">
        <f>'OPEX_ Bdgt_F'!J605</f>
        <v>1500000</v>
      </c>
    </row>
    <row r="13" spans="1:8" x14ac:dyDescent="0.2">
      <c r="A13" s="144" t="s">
        <v>4166</v>
      </c>
      <c r="B13" s="444">
        <v>0</v>
      </c>
      <c r="C13" s="243">
        <v>0</v>
      </c>
      <c r="D13" s="444">
        <v>0</v>
      </c>
      <c r="E13" s="444">
        <v>0</v>
      </c>
      <c r="F13" s="444">
        <v>0</v>
      </c>
      <c r="G13" s="444">
        <v>0</v>
      </c>
      <c r="H13" s="444">
        <v>0</v>
      </c>
    </row>
    <row r="14" spans="1:8" x14ac:dyDescent="0.2">
      <c r="A14" s="144" t="s">
        <v>4167</v>
      </c>
      <c r="B14" s="444">
        <v>0</v>
      </c>
      <c r="C14" s="462">
        <v>2950000</v>
      </c>
      <c r="D14" s="243">
        <v>2950000</v>
      </c>
      <c r="E14" s="243">
        <v>1035845</v>
      </c>
      <c r="F14" s="463">
        <f>D14-E14</f>
        <v>1914155</v>
      </c>
      <c r="G14" s="243">
        <f>'Schedule 3(a) - Capex by GFS_7'!G20</f>
        <v>300000</v>
      </c>
      <c r="H14" s="243">
        <f>'Schedule 3(a) - Capex by GFS_7'!H20</f>
        <v>500000</v>
      </c>
    </row>
    <row r="15" spans="1:8" x14ac:dyDescent="0.2">
      <c r="A15" s="144" t="s">
        <v>4168</v>
      </c>
      <c r="B15" s="243">
        <v>493000</v>
      </c>
      <c r="C15" s="462">
        <f>'OPEX_ Bdgt_F'!D20</f>
        <v>587000</v>
      </c>
      <c r="D15" s="462">
        <f>'OPEX_ Bdgt_F'!E20</f>
        <v>587000</v>
      </c>
      <c r="E15" s="462">
        <f>'OPEX_ Bdgt_F'!G20</f>
        <v>587000</v>
      </c>
      <c r="F15" s="462">
        <f>'OPEX_ Bdgt_F'!H20</f>
        <v>653000</v>
      </c>
      <c r="G15" s="462">
        <f>'OPEX_ Bdgt_F'!I20</f>
        <v>695000</v>
      </c>
      <c r="H15" s="462">
        <f>'OPEX_ Bdgt_F'!J20</f>
        <v>729000</v>
      </c>
    </row>
    <row r="16" spans="1:8" x14ac:dyDescent="0.2">
      <c r="A16" s="144" t="s">
        <v>4169</v>
      </c>
      <c r="B16" s="243">
        <v>700000</v>
      </c>
      <c r="C16" s="444">
        <v>0</v>
      </c>
      <c r="D16" s="462">
        <v>700000</v>
      </c>
      <c r="E16" s="444">
        <v>700</v>
      </c>
      <c r="F16" s="444">
        <v>0</v>
      </c>
      <c r="G16" s="444">
        <v>0</v>
      </c>
      <c r="H16" s="444">
        <v>0</v>
      </c>
    </row>
    <row r="17" spans="1:8" x14ac:dyDescent="0.2">
      <c r="A17" s="454"/>
      <c r="B17" s="444"/>
      <c r="C17" s="444"/>
      <c r="D17" s="444"/>
      <c r="E17" s="444"/>
      <c r="F17" s="444"/>
      <c r="G17" s="444"/>
      <c r="H17" s="444"/>
    </row>
    <row r="18" spans="1:8" x14ac:dyDescent="0.2">
      <c r="A18" s="455" t="s">
        <v>2714</v>
      </c>
      <c r="B18" s="461">
        <f>SUM(B10:B17)</f>
        <v>9098000</v>
      </c>
      <c r="C18" s="461">
        <f t="shared" ref="C18:H18" si="0">SUM(C10:C17)</f>
        <v>16901000</v>
      </c>
      <c r="D18" s="461">
        <f t="shared" si="0"/>
        <v>20434650</v>
      </c>
      <c r="E18" s="461">
        <f t="shared" si="0"/>
        <v>12024446</v>
      </c>
      <c r="F18" s="461">
        <f t="shared" si="0"/>
        <v>24372402</v>
      </c>
      <c r="G18" s="461">
        <f t="shared" si="0"/>
        <v>18816000</v>
      </c>
      <c r="H18" s="461">
        <f t="shared" si="0"/>
        <v>22413000</v>
      </c>
    </row>
    <row r="19" spans="1:8" x14ac:dyDescent="0.2">
      <c r="A19" s="454"/>
      <c r="B19" s="444"/>
      <c r="C19" s="444"/>
      <c r="D19" s="444"/>
      <c r="E19" s="444"/>
      <c r="F19" s="444"/>
      <c r="G19" s="444"/>
      <c r="H19" s="444"/>
    </row>
    <row r="20" spans="1:8" ht="14.25" x14ac:dyDescent="0.2">
      <c r="A20" s="453" t="s">
        <v>2723</v>
      </c>
      <c r="B20" s="444"/>
      <c r="C20" s="444"/>
      <c r="D20" s="444"/>
      <c r="E20" s="444"/>
      <c r="F20" s="444"/>
      <c r="G20" s="444"/>
      <c r="H20" s="444"/>
    </row>
    <row r="21" spans="1:8" x14ac:dyDescent="0.2">
      <c r="A21" s="435"/>
      <c r="B21" s="444"/>
      <c r="C21" s="444"/>
      <c r="D21" s="444"/>
      <c r="E21" s="444"/>
      <c r="F21" s="444"/>
      <c r="G21" s="444"/>
      <c r="H21" s="444"/>
    </row>
    <row r="22" spans="1:8" x14ac:dyDescent="0.2">
      <c r="A22" s="145" t="s">
        <v>395</v>
      </c>
      <c r="B22" s="243">
        <v>2220000</v>
      </c>
      <c r="C22" s="243">
        <v>2220000</v>
      </c>
      <c r="D22" s="243">
        <v>2220000</v>
      </c>
      <c r="E22" s="436">
        <f>'Schedule 3(a) - Capex by GFS_7'!E10</f>
        <v>0</v>
      </c>
      <c r="F22" s="243">
        <f>'Schedule 3(a) - Capex by GFS_7'!F10</f>
        <v>2220000</v>
      </c>
      <c r="G22" s="436">
        <f>'Schedule 3(a) - Capex by GFS_7'!G10</f>
        <v>0</v>
      </c>
      <c r="H22" s="436">
        <f>'Schedule 3(a) - Capex by GFS_7'!H10</f>
        <v>0</v>
      </c>
    </row>
    <row r="23" spans="1:8" x14ac:dyDescent="0.2">
      <c r="A23" s="144" t="s">
        <v>396</v>
      </c>
      <c r="B23" s="243">
        <v>1990152</v>
      </c>
      <c r="C23" s="243">
        <v>2035000</v>
      </c>
      <c r="D23" s="243">
        <v>2035000</v>
      </c>
      <c r="E23" s="243">
        <f>'Schedule 3(a) - Capex by GFS_7'!E8</f>
        <v>459351</v>
      </c>
      <c r="F23" s="243">
        <f>D23-E23</f>
        <v>1575649</v>
      </c>
      <c r="G23" s="243">
        <f>'Schedule 3(a) - Capex by GFS_7'!G8</f>
        <v>0</v>
      </c>
      <c r="H23" s="243">
        <f>'Schedule 3(a) - Capex by GFS_7'!H8</f>
        <v>0</v>
      </c>
    </row>
    <row r="24" spans="1:8" x14ac:dyDescent="0.2">
      <c r="A24" s="144" t="s">
        <v>397</v>
      </c>
      <c r="B24" s="243">
        <v>2380000</v>
      </c>
      <c r="C24" s="243">
        <v>2380000</v>
      </c>
      <c r="D24" s="243">
        <v>2380000</v>
      </c>
      <c r="E24" s="243">
        <f>2210008-476000-476000</f>
        <v>1258008</v>
      </c>
      <c r="F24" s="463">
        <f>D24-E24</f>
        <v>1121992</v>
      </c>
      <c r="G24" s="444">
        <v>0</v>
      </c>
      <c r="H24" s="444">
        <v>0</v>
      </c>
    </row>
    <row r="25" spans="1:8" x14ac:dyDescent="0.2">
      <c r="A25" s="144" t="s">
        <v>398</v>
      </c>
      <c r="B25" s="243">
        <v>909915</v>
      </c>
      <c r="C25" s="243">
        <v>909915</v>
      </c>
      <c r="D25" s="243">
        <v>909915</v>
      </c>
      <c r="E25" s="444">
        <v>0</v>
      </c>
      <c r="F25" s="463">
        <v>909915</v>
      </c>
      <c r="G25" s="444">
        <v>0</v>
      </c>
      <c r="H25" s="444">
        <v>0</v>
      </c>
    </row>
    <row r="26" spans="1:8" x14ac:dyDescent="0.2">
      <c r="A26" s="144" t="s">
        <v>399</v>
      </c>
      <c r="B26" s="243">
        <v>92818</v>
      </c>
      <c r="C26" s="243">
        <v>92818</v>
      </c>
      <c r="D26" s="243">
        <v>92818</v>
      </c>
      <c r="E26" s="243">
        <v>92818</v>
      </c>
      <c r="F26" s="444">
        <v>0</v>
      </c>
      <c r="G26" s="444">
        <v>0</v>
      </c>
      <c r="H26" s="444">
        <v>0</v>
      </c>
    </row>
    <row r="27" spans="1:8" x14ac:dyDescent="0.2">
      <c r="A27" s="144" t="s">
        <v>400</v>
      </c>
      <c r="B27" s="444">
        <v>0</v>
      </c>
      <c r="C27" s="444">
        <v>0</v>
      </c>
      <c r="D27" s="444">
        <v>0</v>
      </c>
      <c r="E27" s="444">
        <v>0</v>
      </c>
      <c r="F27" s="444">
        <v>0</v>
      </c>
      <c r="G27" s="444">
        <v>0</v>
      </c>
      <c r="H27" s="444">
        <v>0</v>
      </c>
    </row>
    <row r="28" spans="1:8" x14ac:dyDescent="0.2">
      <c r="A28" s="144" t="s">
        <v>401</v>
      </c>
      <c r="B28" s="243">
        <v>1000000</v>
      </c>
      <c r="C28" s="444">
        <v>0</v>
      </c>
      <c r="D28" s="243">
        <v>1000000</v>
      </c>
      <c r="E28" s="243">
        <f>980650-215633</f>
        <v>765017</v>
      </c>
      <c r="F28" s="463">
        <f>D28-E28</f>
        <v>234983</v>
      </c>
      <c r="G28" s="444">
        <v>0</v>
      </c>
      <c r="H28" s="444">
        <v>0</v>
      </c>
    </row>
    <row r="29" spans="1:8" x14ac:dyDescent="0.2">
      <c r="A29" s="146" t="s">
        <v>402</v>
      </c>
      <c r="B29" s="243">
        <v>176085</v>
      </c>
      <c r="C29" s="444">
        <v>0</v>
      </c>
      <c r="D29" s="243">
        <v>176085</v>
      </c>
      <c r="E29" s="243">
        <v>176085</v>
      </c>
      <c r="F29" s="444">
        <v>0</v>
      </c>
      <c r="G29" s="444">
        <v>0</v>
      </c>
      <c r="H29" s="444">
        <v>0</v>
      </c>
    </row>
    <row r="30" spans="1:8" x14ac:dyDescent="0.2">
      <c r="A30" s="454"/>
      <c r="B30" s="444"/>
      <c r="C30" s="444"/>
      <c r="D30" s="444"/>
      <c r="E30" s="444"/>
      <c r="F30" s="444"/>
      <c r="G30" s="444"/>
      <c r="H30" s="444"/>
    </row>
    <row r="31" spans="1:8" x14ac:dyDescent="0.2">
      <c r="A31" s="455" t="s">
        <v>2715</v>
      </c>
      <c r="B31" s="461">
        <f>SUM(B22:B30)</f>
        <v>8768970</v>
      </c>
      <c r="C31" s="461">
        <f t="shared" ref="C31:H31" si="1">SUM(C22:C30)</f>
        <v>7637733</v>
      </c>
      <c r="D31" s="461">
        <f t="shared" si="1"/>
        <v>8813818</v>
      </c>
      <c r="E31" s="461">
        <f t="shared" si="1"/>
        <v>2751279</v>
      </c>
      <c r="F31" s="461">
        <f t="shared" si="1"/>
        <v>6062539</v>
      </c>
      <c r="G31" s="461">
        <f t="shared" si="1"/>
        <v>0</v>
      </c>
      <c r="H31" s="461">
        <f t="shared" si="1"/>
        <v>0</v>
      </c>
    </row>
    <row r="32" spans="1:8" x14ac:dyDescent="0.2">
      <c r="A32" s="454"/>
      <c r="B32" s="444"/>
      <c r="C32" s="444"/>
      <c r="D32" s="444"/>
      <c r="E32" s="444"/>
      <c r="F32" s="444"/>
      <c r="G32" s="444"/>
      <c r="H32" s="444"/>
    </row>
    <row r="33" spans="1:8" x14ac:dyDescent="0.2">
      <c r="A33" s="454"/>
      <c r="B33" s="444"/>
      <c r="C33" s="444"/>
      <c r="D33" s="444"/>
      <c r="E33" s="444"/>
      <c r="F33" s="444"/>
      <c r="G33" s="444"/>
      <c r="H33" s="444"/>
    </row>
    <row r="34" spans="1:8" ht="14.25" x14ac:dyDescent="0.2">
      <c r="A34" s="453" t="s">
        <v>2724</v>
      </c>
      <c r="B34" s="444"/>
      <c r="C34" s="444"/>
      <c r="D34" s="444"/>
      <c r="E34" s="444"/>
      <c r="F34" s="444"/>
      <c r="G34" s="444"/>
      <c r="H34" s="444"/>
    </row>
    <row r="35" spans="1:8" x14ac:dyDescent="0.2">
      <c r="A35" s="435"/>
      <c r="B35" s="444"/>
      <c r="C35" s="444"/>
      <c r="D35" s="444"/>
      <c r="E35" s="444"/>
      <c r="F35" s="444"/>
      <c r="G35" s="444"/>
      <c r="H35" s="444"/>
    </row>
    <row r="36" spans="1:8" x14ac:dyDescent="0.2">
      <c r="A36" s="437" t="s">
        <v>441</v>
      </c>
      <c r="B36" s="444">
        <v>0</v>
      </c>
      <c r="C36" s="444">
        <v>0</v>
      </c>
      <c r="D36" s="444">
        <v>0</v>
      </c>
      <c r="E36" s="444">
        <v>0</v>
      </c>
      <c r="F36" s="444">
        <v>0</v>
      </c>
      <c r="G36" s="444">
        <v>0</v>
      </c>
      <c r="H36" s="444">
        <v>0</v>
      </c>
    </row>
    <row r="37" spans="1:8" x14ac:dyDescent="0.2">
      <c r="A37" s="454"/>
      <c r="B37" s="444"/>
      <c r="C37" s="444"/>
      <c r="D37" s="444"/>
      <c r="E37" s="444"/>
      <c r="F37" s="444"/>
      <c r="G37" s="444"/>
      <c r="H37" s="444"/>
    </row>
    <row r="38" spans="1:8" x14ac:dyDescent="0.2">
      <c r="A38" s="455" t="s">
        <v>2716</v>
      </c>
      <c r="B38" s="445">
        <f>SUM(B36:B37)</f>
        <v>0</v>
      </c>
      <c r="C38" s="445">
        <f t="shared" ref="C38:H38" si="2">SUM(C36:C37)</f>
        <v>0</v>
      </c>
      <c r="D38" s="445">
        <f t="shared" si="2"/>
        <v>0</v>
      </c>
      <c r="E38" s="445">
        <f t="shared" si="2"/>
        <v>0</v>
      </c>
      <c r="F38" s="445">
        <f t="shared" si="2"/>
        <v>0</v>
      </c>
      <c r="G38" s="445">
        <f t="shared" si="2"/>
        <v>0</v>
      </c>
      <c r="H38" s="445">
        <f t="shared" si="2"/>
        <v>0</v>
      </c>
    </row>
    <row r="39" spans="1:8" x14ac:dyDescent="0.2">
      <c r="A39" s="454"/>
      <c r="B39" s="444"/>
      <c r="C39" s="444"/>
      <c r="D39" s="444"/>
      <c r="E39" s="444"/>
      <c r="F39" s="444"/>
      <c r="G39" s="444"/>
      <c r="H39" s="444"/>
    </row>
    <row r="40" spans="1:8" x14ac:dyDescent="0.2">
      <c r="A40" s="454"/>
      <c r="B40" s="444"/>
      <c r="C40" s="444"/>
      <c r="D40" s="444"/>
      <c r="E40" s="444"/>
      <c r="F40" s="444"/>
      <c r="G40" s="444"/>
      <c r="H40" s="444"/>
    </row>
    <row r="41" spans="1:8" x14ac:dyDescent="0.2">
      <c r="A41" s="438" t="s">
        <v>2717</v>
      </c>
      <c r="B41" s="461">
        <f>B18+B31+B38</f>
        <v>17866970</v>
      </c>
      <c r="C41" s="461">
        <f t="shared" ref="C41:H41" si="3">C18+C31+C38</f>
        <v>24538733</v>
      </c>
      <c r="D41" s="461">
        <f t="shared" si="3"/>
        <v>29248468</v>
      </c>
      <c r="E41" s="461">
        <f t="shared" si="3"/>
        <v>14775725</v>
      </c>
      <c r="F41" s="461">
        <f t="shared" si="3"/>
        <v>30434941</v>
      </c>
      <c r="G41" s="461">
        <f t="shared" si="3"/>
        <v>18816000</v>
      </c>
      <c r="H41" s="461">
        <f t="shared" si="3"/>
        <v>22413000</v>
      </c>
    </row>
    <row r="42" spans="1:8" x14ac:dyDescent="0.2">
      <c r="A42" s="439"/>
    </row>
    <row r="43" spans="1:8" x14ac:dyDescent="0.2">
      <c r="A43" s="441" t="s">
        <v>1131</v>
      </c>
    </row>
    <row r="44" spans="1:8" x14ac:dyDescent="0.2">
      <c r="A44" s="304" t="s">
        <v>4099</v>
      </c>
    </row>
    <row r="45" spans="1:8" x14ac:dyDescent="0.2">
      <c r="A45" s="304" t="s">
        <v>4100</v>
      </c>
    </row>
    <row r="46" spans="1:8" x14ac:dyDescent="0.2">
      <c r="A46" s="304" t="s">
        <v>4101</v>
      </c>
    </row>
    <row r="47" spans="1:8" x14ac:dyDescent="0.2">
      <c r="A47" s="304" t="s">
        <v>4102</v>
      </c>
    </row>
    <row r="48" spans="1:8" x14ac:dyDescent="0.2">
      <c r="A48" s="304" t="s">
        <v>4103</v>
      </c>
    </row>
    <row r="49" spans="1:8" x14ac:dyDescent="0.2">
      <c r="A49" s="304" t="s">
        <v>4104</v>
      </c>
    </row>
    <row r="50" spans="1:8" x14ac:dyDescent="0.2">
      <c r="A50" s="304" t="s">
        <v>4359</v>
      </c>
    </row>
    <row r="51" spans="1:8" x14ac:dyDescent="0.2">
      <c r="A51" s="439"/>
    </row>
    <row r="52" spans="1:8" x14ac:dyDescent="0.2">
      <c r="A52" s="456" t="s">
        <v>1132</v>
      </c>
    </row>
    <row r="53" spans="1:8" x14ac:dyDescent="0.2">
      <c r="A53" s="413" t="s">
        <v>2718</v>
      </c>
    </row>
    <row r="54" spans="1:8" x14ac:dyDescent="0.2">
      <c r="A54" s="474" t="s">
        <v>2728</v>
      </c>
    </row>
    <row r="55" spans="1:8" x14ac:dyDescent="0.2">
      <c r="A55" s="413" t="s">
        <v>2719</v>
      </c>
    </row>
    <row r="56" spans="1:8" x14ac:dyDescent="0.2">
      <c r="A56" s="413" t="s">
        <v>2720</v>
      </c>
    </row>
    <row r="58" spans="1:8" x14ac:dyDescent="0.2">
      <c r="A58" s="762" t="s">
        <v>4075</v>
      </c>
      <c r="B58" s="762"/>
      <c r="C58" s="762"/>
      <c r="D58" s="762"/>
      <c r="E58" s="762"/>
      <c r="F58" s="762"/>
      <c r="G58" s="762"/>
      <c r="H58" s="762"/>
    </row>
  </sheetData>
  <mergeCells count="1">
    <mergeCell ref="A58:H58"/>
  </mergeCells>
  <phoneticPr fontId="3" type="noConversion"/>
  <pageMargins left="0.75" right="0.75" top="1" bottom="1" header="0.5" footer="0.5"/>
  <pageSetup paperSize="9" scale="6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6"/>
  <sheetViews>
    <sheetView view="pageBreakPreview" zoomScaleNormal="100" workbookViewId="0">
      <selection activeCell="A8" sqref="A8"/>
    </sheetView>
  </sheetViews>
  <sheetFormatPr defaultColWidth="10.6640625" defaultRowHeight="12.75" x14ac:dyDescent="0.2"/>
  <cols>
    <col min="1" max="1" width="57.83203125" style="413" customWidth="1"/>
    <col min="2" max="2" width="21.33203125" style="413" bestFit="1" customWidth="1"/>
    <col min="3" max="3" width="24" style="413" bestFit="1" customWidth="1"/>
    <col min="4" max="5" width="23.6640625" style="413" bestFit="1" customWidth="1"/>
    <col min="6" max="6" width="23.83203125" style="413" bestFit="1" customWidth="1"/>
    <col min="7" max="8" width="23.83203125" style="413" customWidth="1"/>
    <col min="9" max="16384" width="10.6640625" style="413"/>
  </cols>
  <sheetData>
    <row r="1" spans="1:8" x14ac:dyDescent="0.2">
      <c r="A1" s="405"/>
      <c r="B1" s="406" t="s">
        <v>1096</v>
      </c>
      <c r="C1" s="407" t="s">
        <v>1097</v>
      </c>
      <c r="D1" s="408"/>
      <c r="E1" s="409"/>
      <c r="F1" s="410" t="s">
        <v>1098</v>
      </c>
      <c r="G1" s="411"/>
      <c r="H1" s="412"/>
    </row>
    <row r="2" spans="1:8" x14ac:dyDescent="0.2">
      <c r="A2" s="414" t="s">
        <v>2729</v>
      </c>
      <c r="B2" s="415" t="s">
        <v>2730</v>
      </c>
      <c r="C2" s="416" t="s">
        <v>2731</v>
      </c>
      <c r="D2" s="417"/>
      <c r="E2" s="418"/>
      <c r="F2" s="419" t="s">
        <v>1100</v>
      </c>
      <c r="G2" s="414" t="s">
        <v>1101</v>
      </c>
      <c r="H2" s="414" t="s">
        <v>1102</v>
      </c>
    </row>
    <row r="3" spans="1:8" x14ac:dyDescent="0.2">
      <c r="A3" s="420"/>
      <c r="B3" s="421"/>
      <c r="C3" s="422"/>
      <c r="D3" s="423"/>
      <c r="E3" s="424"/>
      <c r="F3" s="425" t="s">
        <v>2732</v>
      </c>
      <c r="G3" s="425" t="s">
        <v>2733</v>
      </c>
      <c r="H3" s="425" t="s">
        <v>1103</v>
      </c>
    </row>
    <row r="4" spans="1:8" x14ac:dyDescent="0.2">
      <c r="A4" s="414" t="s">
        <v>2734</v>
      </c>
      <c r="B4" s="427" t="s">
        <v>1104</v>
      </c>
      <c r="C4" s="406" t="s">
        <v>1105</v>
      </c>
      <c r="D4" s="406" t="s">
        <v>1106</v>
      </c>
      <c r="E4" s="428" t="s">
        <v>1107</v>
      </c>
      <c r="F4" s="428" t="s">
        <v>1108</v>
      </c>
      <c r="G4" s="428" t="s">
        <v>1108</v>
      </c>
      <c r="H4" s="428" t="s">
        <v>1108</v>
      </c>
    </row>
    <row r="5" spans="1:8" x14ac:dyDescent="0.2">
      <c r="A5" s="420"/>
      <c r="B5" s="426" t="s">
        <v>1109</v>
      </c>
      <c r="C5" s="414" t="s">
        <v>1109</v>
      </c>
      <c r="D5" s="414" t="s">
        <v>1109</v>
      </c>
      <c r="E5" s="414" t="s">
        <v>1109</v>
      </c>
      <c r="F5" s="414" t="s">
        <v>1109</v>
      </c>
      <c r="G5" s="414" t="s">
        <v>1109</v>
      </c>
      <c r="H5" s="414" t="s">
        <v>1109</v>
      </c>
    </row>
    <row r="6" spans="1:8" x14ac:dyDescent="0.2">
      <c r="A6" s="430"/>
      <c r="B6" s="432" t="s">
        <v>1110</v>
      </c>
      <c r="C6" s="433" t="s">
        <v>1111</v>
      </c>
      <c r="D6" s="433" t="s">
        <v>1112</v>
      </c>
      <c r="E6" s="433" t="s">
        <v>1113</v>
      </c>
      <c r="F6" s="433" t="s">
        <v>1114</v>
      </c>
      <c r="G6" s="434" t="s">
        <v>1115</v>
      </c>
      <c r="H6" s="434" t="s">
        <v>1116</v>
      </c>
    </row>
    <row r="7" spans="1:8" x14ac:dyDescent="0.2">
      <c r="A7" s="435"/>
      <c r="B7" s="444"/>
      <c r="C7" s="444"/>
      <c r="D7" s="444"/>
      <c r="E7" s="444"/>
      <c r="F7" s="444"/>
      <c r="G7" s="444"/>
      <c r="H7" s="444"/>
    </row>
    <row r="8" spans="1:8" x14ac:dyDescent="0.2">
      <c r="A8" s="437" t="s">
        <v>441</v>
      </c>
      <c r="B8" s="444">
        <v>0</v>
      </c>
      <c r="C8" s="444">
        <v>0</v>
      </c>
      <c r="D8" s="444">
        <v>0</v>
      </c>
      <c r="E8" s="444">
        <v>0</v>
      </c>
      <c r="F8" s="444">
        <v>0</v>
      </c>
      <c r="G8" s="444">
        <v>0</v>
      </c>
      <c r="H8" s="444">
        <v>0</v>
      </c>
    </row>
    <row r="9" spans="1:8" x14ac:dyDescent="0.2">
      <c r="A9" s="435"/>
      <c r="B9" s="444"/>
      <c r="C9" s="444"/>
      <c r="D9" s="444"/>
      <c r="E9" s="444"/>
      <c r="F9" s="444"/>
      <c r="G9" s="444"/>
      <c r="H9" s="444"/>
    </row>
    <row r="10" spans="1:8" x14ac:dyDescent="0.2">
      <c r="A10" s="454"/>
      <c r="B10" s="444"/>
      <c r="C10" s="444"/>
      <c r="D10" s="444"/>
      <c r="E10" s="444"/>
      <c r="F10" s="444"/>
      <c r="G10" s="444"/>
      <c r="H10" s="444"/>
    </row>
    <row r="11" spans="1:8" x14ac:dyDescent="0.2">
      <c r="A11" s="454"/>
      <c r="B11" s="444"/>
      <c r="C11" s="444"/>
      <c r="D11" s="444"/>
      <c r="E11" s="444"/>
      <c r="F11" s="444"/>
      <c r="G11" s="444"/>
      <c r="H11" s="444"/>
    </row>
    <row r="12" spans="1:8" x14ac:dyDescent="0.2">
      <c r="A12" s="454"/>
      <c r="B12" s="444"/>
      <c r="C12" s="444"/>
      <c r="D12" s="444"/>
      <c r="E12" s="444"/>
      <c r="F12" s="444"/>
      <c r="G12" s="444"/>
      <c r="H12" s="444"/>
    </row>
    <row r="13" spans="1:8" x14ac:dyDescent="0.2">
      <c r="A13" s="437"/>
      <c r="B13" s="444"/>
      <c r="C13" s="444"/>
      <c r="D13" s="444"/>
      <c r="E13" s="444"/>
      <c r="F13" s="444"/>
      <c r="G13" s="444"/>
      <c r="H13" s="444"/>
    </row>
    <row r="14" spans="1:8" x14ac:dyDescent="0.2">
      <c r="A14" s="438" t="s">
        <v>2734</v>
      </c>
      <c r="B14" s="445">
        <f t="shared" ref="B14:H14" si="0">SUM(B8:B13)</f>
        <v>0</v>
      </c>
      <c r="C14" s="445">
        <f t="shared" si="0"/>
        <v>0</v>
      </c>
      <c r="D14" s="445">
        <f t="shared" si="0"/>
        <v>0</v>
      </c>
      <c r="E14" s="445">
        <f t="shared" si="0"/>
        <v>0</v>
      </c>
      <c r="F14" s="445">
        <f t="shared" si="0"/>
        <v>0</v>
      </c>
      <c r="G14" s="445">
        <f t="shared" si="0"/>
        <v>0</v>
      </c>
      <c r="H14" s="445">
        <f t="shared" si="0"/>
        <v>0</v>
      </c>
    </row>
    <row r="15" spans="1:8" x14ac:dyDescent="0.2">
      <c r="A15" s="439"/>
    </row>
    <row r="16" spans="1:8" x14ac:dyDescent="0.2">
      <c r="A16" s="441" t="s">
        <v>1131</v>
      </c>
    </row>
    <row r="17" spans="1:1" x14ac:dyDescent="0.2">
      <c r="A17" s="304" t="s">
        <v>4099</v>
      </c>
    </row>
    <row r="18" spans="1:1" x14ac:dyDescent="0.2">
      <c r="A18" s="304" t="s">
        <v>4100</v>
      </c>
    </row>
    <row r="19" spans="1:1" x14ac:dyDescent="0.2">
      <c r="A19" s="304" t="s">
        <v>4101</v>
      </c>
    </row>
    <row r="20" spans="1:1" x14ac:dyDescent="0.2">
      <c r="A20" s="304" t="s">
        <v>4102</v>
      </c>
    </row>
    <row r="21" spans="1:1" x14ac:dyDescent="0.2">
      <c r="A21" s="304" t="s">
        <v>4103</v>
      </c>
    </row>
    <row r="22" spans="1:1" x14ac:dyDescent="0.2">
      <c r="A22" s="304" t="s">
        <v>4104</v>
      </c>
    </row>
    <row r="23" spans="1:1" x14ac:dyDescent="0.2">
      <c r="A23" s="304" t="s">
        <v>4359</v>
      </c>
    </row>
    <row r="25" spans="1:1" x14ac:dyDescent="0.2">
      <c r="A25" s="441" t="s">
        <v>1132</v>
      </c>
    </row>
    <row r="26" spans="1:1" x14ac:dyDescent="0.2">
      <c r="A26" s="413" t="s">
        <v>2735</v>
      </c>
    </row>
  </sheetData>
  <phoneticPr fontId="3" type="noConversion"/>
  <pageMargins left="0.75" right="0.75" top="1" bottom="1" header="0.5" footer="0.5"/>
  <pageSetup paperSize="9" scale="72"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58"/>
  <sheetViews>
    <sheetView view="pageBreakPreview" topLeftCell="A29" zoomScaleNormal="100" workbookViewId="0">
      <selection activeCell="A61" sqref="A61"/>
    </sheetView>
  </sheetViews>
  <sheetFormatPr defaultColWidth="10.6640625" defaultRowHeight="12.75" x14ac:dyDescent="0.2"/>
  <cols>
    <col min="1" max="1" width="57.83203125" style="413" customWidth="1"/>
    <col min="2" max="2" width="21.33203125" style="413" bestFit="1" customWidth="1"/>
    <col min="3" max="3" width="24" style="413" bestFit="1" customWidth="1"/>
    <col min="4" max="5" width="23.6640625" style="413" bestFit="1" customWidth="1"/>
    <col min="6" max="6" width="23.83203125" style="413" bestFit="1" customWidth="1"/>
    <col min="7" max="8" width="23.83203125" style="413" customWidth="1"/>
    <col min="9" max="16384" width="10.6640625" style="413"/>
  </cols>
  <sheetData>
    <row r="2" spans="1:8" x14ac:dyDescent="0.2">
      <c r="A2" s="405"/>
      <c r="B2" s="406" t="s">
        <v>1096</v>
      </c>
      <c r="C2" s="407" t="s">
        <v>1097</v>
      </c>
      <c r="D2" s="408"/>
      <c r="E2" s="409"/>
      <c r="F2" s="410" t="s">
        <v>1098</v>
      </c>
      <c r="G2" s="411"/>
      <c r="H2" s="412"/>
    </row>
    <row r="3" spans="1:8" x14ac:dyDescent="0.2">
      <c r="A3" s="414" t="s">
        <v>2736</v>
      </c>
      <c r="B3" s="415" t="s">
        <v>2730</v>
      </c>
      <c r="C3" s="416" t="s">
        <v>2731</v>
      </c>
      <c r="D3" s="417"/>
      <c r="E3" s="418"/>
      <c r="F3" s="419" t="s">
        <v>1100</v>
      </c>
      <c r="G3" s="414" t="s">
        <v>1101</v>
      </c>
      <c r="H3" s="414" t="s">
        <v>1102</v>
      </c>
    </row>
    <row r="4" spans="1:8" x14ac:dyDescent="0.2">
      <c r="A4" s="420"/>
      <c r="B4" s="421"/>
      <c r="C4" s="422"/>
      <c r="D4" s="423"/>
      <c r="E4" s="424"/>
      <c r="F4" s="425" t="s">
        <v>2732</v>
      </c>
      <c r="G4" s="425" t="s">
        <v>2733</v>
      </c>
      <c r="H4" s="425" t="s">
        <v>1103</v>
      </c>
    </row>
    <row r="5" spans="1:8" x14ac:dyDescent="0.2">
      <c r="A5" s="414" t="s">
        <v>2737</v>
      </c>
      <c r="B5" s="427" t="s">
        <v>1104</v>
      </c>
      <c r="C5" s="406" t="s">
        <v>1105</v>
      </c>
      <c r="D5" s="406" t="s">
        <v>1106</v>
      </c>
      <c r="E5" s="428" t="s">
        <v>1107</v>
      </c>
      <c r="F5" s="428" t="s">
        <v>1108</v>
      </c>
      <c r="G5" s="428" t="s">
        <v>1108</v>
      </c>
      <c r="H5" s="428" t="s">
        <v>1108</v>
      </c>
    </row>
    <row r="6" spans="1:8" x14ac:dyDescent="0.2">
      <c r="A6" s="420"/>
      <c r="B6" s="426" t="s">
        <v>1109</v>
      </c>
      <c r="C6" s="414" t="s">
        <v>1109</v>
      </c>
      <c r="D6" s="414" t="s">
        <v>1109</v>
      </c>
      <c r="E6" s="414" t="s">
        <v>1109</v>
      </c>
      <c r="F6" s="414" t="s">
        <v>1109</v>
      </c>
      <c r="G6" s="414" t="s">
        <v>1109</v>
      </c>
      <c r="H6" s="414" t="s">
        <v>1109</v>
      </c>
    </row>
    <row r="7" spans="1:8" x14ac:dyDescent="0.2">
      <c r="A7" s="430"/>
      <c r="B7" s="432" t="s">
        <v>1110</v>
      </c>
      <c r="C7" s="433" t="s">
        <v>1111</v>
      </c>
      <c r="D7" s="433" t="s">
        <v>1112</v>
      </c>
      <c r="E7" s="433" t="s">
        <v>1113</v>
      </c>
      <c r="F7" s="433" t="s">
        <v>1114</v>
      </c>
      <c r="G7" s="434" t="s">
        <v>1115</v>
      </c>
      <c r="H7" s="434" t="s">
        <v>1116</v>
      </c>
    </row>
    <row r="8" spans="1:8" x14ac:dyDescent="0.2">
      <c r="A8" s="435"/>
      <c r="B8" s="449"/>
      <c r="C8" s="449"/>
      <c r="D8" s="449"/>
      <c r="E8" s="449"/>
      <c r="F8" s="449"/>
      <c r="G8" s="405"/>
      <c r="H8" s="405"/>
    </row>
    <row r="9" spans="1:8" ht="14.25" x14ac:dyDescent="0.2">
      <c r="A9" s="435" t="s">
        <v>2747</v>
      </c>
      <c r="B9" s="449"/>
      <c r="C9" s="449"/>
      <c r="D9" s="449"/>
      <c r="E9" s="449"/>
      <c r="F9" s="449"/>
      <c r="G9" s="449"/>
      <c r="H9" s="449"/>
    </row>
    <row r="10" spans="1:8" x14ac:dyDescent="0.2">
      <c r="A10" s="435"/>
      <c r="B10" s="449"/>
      <c r="C10" s="449"/>
      <c r="D10" s="449"/>
      <c r="E10" s="449"/>
      <c r="F10" s="449"/>
      <c r="G10" s="449"/>
      <c r="H10" s="449"/>
    </row>
    <row r="11" spans="1:8" x14ac:dyDescent="0.2">
      <c r="A11" s="454" t="s">
        <v>454</v>
      </c>
      <c r="B11" s="449">
        <v>0</v>
      </c>
      <c r="C11" s="449">
        <v>0</v>
      </c>
      <c r="D11" s="449">
        <v>0</v>
      </c>
      <c r="E11" s="449">
        <v>0</v>
      </c>
      <c r="F11" s="449">
        <v>0</v>
      </c>
      <c r="G11" s="449">
        <v>0</v>
      </c>
      <c r="H11" s="449">
        <v>0</v>
      </c>
    </row>
    <row r="12" spans="1:8" x14ac:dyDescent="0.2">
      <c r="A12" s="454" t="s">
        <v>455</v>
      </c>
      <c r="B12" s="449"/>
      <c r="C12" s="449"/>
      <c r="D12" s="449"/>
      <c r="E12" s="449"/>
      <c r="F12" s="449"/>
      <c r="G12" s="449"/>
      <c r="H12" s="449"/>
    </row>
    <row r="13" spans="1:8" x14ac:dyDescent="0.2">
      <c r="A13" s="454" t="s">
        <v>456</v>
      </c>
      <c r="B13" s="449"/>
      <c r="C13" s="449"/>
      <c r="D13" s="449"/>
      <c r="E13" s="449"/>
      <c r="F13" s="449"/>
      <c r="G13" s="449"/>
      <c r="H13" s="449"/>
    </row>
    <row r="14" spans="1:8" x14ac:dyDescent="0.2">
      <c r="A14" s="437" t="s">
        <v>2738</v>
      </c>
      <c r="B14" s="449"/>
      <c r="C14" s="449"/>
      <c r="D14" s="449"/>
      <c r="E14" s="449"/>
      <c r="F14" s="449"/>
      <c r="G14" s="449"/>
      <c r="H14" s="449"/>
    </row>
    <row r="15" spans="1:8" x14ac:dyDescent="0.2">
      <c r="A15" s="437"/>
      <c r="B15" s="449"/>
      <c r="C15" s="449"/>
      <c r="D15" s="449"/>
      <c r="E15" s="449"/>
      <c r="F15" s="449"/>
      <c r="G15" s="451"/>
      <c r="H15" s="451"/>
    </row>
    <row r="16" spans="1:8" x14ac:dyDescent="0.2">
      <c r="A16" s="438" t="s">
        <v>2739</v>
      </c>
      <c r="B16" s="438">
        <f t="shared" ref="B16:H16" si="0">SUM(B11:B15)</f>
        <v>0</v>
      </c>
      <c r="C16" s="438">
        <f t="shared" si="0"/>
        <v>0</v>
      </c>
      <c r="D16" s="438">
        <f t="shared" si="0"/>
        <v>0</v>
      </c>
      <c r="E16" s="438">
        <f t="shared" si="0"/>
        <v>0</v>
      </c>
      <c r="F16" s="438">
        <f t="shared" si="0"/>
        <v>0</v>
      </c>
      <c r="G16" s="438">
        <f t="shared" si="0"/>
        <v>0</v>
      </c>
      <c r="H16" s="438">
        <f t="shared" si="0"/>
        <v>0</v>
      </c>
    </row>
    <row r="17" spans="1:8" x14ac:dyDescent="0.2">
      <c r="A17" s="435"/>
      <c r="B17" s="449"/>
      <c r="C17" s="449"/>
      <c r="D17" s="449"/>
      <c r="E17" s="449"/>
      <c r="F17" s="449"/>
      <c r="G17" s="405"/>
      <c r="H17" s="405"/>
    </row>
    <row r="18" spans="1:8" ht="14.25" x14ac:dyDescent="0.2">
      <c r="A18" s="435" t="s">
        <v>2748</v>
      </c>
      <c r="B18" s="449"/>
      <c r="C18" s="449"/>
      <c r="D18" s="449"/>
      <c r="E18" s="449"/>
      <c r="F18" s="449"/>
      <c r="G18" s="449"/>
      <c r="H18" s="449"/>
    </row>
    <row r="19" spans="1:8" x14ac:dyDescent="0.2">
      <c r="A19" s="435"/>
      <c r="B19" s="449"/>
      <c r="C19" s="449"/>
      <c r="D19" s="449"/>
      <c r="E19" s="449"/>
      <c r="F19" s="449"/>
      <c r="G19" s="449"/>
      <c r="H19" s="449"/>
    </row>
    <row r="20" spans="1:8" x14ac:dyDescent="0.2">
      <c r="A20" s="454" t="s">
        <v>454</v>
      </c>
      <c r="B20" s="449">
        <v>0</v>
      </c>
      <c r="C20" s="449">
        <v>0</v>
      </c>
      <c r="D20" s="449">
        <v>0</v>
      </c>
      <c r="E20" s="449">
        <v>0</v>
      </c>
      <c r="F20" s="449">
        <v>0</v>
      </c>
      <c r="G20" s="449">
        <v>0</v>
      </c>
      <c r="H20" s="449">
        <v>0</v>
      </c>
    </row>
    <row r="21" spans="1:8" x14ac:dyDescent="0.2">
      <c r="A21" s="454" t="s">
        <v>455</v>
      </c>
      <c r="B21" s="449"/>
      <c r="C21" s="449"/>
      <c r="D21" s="449"/>
      <c r="E21" s="449"/>
      <c r="F21" s="449"/>
      <c r="G21" s="449"/>
      <c r="H21" s="449"/>
    </row>
    <row r="22" spans="1:8" x14ac:dyDescent="0.2">
      <c r="A22" s="454" t="s">
        <v>456</v>
      </c>
      <c r="B22" s="449"/>
      <c r="C22" s="449"/>
      <c r="D22" s="449"/>
      <c r="E22" s="449"/>
      <c r="F22" s="449"/>
      <c r="G22" s="449"/>
      <c r="H22" s="449"/>
    </row>
    <row r="23" spans="1:8" x14ac:dyDescent="0.2">
      <c r="A23" s="437" t="s">
        <v>2738</v>
      </c>
      <c r="B23" s="449"/>
      <c r="C23" s="449"/>
      <c r="D23" s="449"/>
      <c r="E23" s="449"/>
      <c r="F23" s="449"/>
      <c r="G23" s="449"/>
      <c r="H23" s="449"/>
    </row>
    <row r="24" spans="1:8" x14ac:dyDescent="0.2">
      <c r="A24" s="437"/>
      <c r="B24" s="449"/>
      <c r="C24" s="449"/>
      <c r="D24" s="449"/>
      <c r="E24" s="449"/>
      <c r="F24" s="449"/>
      <c r="G24" s="451"/>
      <c r="H24" s="451"/>
    </row>
    <row r="25" spans="1:8" x14ac:dyDescent="0.2">
      <c r="A25" s="438" t="s">
        <v>2740</v>
      </c>
      <c r="B25" s="438">
        <f t="shared" ref="B25:H25" si="1">SUM(B20:B24)</f>
        <v>0</v>
      </c>
      <c r="C25" s="438">
        <f t="shared" si="1"/>
        <v>0</v>
      </c>
      <c r="D25" s="438">
        <f t="shared" si="1"/>
        <v>0</v>
      </c>
      <c r="E25" s="438">
        <f t="shared" si="1"/>
        <v>0</v>
      </c>
      <c r="F25" s="438">
        <f t="shared" si="1"/>
        <v>0</v>
      </c>
      <c r="G25" s="438">
        <f t="shared" si="1"/>
        <v>0</v>
      </c>
      <c r="H25" s="438">
        <f t="shared" si="1"/>
        <v>0</v>
      </c>
    </row>
    <row r="26" spans="1:8" x14ac:dyDescent="0.2">
      <c r="A26" s="435"/>
      <c r="B26" s="449"/>
      <c r="C26" s="449"/>
      <c r="D26" s="449"/>
      <c r="E26" s="449"/>
      <c r="F26" s="449"/>
      <c r="G26" s="405"/>
      <c r="H26" s="405"/>
    </row>
    <row r="27" spans="1:8" ht="14.25" x14ac:dyDescent="0.2">
      <c r="A27" s="435" t="s">
        <v>2749</v>
      </c>
      <c r="B27" s="449"/>
      <c r="C27" s="449"/>
      <c r="D27" s="449"/>
      <c r="E27" s="449"/>
      <c r="F27" s="449"/>
      <c r="G27" s="449"/>
      <c r="H27" s="449"/>
    </row>
    <row r="28" spans="1:8" x14ac:dyDescent="0.2">
      <c r="A28" s="435"/>
      <c r="B28" s="449"/>
      <c r="C28" s="449"/>
      <c r="D28" s="449"/>
      <c r="E28" s="449"/>
      <c r="F28" s="449"/>
      <c r="G28" s="449"/>
      <c r="H28" s="449"/>
    </row>
    <row r="29" spans="1:8" x14ac:dyDescent="0.2">
      <c r="A29" s="454" t="s">
        <v>454</v>
      </c>
      <c r="B29" s="449">
        <v>0</v>
      </c>
      <c r="C29" s="449">
        <v>0</v>
      </c>
      <c r="D29" s="449">
        <v>0</v>
      </c>
      <c r="E29" s="449">
        <v>0</v>
      </c>
      <c r="F29" s="449">
        <v>0</v>
      </c>
      <c r="G29" s="449">
        <v>0</v>
      </c>
      <c r="H29" s="449">
        <v>0</v>
      </c>
    </row>
    <row r="30" spans="1:8" x14ac:dyDescent="0.2">
      <c r="A30" s="454" t="s">
        <v>455</v>
      </c>
      <c r="B30" s="449"/>
      <c r="C30" s="449"/>
      <c r="D30" s="449"/>
      <c r="E30" s="449"/>
      <c r="F30" s="449"/>
      <c r="G30" s="449"/>
      <c r="H30" s="449"/>
    </row>
    <row r="31" spans="1:8" x14ac:dyDescent="0.2">
      <c r="A31" s="454" t="s">
        <v>456</v>
      </c>
      <c r="B31" s="449"/>
      <c r="C31" s="449"/>
      <c r="D31" s="449"/>
      <c r="E31" s="449"/>
      <c r="F31" s="449"/>
      <c r="G31" s="449"/>
      <c r="H31" s="449"/>
    </row>
    <row r="32" spans="1:8" x14ac:dyDescent="0.2">
      <c r="A32" s="437" t="s">
        <v>2738</v>
      </c>
      <c r="B32" s="449"/>
      <c r="C32" s="449"/>
      <c r="D32" s="449"/>
      <c r="E32" s="449"/>
      <c r="F32" s="449"/>
      <c r="G32" s="449"/>
      <c r="H32" s="449"/>
    </row>
    <row r="33" spans="1:8" x14ac:dyDescent="0.2">
      <c r="A33" s="437"/>
      <c r="B33" s="449"/>
      <c r="C33" s="449"/>
      <c r="D33" s="449"/>
      <c r="E33" s="449"/>
      <c r="F33" s="449"/>
      <c r="G33" s="451"/>
      <c r="H33" s="451"/>
    </row>
    <row r="34" spans="1:8" x14ac:dyDescent="0.2">
      <c r="A34" s="438" t="s">
        <v>2741</v>
      </c>
      <c r="B34" s="438">
        <f t="shared" ref="B34:H34" si="2">SUM(B29:B33)</f>
        <v>0</v>
      </c>
      <c r="C34" s="438">
        <f t="shared" si="2"/>
        <v>0</v>
      </c>
      <c r="D34" s="438">
        <f t="shared" si="2"/>
        <v>0</v>
      </c>
      <c r="E34" s="438">
        <f t="shared" si="2"/>
        <v>0</v>
      </c>
      <c r="F34" s="438">
        <f t="shared" si="2"/>
        <v>0</v>
      </c>
      <c r="G34" s="438">
        <f t="shared" si="2"/>
        <v>0</v>
      </c>
      <c r="H34" s="438">
        <f t="shared" si="2"/>
        <v>0</v>
      </c>
    </row>
    <row r="35" spans="1:8" x14ac:dyDescent="0.2">
      <c r="A35" s="435"/>
      <c r="B35" s="449"/>
      <c r="C35" s="449"/>
      <c r="D35" s="449"/>
      <c r="E35" s="449"/>
      <c r="F35" s="449"/>
      <c r="G35" s="405"/>
      <c r="H35" s="405"/>
    </row>
    <row r="36" spans="1:8" ht="14.25" x14ac:dyDescent="0.2">
      <c r="A36" s="435" t="s">
        <v>2750</v>
      </c>
      <c r="B36" s="449"/>
      <c r="C36" s="449"/>
      <c r="D36" s="449"/>
      <c r="E36" s="449"/>
      <c r="F36" s="449"/>
      <c r="G36" s="449"/>
      <c r="H36" s="449"/>
    </row>
    <row r="37" spans="1:8" x14ac:dyDescent="0.2">
      <c r="A37" s="435"/>
      <c r="B37" s="449"/>
      <c r="C37" s="449"/>
      <c r="D37" s="449"/>
      <c r="E37" s="449"/>
      <c r="F37" s="449"/>
      <c r="G37" s="449"/>
      <c r="H37" s="449"/>
    </row>
    <row r="38" spans="1:8" x14ac:dyDescent="0.2">
      <c r="A38" s="454" t="s">
        <v>454</v>
      </c>
      <c r="B38" s="449">
        <v>0</v>
      </c>
      <c r="C38" s="449">
        <v>0</v>
      </c>
      <c r="D38" s="449">
        <v>0</v>
      </c>
      <c r="E38" s="449">
        <v>0</v>
      </c>
      <c r="F38" s="449">
        <v>0</v>
      </c>
      <c r="G38" s="449">
        <v>0</v>
      </c>
      <c r="H38" s="449">
        <v>0</v>
      </c>
    </row>
    <row r="39" spans="1:8" x14ac:dyDescent="0.2">
      <c r="A39" s="454" t="s">
        <v>455</v>
      </c>
      <c r="B39" s="449"/>
      <c r="C39" s="449"/>
      <c r="D39" s="449"/>
      <c r="E39" s="449"/>
      <c r="F39" s="449"/>
      <c r="G39" s="449"/>
      <c r="H39" s="449"/>
    </row>
    <row r="40" spans="1:8" x14ac:dyDescent="0.2">
      <c r="A40" s="454" t="s">
        <v>456</v>
      </c>
      <c r="B40" s="449"/>
      <c r="C40" s="449"/>
      <c r="D40" s="449"/>
      <c r="E40" s="449"/>
      <c r="F40" s="449"/>
      <c r="G40" s="449"/>
      <c r="H40" s="449"/>
    </row>
    <row r="41" spans="1:8" x14ac:dyDescent="0.2">
      <c r="A41" s="437" t="s">
        <v>2738</v>
      </c>
      <c r="B41" s="449"/>
      <c r="C41" s="449"/>
      <c r="D41" s="449"/>
      <c r="E41" s="449"/>
      <c r="F41" s="449"/>
      <c r="G41" s="449"/>
      <c r="H41" s="449"/>
    </row>
    <row r="42" spans="1:8" x14ac:dyDescent="0.2">
      <c r="A42" s="437"/>
      <c r="B42" s="449"/>
      <c r="C42" s="449"/>
      <c r="D42" s="449"/>
      <c r="E42" s="449"/>
      <c r="F42" s="449"/>
      <c r="G42" s="451"/>
      <c r="H42" s="451"/>
    </row>
    <row r="43" spans="1:8" x14ac:dyDescent="0.2">
      <c r="A43" s="438" t="s">
        <v>2742</v>
      </c>
      <c r="B43" s="438">
        <f t="shared" ref="B43:H43" si="3">SUM(B38:B42)</f>
        <v>0</v>
      </c>
      <c r="C43" s="438">
        <f t="shared" si="3"/>
        <v>0</v>
      </c>
      <c r="D43" s="438">
        <f t="shared" si="3"/>
        <v>0</v>
      </c>
      <c r="E43" s="438">
        <f t="shared" si="3"/>
        <v>0</v>
      </c>
      <c r="F43" s="438">
        <f t="shared" si="3"/>
        <v>0</v>
      </c>
      <c r="G43" s="438">
        <f t="shared" si="3"/>
        <v>0</v>
      </c>
      <c r="H43" s="438">
        <f t="shared" si="3"/>
        <v>0</v>
      </c>
    </row>
    <row r="45" spans="1:8" x14ac:dyDescent="0.2">
      <c r="A45" s="441" t="s">
        <v>1131</v>
      </c>
    </row>
    <row r="46" spans="1:8" x14ac:dyDescent="0.2">
      <c r="A46" s="304" t="s">
        <v>4099</v>
      </c>
    </row>
    <row r="47" spans="1:8" x14ac:dyDescent="0.2">
      <c r="A47" s="304" t="s">
        <v>4100</v>
      </c>
    </row>
    <row r="48" spans="1:8" x14ac:dyDescent="0.2">
      <c r="A48" s="304" t="s">
        <v>4101</v>
      </c>
    </row>
    <row r="49" spans="1:1" x14ac:dyDescent="0.2">
      <c r="A49" s="304" t="s">
        <v>4102</v>
      </c>
    </row>
    <row r="50" spans="1:1" x14ac:dyDescent="0.2">
      <c r="A50" s="304" t="s">
        <v>4103</v>
      </c>
    </row>
    <row r="51" spans="1:1" x14ac:dyDescent="0.2">
      <c r="A51" s="304" t="s">
        <v>4104</v>
      </c>
    </row>
    <row r="52" spans="1:1" x14ac:dyDescent="0.2">
      <c r="A52" s="304" t="s">
        <v>4359</v>
      </c>
    </row>
    <row r="54" spans="1:1" x14ac:dyDescent="0.2">
      <c r="A54" s="441" t="s">
        <v>1132</v>
      </c>
    </row>
    <row r="55" spans="1:1" x14ac:dyDescent="0.2">
      <c r="A55" s="413" t="s">
        <v>2743</v>
      </c>
    </row>
    <row r="56" spans="1:1" x14ac:dyDescent="0.2">
      <c r="A56" s="413" t="s">
        <v>2744</v>
      </c>
    </row>
    <row r="57" spans="1:1" x14ac:dyDescent="0.2">
      <c r="A57" s="413" t="s">
        <v>2745</v>
      </c>
    </row>
    <row r="58" spans="1:1" x14ac:dyDescent="0.2">
      <c r="A58" s="413" t="s">
        <v>2746</v>
      </c>
    </row>
  </sheetData>
  <phoneticPr fontId="3" type="noConversion"/>
  <pageMargins left="0.75" right="0.75" top="1" bottom="1" header="0.5" footer="0.5"/>
  <pageSetup paperSize="9" scale="6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view="pageBreakPreview" zoomScaleNormal="100" workbookViewId="0">
      <selection activeCell="B20" sqref="B20"/>
    </sheetView>
  </sheetViews>
  <sheetFormatPr defaultColWidth="10.6640625" defaultRowHeight="12.75" x14ac:dyDescent="0.2"/>
  <cols>
    <col min="1" max="1" width="65.33203125" style="413" bestFit="1" customWidth="1"/>
    <col min="2" max="6" width="17.1640625" style="413" customWidth="1"/>
    <col min="7" max="16384" width="10.6640625" style="413"/>
  </cols>
  <sheetData>
    <row r="1" spans="1:7" x14ac:dyDescent="0.2">
      <c r="A1" s="406" t="s">
        <v>2751</v>
      </c>
      <c r="B1" s="475" t="s">
        <v>2752</v>
      </c>
      <c r="C1" s="406" t="s">
        <v>2753</v>
      </c>
      <c r="D1" s="406" t="s">
        <v>2754</v>
      </c>
      <c r="E1" s="406" t="s">
        <v>2755</v>
      </c>
      <c r="F1" s="406" t="s">
        <v>449</v>
      </c>
    </row>
    <row r="2" spans="1:7" ht="14.25" x14ac:dyDescent="0.2">
      <c r="A2" s="476"/>
      <c r="B2" s="477"/>
      <c r="C2" s="414" t="s">
        <v>2782</v>
      </c>
      <c r="D2" s="414"/>
      <c r="E2" s="414" t="s">
        <v>2756</v>
      </c>
      <c r="F2" s="414" t="s">
        <v>2757</v>
      </c>
    </row>
    <row r="3" spans="1:7" x14ac:dyDescent="0.2">
      <c r="A3" s="433" t="s">
        <v>2758</v>
      </c>
      <c r="B3" s="478" t="s">
        <v>2759</v>
      </c>
      <c r="C3" s="433" t="s">
        <v>2759</v>
      </c>
      <c r="D3" s="433" t="s">
        <v>2759</v>
      </c>
      <c r="E3" s="433" t="s">
        <v>2759</v>
      </c>
      <c r="F3" s="433" t="s">
        <v>2759</v>
      </c>
    </row>
    <row r="4" spans="1:7" x14ac:dyDescent="0.2">
      <c r="A4" s="435" t="s">
        <v>2760</v>
      </c>
      <c r="B4" s="479"/>
      <c r="C4" s="479"/>
      <c r="D4" s="479"/>
      <c r="E4" s="479"/>
      <c r="F4" s="479"/>
    </row>
    <row r="5" spans="1:7" x14ac:dyDescent="0.2">
      <c r="A5" s="449"/>
      <c r="B5" s="449"/>
      <c r="C5" s="449"/>
      <c r="D5" s="449"/>
      <c r="E5" s="449"/>
      <c r="F5" s="449"/>
    </row>
    <row r="6" spans="1:7" x14ac:dyDescent="0.2">
      <c r="A6" s="480" t="s">
        <v>2761</v>
      </c>
      <c r="B6" s="243">
        <v>314723</v>
      </c>
      <c r="C6" s="243">
        <v>10094</v>
      </c>
      <c r="D6" s="243">
        <v>122170</v>
      </c>
      <c r="E6" s="449">
        <v>0</v>
      </c>
      <c r="F6" s="481">
        <f>SUM(B6:E6)</f>
        <v>446987</v>
      </c>
      <c r="G6" s="482"/>
    </row>
    <row r="7" spans="1:7" x14ac:dyDescent="0.2">
      <c r="A7" s="449"/>
      <c r="B7" s="449"/>
      <c r="C7" s="449"/>
      <c r="D7" s="449"/>
      <c r="E7" s="449"/>
      <c r="F7" s="449"/>
    </row>
    <row r="8" spans="1:7" x14ac:dyDescent="0.2">
      <c r="A8" s="480" t="s">
        <v>2760</v>
      </c>
      <c r="B8" s="243">
        <f>'[4]Bdgt_GRAP_10-50'!H32-B6</f>
        <v>1062182</v>
      </c>
      <c r="C8" s="243">
        <f>'[4]Bdgt_GRAP_10-50'!H29+'[4]Bdgt_GRAP_10-50'!H30+'[4]Bdgt_GRAP_10-50'!H31+'[4]Bdgt_GRAP_10-50'!H35-C6</f>
        <v>29205</v>
      </c>
      <c r="D8" s="243">
        <f>'[4]Bdgt_GRAP_10-50'!H33+'[4]Bdgt_GRAP_10-50'!H34-D6</f>
        <v>442530</v>
      </c>
      <c r="E8" s="243">
        <v>0</v>
      </c>
      <c r="F8" s="243">
        <f>SUM(B8:E8)</f>
        <v>1533917</v>
      </c>
      <c r="G8" s="482"/>
    </row>
    <row r="9" spans="1:7" x14ac:dyDescent="0.2">
      <c r="A9" s="449"/>
      <c r="B9" s="449"/>
      <c r="C9" s="449"/>
      <c r="D9" s="449"/>
      <c r="E9" s="449"/>
      <c r="F9" s="449"/>
    </row>
    <row r="10" spans="1:7" x14ac:dyDescent="0.2">
      <c r="A10" s="435" t="s">
        <v>2762</v>
      </c>
      <c r="B10" s="449"/>
      <c r="C10" s="449"/>
      <c r="D10" s="449"/>
      <c r="E10" s="449"/>
      <c r="F10" s="449"/>
    </row>
    <row r="11" spans="1:7" x14ac:dyDescent="0.2">
      <c r="A11" s="449"/>
      <c r="B11" s="449"/>
      <c r="C11" s="449"/>
      <c r="D11" s="449"/>
      <c r="E11" s="449"/>
      <c r="F11" s="449"/>
    </row>
    <row r="12" spans="1:7" x14ac:dyDescent="0.2">
      <c r="A12" s="449" t="s">
        <v>2763</v>
      </c>
      <c r="B12" s="483">
        <f>427894+33017</f>
        <v>460911</v>
      </c>
      <c r="C12" s="243">
        <v>146285</v>
      </c>
      <c r="D12" s="243">
        <v>123893</v>
      </c>
      <c r="E12" s="449">
        <v>0</v>
      </c>
      <c r="F12" s="481">
        <f>SUM(B12:E12)</f>
        <v>731089</v>
      </c>
      <c r="G12" s="482"/>
    </row>
    <row r="13" spans="1:7" x14ac:dyDescent="0.2">
      <c r="A13" s="449"/>
      <c r="B13" s="483"/>
      <c r="C13" s="449"/>
      <c r="D13" s="449"/>
      <c r="E13" s="449"/>
      <c r="F13" s="449"/>
    </row>
    <row r="14" spans="1:7" x14ac:dyDescent="0.2">
      <c r="A14" s="480" t="s">
        <v>3578</v>
      </c>
      <c r="B14" s="449"/>
      <c r="C14" s="449"/>
      <c r="D14" s="449"/>
      <c r="E14" s="449"/>
      <c r="F14" s="449"/>
      <c r="G14" s="482"/>
    </row>
    <row r="15" spans="1:7" x14ac:dyDescent="0.2">
      <c r="A15" s="449"/>
      <c r="B15" s="483">
        <f>358154+29846</f>
        <v>388000</v>
      </c>
      <c r="C15" s="483">
        <v>110393</v>
      </c>
      <c r="D15" s="483">
        <v>165310</v>
      </c>
      <c r="E15" s="449">
        <v>0</v>
      </c>
      <c r="F15" s="481">
        <f>SUM(B15:E15)</f>
        <v>663703</v>
      </c>
    </row>
    <row r="16" spans="1:7" x14ac:dyDescent="0.2">
      <c r="A16" s="480" t="s">
        <v>2771</v>
      </c>
      <c r="B16" s="449"/>
      <c r="C16" s="449"/>
      <c r="D16" s="449"/>
      <c r="E16" s="449"/>
      <c r="F16" s="449"/>
      <c r="G16" s="482"/>
    </row>
    <row r="17" spans="1:6" x14ac:dyDescent="0.2">
      <c r="A17" s="449"/>
      <c r="B17" s="449"/>
      <c r="C17" s="449"/>
      <c r="D17" s="449"/>
      <c r="E17" s="449"/>
      <c r="F17" s="449"/>
    </row>
    <row r="18" spans="1:6" x14ac:dyDescent="0.2">
      <c r="A18" s="480" t="s">
        <v>3579</v>
      </c>
      <c r="B18" s="449">
        <v>0</v>
      </c>
      <c r="C18" s="449">
        <v>0</v>
      </c>
      <c r="D18" s="449">
        <v>0</v>
      </c>
      <c r="E18" s="449">
        <v>0</v>
      </c>
      <c r="F18" s="449">
        <f>SUM(B18:E18)</f>
        <v>0</v>
      </c>
    </row>
    <row r="19" spans="1:6" x14ac:dyDescent="0.2">
      <c r="A19" s="449"/>
      <c r="B19" s="449"/>
      <c r="C19" s="449"/>
      <c r="D19" s="449"/>
      <c r="E19" s="449"/>
      <c r="F19" s="449"/>
    </row>
    <row r="20" spans="1:6" x14ac:dyDescent="0.2">
      <c r="A20" s="480" t="s">
        <v>3580</v>
      </c>
      <c r="B20" s="449">
        <v>0</v>
      </c>
      <c r="C20" s="449">
        <v>0</v>
      </c>
      <c r="D20" s="449">
        <v>0</v>
      </c>
      <c r="E20" s="449">
        <v>0</v>
      </c>
      <c r="F20" s="449">
        <f>SUM(B20:E20)</f>
        <v>0</v>
      </c>
    </row>
    <row r="21" spans="1:6" x14ac:dyDescent="0.2">
      <c r="A21" s="449"/>
      <c r="B21" s="449"/>
      <c r="C21" s="449"/>
      <c r="D21" s="449"/>
      <c r="E21" s="449"/>
      <c r="F21" s="449"/>
    </row>
    <row r="22" spans="1:6" ht="14.25" x14ac:dyDescent="0.2">
      <c r="A22" s="435" t="s">
        <v>2783</v>
      </c>
      <c r="B22" s="449"/>
      <c r="C22" s="449"/>
      <c r="D22" s="449"/>
      <c r="E22" s="449"/>
      <c r="F22" s="449"/>
    </row>
    <row r="23" spans="1:6" x14ac:dyDescent="0.2">
      <c r="A23" s="449"/>
      <c r="B23" s="449"/>
      <c r="C23" s="449"/>
      <c r="D23" s="449"/>
      <c r="E23" s="449"/>
      <c r="F23" s="449"/>
    </row>
    <row r="24" spans="1:6" x14ac:dyDescent="0.2">
      <c r="A24" s="449" t="s">
        <v>2772</v>
      </c>
      <c r="B24" s="449">
        <v>0</v>
      </c>
      <c r="C24" s="449">
        <v>0</v>
      </c>
      <c r="D24" s="449">
        <v>0</v>
      </c>
      <c r="E24" s="449">
        <v>0</v>
      </c>
      <c r="F24" s="449">
        <f>SUM(B24:E24)</f>
        <v>0</v>
      </c>
    </row>
    <row r="25" spans="1:6" x14ac:dyDescent="0.2">
      <c r="A25" s="449"/>
      <c r="B25" s="449"/>
      <c r="C25" s="449"/>
      <c r="D25" s="449"/>
      <c r="E25" s="449"/>
      <c r="F25" s="449"/>
    </row>
    <row r="26" spans="1:6" x14ac:dyDescent="0.2">
      <c r="A26" s="449" t="s">
        <v>2773</v>
      </c>
      <c r="B26" s="449">
        <v>0</v>
      </c>
      <c r="C26" s="449">
        <v>0</v>
      </c>
      <c r="D26" s="449">
        <v>0</v>
      </c>
      <c r="E26" s="449">
        <v>0</v>
      </c>
      <c r="F26" s="449">
        <f>SUM(B26:E26)</f>
        <v>0</v>
      </c>
    </row>
    <row r="27" spans="1:6" x14ac:dyDescent="0.2">
      <c r="A27" s="449"/>
      <c r="B27" s="449"/>
      <c r="C27" s="449"/>
      <c r="D27" s="449"/>
      <c r="E27" s="449"/>
      <c r="F27" s="449"/>
    </row>
    <row r="28" spans="1:6" x14ac:dyDescent="0.2">
      <c r="A28" s="449" t="s">
        <v>2774</v>
      </c>
      <c r="B28" s="449">
        <v>0</v>
      </c>
      <c r="C28" s="449">
        <v>0</v>
      </c>
      <c r="D28" s="449">
        <v>0</v>
      </c>
      <c r="E28" s="449">
        <v>0</v>
      </c>
      <c r="F28" s="449">
        <f>SUM(B28:E28)</f>
        <v>0</v>
      </c>
    </row>
    <row r="29" spans="1:6" x14ac:dyDescent="0.2">
      <c r="A29" s="449"/>
      <c r="B29" s="449"/>
      <c r="C29" s="449"/>
      <c r="D29" s="449"/>
      <c r="E29" s="449"/>
      <c r="F29" s="449"/>
    </row>
    <row r="30" spans="1:6" x14ac:dyDescent="0.2">
      <c r="A30" s="438" t="s">
        <v>2775</v>
      </c>
      <c r="B30" s="484">
        <f>SUM(B6:B29)</f>
        <v>2225816</v>
      </c>
      <c r="C30" s="484">
        <f>SUM(C6:C29)</f>
        <v>295977</v>
      </c>
      <c r="D30" s="484">
        <f>SUM(D6:D29)</f>
        <v>853903</v>
      </c>
      <c r="E30" s="484">
        <f>SUM(E6:E29)</f>
        <v>0</v>
      </c>
      <c r="F30" s="484">
        <f>SUM(F6:F29)</f>
        <v>3375696</v>
      </c>
    </row>
    <row r="33" spans="1:1" x14ac:dyDescent="0.2">
      <c r="A33" s="441" t="s">
        <v>1132</v>
      </c>
    </row>
    <row r="34" spans="1:1" x14ac:dyDescent="0.2">
      <c r="A34" s="413" t="s">
        <v>2776</v>
      </c>
    </row>
    <row r="35" spans="1:1" x14ac:dyDescent="0.2">
      <c r="A35" s="413" t="s">
        <v>2777</v>
      </c>
    </row>
    <row r="36" spans="1:1" x14ac:dyDescent="0.2">
      <c r="A36" s="413" t="s">
        <v>2778</v>
      </c>
    </row>
    <row r="37" spans="1:1" x14ac:dyDescent="0.2">
      <c r="A37" s="413" t="s">
        <v>2779</v>
      </c>
    </row>
    <row r="38" spans="1:1" x14ac:dyDescent="0.2">
      <c r="A38" s="413" t="s">
        <v>2780</v>
      </c>
    </row>
    <row r="39" spans="1:1" x14ac:dyDescent="0.2">
      <c r="A39" s="413" t="s">
        <v>2781</v>
      </c>
    </row>
  </sheetData>
  <phoneticPr fontId="3" type="noConversion"/>
  <pageMargins left="0.75" right="0.75" top="1" bottom="1" header="0.5" footer="0.5"/>
  <pageSetup paperSize="9" scale="6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workbookViewId="0">
      <selection activeCell="J29" sqref="J29"/>
    </sheetView>
  </sheetViews>
  <sheetFormatPr defaultRowHeight="12.75" x14ac:dyDescent="0.2"/>
  <cols>
    <col min="1" max="1" width="7.1640625" style="2" customWidth="1"/>
    <col min="2" max="16384" width="9.33203125" style="2"/>
  </cols>
  <sheetData>
    <row r="1" spans="1:11" ht="15.75" x14ac:dyDescent="0.25">
      <c r="A1" s="754" t="s">
        <v>451</v>
      </c>
      <c r="B1" s="754"/>
      <c r="C1" s="754"/>
      <c r="D1" s="754"/>
      <c r="E1" s="754"/>
      <c r="F1" s="754"/>
      <c r="G1" s="754"/>
      <c r="H1" s="754"/>
      <c r="I1" s="754"/>
      <c r="J1" s="754"/>
      <c r="K1" s="4"/>
    </row>
    <row r="3" spans="1:11" x14ac:dyDescent="0.2">
      <c r="A3" s="5" t="s">
        <v>452</v>
      </c>
    </row>
    <row r="4" spans="1:11" x14ac:dyDescent="0.2">
      <c r="A4" s="5"/>
    </row>
    <row r="5" spans="1:11" x14ac:dyDescent="0.2">
      <c r="J5" s="6" t="s">
        <v>453</v>
      </c>
      <c r="K5" s="6"/>
    </row>
    <row r="6" spans="1:11" x14ac:dyDescent="0.2">
      <c r="J6" s="6"/>
      <c r="K6" s="6"/>
    </row>
    <row r="7" spans="1:11" x14ac:dyDescent="0.2">
      <c r="A7" s="7" t="s">
        <v>454</v>
      </c>
      <c r="B7" s="5" t="s">
        <v>4086</v>
      </c>
      <c r="K7" s="6"/>
    </row>
    <row r="8" spans="1:11" x14ac:dyDescent="0.2">
      <c r="K8" s="6"/>
    </row>
    <row r="9" spans="1:11" x14ac:dyDescent="0.2">
      <c r="A9" s="7" t="s">
        <v>455</v>
      </c>
      <c r="B9" s="5" t="s">
        <v>457</v>
      </c>
      <c r="J9" s="8" t="s">
        <v>2963</v>
      </c>
      <c r="K9" s="6"/>
    </row>
    <row r="10" spans="1:11" x14ac:dyDescent="0.2">
      <c r="A10" s="7"/>
      <c r="J10" s="6"/>
      <c r="K10" s="6"/>
    </row>
    <row r="11" spans="1:11" x14ac:dyDescent="0.2">
      <c r="A11" s="7" t="s">
        <v>2964</v>
      </c>
      <c r="B11" s="5" t="s">
        <v>459</v>
      </c>
      <c r="C11" s="9"/>
      <c r="D11" s="9"/>
      <c r="J11" s="6"/>
      <c r="K11" s="6"/>
    </row>
    <row r="12" spans="1:11" x14ac:dyDescent="0.2">
      <c r="A12" s="7"/>
      <c r="B12" s="5"/>
      <c r="C12" s="9"/>
      <c r="D12" s="9"/>
      <c r="J12" s="6"/>
      <c r="K12" s="6"/>
    </row>
    <row r="13" spans="1:11" x14ac:dyDescent="0.2">
      <c r="A13" s="7" t="s">
        <v>2964</v>
      </c>
      <c r="B13" s="10" t="s">
        <v>461</v>
      </c>
      <c r="C13" s="9"/>
      <c r="D13" s="9"/>
      <c r="J13" s="8" t="s">
        <v>2980</v>
      </c>
      <c r="K13" s="6"/>
    </row>
    <row r="14" spans="1:11" x14ac:dyDescent="0.2">
      <c r="A14" s="7"/>
      <c r="B14" s="10"/>
      <c r="C14" s="9"/>
      <c r="D14" s="9"/>
      <c r="J14" s="6"/>
      <c r="K14" s="6"/>
    </row>
    <row r="15" spans="1:11" x14ac:dyDescent="0.2">
      <c r="A15" s="7" t="s">
        <v>456</v>
      </c>
      <c r="B15" s="10" t="s">
        <v>463</v>
      </c>
      <c r="C15" s="9"/>
      <c r="D15" s="9"/>
      <c r="J15" s="8" t="s">
        <v>2983</v>
      </c>
      <c r="K15" s="6"/>
    </row>
    <row r="16" spans="1:11" x14ac:dyDescent="0.2">
      <c r="A16" s="7"/>
      <c r="B16" s="10"/>
      <c r="C16" s="9"/>
      <c r="D16" s="9"/>
      <c r="J16" s="6"/>
      <c r="K16" s="6"/>
    </row>
    <row r="17" spans="1:11" x14ac:dyDescent="0.2">
      <c r="A17" s="7" t="s">
        <v>2966</v>
      </c>
      <c r="B17" s="5" t="s">
        <v>465</v>
      </c>
      <c r="C17" s="9"/>
      <c r="D17" s="9"/>
      <c r="J17" s="6"/>
      <c r="K17" s="6"/>
    </row>
    <row r="18" spans="1:11" x14ac:dyDescent="0.2">
      <c r="B18" s="5"/>
      <c r="C18" s="9"/>
      <c r="D18" s="9"/>
      <c r="J18" s="6"/>
      <c r="K18" s="6"/>
    </row>
    <row r="19" spans="1:11" x14ac:dyDescent="0.2">
      <c r="A19" s="7" t="s">
        <v>2967</v>
      </c>
      <c r="B19" s="10" t="s">
        <v>466</v>
      </c>
      <c r="C19" s="9"/>
      <c r="D19" s="9"/>
      <c r="J19" s="8" t="s">
        <v>2984</v>
      </c>
      <c r="K19" s="6"/>
    </row>
    <row r="20" spans="1:11" x14ac:dyDescent="0.2">
      <c r="B20" s="12"/>
      <c r="C20" s="9"/>
      <c r="D20" s="9"/>
      <c r="J20" s="6"/>
      <c r="K20" s="6"/>
    </row>
    <row r="21" spans="1:11" x14ac:dyDescent="0.2">
      <c r="A21" s="7" t="s">
        <v>458</v>
      </c>
      <c r="B21" s="10" t="s">
        <v>467</v>
      </c>
      <c r="C21" s="9"/>
      <c r="D21" s="9"/>
      <c r="J21" s="11" t="s">
        <v>2985</v>
      </c>
    </row>
    <row r="22" spans="1:11" x14ac:dyDescent="0.2">
      <c r="A22" s="7"/>
      <c r="B22" s="12"/>
      <c r="C22" s="9"/>
      <c r="D22" s="9"/>
      <c r="J22" s="6"/>
    </row>
    <row r="23" spans="1:11" x14ac:dyDescent="0.2">
      <c r="A23" s="7" t="s">
        <v>460</v>
      </c>
      <c r="B23" s="10" t="s">
        <v>2968</v>
      </c>
    </row>
    <row r="24" spans="1:11" x14ac:dyDescent="0.2">
      <c r="A24" s="7"/>
      <c r="B24" s="5"/>
    </row>
    <row r="25" spans="1:11" x14ac:dyDescent="0.2">
      <c r="A25" s="7" t="s">
        <v>462</v>
      </c>
      <c r="B25" s="10" t="s">
        <v>2969</v>
      </c>
      <c r="J25" s="6" t="s">
        <v>1110</v>
      </c>
    </row>
    <row r="26" spans="1:11" x14ac:dyDescent="0.2">
      <c r="B26" s="5"/>
      <c r="J26" s="6"/>
    </row>
    <row r="27" spans="1:11" x14ac:dyDescent="0.2">
      <c r="B27" s="10" t="s">
        <v>4180</v>
      </c>
      <c r="J27" s="6" t="s">
        <v>1111</v>
      </c>
    </row>
    <row r="28" spans="1:11" x14ac:dyDescent="0.2">
      <c r="B28" s="10"/>
      <c r="J28" s="6"/>
    </row>
    <row r="29" spans="1:11" x14ac:dyDescent="0.2">
      <c r="B29" s="10" t="s">
        <v>226</v>
      </c>
      <c r="J29" s="6" t="s">
        <v>1112</v>
      </c>
    </row>
    <row r="30" spans="1:11" x14ac:dyDescent="0.2">
      <c r="B30" s="5"/>
      <c r="J30" s="6"/>
    </row>
    <row r="31" spans="1:11" x14ac:dyDescent="0.2">
      <c r="B31" s="10" t="s">
        <v>2965</v>
      </c>
      <c r="C31" s="9"/>
      <c r="D31" s="9"/>
      <c r="J31" s="6" t="s">
        <v>2982</v>
      </c>
    </row>
  </sheetData>
  <mergeCells count="1">
    <mergeCell ref="A1:J1"/>
  </mergeCells>
  <phoneticPr fontId="20" type="noConversion"/>
  <pageMargins left="0.75" right="0.75" top="1" bottom="1" header="0.5" footer="0.5"/>
  <pageSetup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5"/>
  <sheetViews>
    <sheetView view="pageBreakPreview" topLeftCell="A2" zoomScaleNormal="100" workbookViewId="0">
      <selection activeCell="F9" sqref="F9"/>
    </sheetView>
  </sheetViews>
  <sheetFormatPr defaultColWidth="10.6640625" defaultRowHeight="12.75" x14ac:dyDescent="0.2"/>
  <cols>
    <col min="1" max="1" width="80.33203125" style="413" customWidth="1"/>
    <col min="2" max="2" width="21.33203125" style="413" bestFit="1" customWidth="1"/>
    <col min="3" max="3" width="24" style="413" bestFit="1" customWidth="1"/>
    <col min="4" max="5" width="23.6640625" style="413" bestFit="1" customWidth="1"/>
    <col min="6" max="6" width="23.83203125" style="413" bestFit="1" customWidth="1"/>
    <col min="7" max="8" width="23.83203125" style="413" customWidth="1"/>
    <col min="9" max="16384" width="10.6640625" style="413"/>
  </cols>
  <sheetData>
    <row r="2" spans="1:8" x14ac:dyDescent="0.2">
      <c r="A2" s="405"/>
      <c r="B2" s="406" t="s">
        <v>1096</v>
      </c>
      <c r="C2" s="407" t="s">
        <v>1097</v>
      </c>
      <c r="D2" s="408"/>
      <c r="E2" s="409"/>
      <c r="F2" s="410" t="s">
        <v>1098</v>
      </c>
      <c r="G2" s="411"/>
      <c r="H2" s="412"/>
    </row>
    <row r="3" spans="1:8" x14ac:dyDescent="0.2">
      <c r="A3" s="414" t="s">
        <v>2784</v>
      </c>
      <c r="B3" s="415" t="s">
        <v>1103</v>
      </c>
      <c r="C3" s="416" t="s">
        <v>4093</v>
      </c>
      <c r="D3" s="417"/>
      <c r="E3" s="418"/>
      <c r="F3" s="419" t="s">
        <v>1100</v>
      </c>
      <c r="G3" s="414" t="s">
        <v>1101</v>
      </c>
      <c r="H3" s="414" t="s">
        <v>1102</v>
      </c>
    </row>
    <row r="4" spans="1:8" x14ac:dyDescent="0.2">
      <c r="A4" s="420"/>
      <c r="B4" s="421"/>
      <c r="C4" s="422"/>
      <c r="D4" s="423"/>
      <c r="E4" s="424"/>
      <c r="F4" s="425" t="s">
        <v>4094</v>
      </c>
      <c r="G4" s="425" t="s">
        <v>4095</v>
      </c>
      <c r="H4" s="425" t="s">
        <v>4096</v>
      </c>
    </row>
    <row r="5" spans="1:8" x14ac:dyDescent="0.2">
      <c r="A5" s="414" t="s">
        <v>2785</v>
      </c>
      <c r="B5" s="427" t="s">
        <v>1104</v>
      </c>
      <c r="C5" s="406" t="s">
        <v>1105</v>
      </c>
      <c r="D5" s="406" t="s">
        <v>1106</v>
      </c>
      <c r="E5" s="428" t="s">
        <v>1107</v>
      </c>
      <c r="F5" s="428" t="s">
        <v>1108</v>
      </c>
      <c r="G5" s="428" t="s">
        <v>1108</v>
      </c>
      <c r="H5" s="428" t="s">
        <v>1108</v>
      </c>
    </row>
    <row r="6" spans="1:8" x14ac:dyDescent="0.2">
      <c r="A6" s="420"/>
      <c r="B6" s="426" t="s">
        <v>1109</v>
      </c>
      <c r="C6" s="414" t="s">
        <v>1109</v>
      </c>
      <c r="D6" s="414" t="s">
        <v>1109</v>
      </c>
      <c r="E6" s="414" t="s">
        <v>1109</v>
      </c>
      <c r="F6" s="414" t="s">
        <v>1109</v>
      </c>
      <c r="G6" s="414" t="s">
        <v>1109</v>
      </c>
      <c r="H6" s="414" t="s">
        <v>1109</v>
      </c>
    </row>
    <row r="7" spans="1:8" x14ac:dyDescent="0.2">
      <c r="A7" s="430"/>
      <c r="B7" s="432" t="s">
        <v>1110</v>
      </c>
      <c r="C7" s="433" t="s">
        <v>1111</v>
      </c>
      <c r="D7" s="433" t="s">
        <v>1112</v>
      </c>
      <c r="E7" s="433" t="s">
        <v>1113</v>
      </c>
      <c r="F7" s="433" t="s">
        <v>1114</v>
      </c>
      <c r="G7" s="434" t="s">
        <v>1115</v>
      </c>
      <c r="H7" s="434" t="s">
        <v>1116</v>
      </c>
    </row>
    <row r="8" spans="1:8" x14ac:dyDescent="0.2">
      <c r="A8" s="485"/>
      <c r="B8" s="405"/>
      <c r="C8" s="405"/>
      <c r="D8" s="405"/>
      <c r="E8" s="405"/>
      <c r="F8" s="405"/>
      <c r="G8" s="405"/>
      <c r="H8" s="405"/>
    </row>
    <row r="9" spans="1:8" x14ac:dyDescent="0.2">
      <c r="A9" s="453" t="s">
        <v>2786</v>
      </c>
      <c r="B9" s="449"/>
      <c r="C9" s="449"/>
      <c r="D9" s="449"/>
      <c r="E9" s="449"/>
      <c r="F9" s="449"/>
      <c r="G9" s="449"/>
      <c r="H9" s="449"/>
    </row>
    <row r="10" spans="1:8" ht="12" customHeight="1" x14ac:dyDescent="0.2">
      <c r="A10" s="486" t="s">
        <v>2787</v>
      </c>
      <c r="B10" s="243">
        <f>+'OPEX_ Bdgt_F'!C3323</f>
        <v>1248325</v>
      </c>
      <c r="C10" s="243">
        <f>+'OPEX_ Bdgt_F'!D3323</f>
        <v>1402403</v>
      </c>
      <c r="D10" s="243">
        <f>+'OPEX_ Bdgt_F'!E3323</f>
        <v>1402403</v>
      </c>
      <c r="E10" s="243">
        <f>+'OPEX_ Bdgt_F'!G3323</f>
        <v>1395067.2000000002</v>
      </c>
      <c r="F10" s="243">
        <f>+'OPEX_ Bdgt_F'!H3323</f>
        <v>1527850</v>
      </c>
      <c r="G10" s="243">
        <f>+'OPEX_ Bdgt_F'!I3323</f>
        <v>1650078</v>
      </c>
      <c r="H10" s="243">
        <f>+'OPEX_ Bdgt_F'!J3323</f>
        <v>1782084</v>
      </c>
    </row>
    <row r="11" spans="1:8" x14ac:dyDescent="0.2">
      <c r="A11" s="486" t="s">
        <v>2788</v>
      </c>
      <c r="B11" s="449">
        <v>0</v>
      </c>
      <c r="C11" s="449">
        <v>0</v>
      </c>
      <c r="D11" s="449">
        <v>0</v>
      </c>
      <c r="E11" s="449">
        <v>0</v>
      </c>
      <c r="F11" s="243">
        <v>0</v>
      </c>
      <c r="G11" s="449">
        <v>0</v>
      </c>
      <c r="H11" s="449">
        <v>0</v>
      </c>
    </row>
    <row r="12" spans="1:8" x14ac:dyDescent="0.2">
      <c r="A12" s="486" t="s">
        <v>2789</v>
      </c>
      <c r="B12" s="449">
        <v>0</v>
      </c>
      <c r="C12" s="449">
        <v>0</v>
      </c>
      <c r="D12" s="449">
        <v>0</v>
      </c>
      <c r="E12" s="449">
        <v>0</v>
      </c>
      <c r="F12" s="243">
        <v>0</v>
      </c>
      <c r="G12" s="449">
        <v>0</v>
      </c>
      <c r="H12" s="449">
        <v>0</v>
      </c>
    </row>
    <row r="13" spans="1:8" x14ac:dyDescent="0.2">
      <c r="A13" s="486" t="s">
        <v>2698</v>
      </c>
      <c r="B13" s="449">
        <f>+'OPEX_ Bdgt_F'!C3320+'OPEX_ Bdgt_F'!C3321+'OPEX_ Bdgt_F'!C3322+'OPEX_ Bdgt_F'!C3326</f>
        <v>0</v>
      </c>
      <c r="C13" s="243">
        <f>+'OPEX_ Bdgt_F'!D3320+'OPEX_ Bdgt_F'!D3321+'OPEX_ Bdgt_F'!D3322+'OPEX_ Bdgt_F'!D3326</f>
        <v>19862</v>
      </c>
      <c r="D13" s="243">
        <f>+'OPEX_ Bdgt_F'!E3320+'OPEX_ Bdgt_F'!E3321+'OPEX_ Bdgt_F'!E3322+'OPEX_ Bdgt_F'!E3326</f>
        <v>19862</v>
      </c>
      <c r="E13" s="243">
        <f>+'OPEX_ Bdgt_F'!G3320+'OPEX_ Bdgt_F'!G3321+'OPEX_ Bdgt_F'!G3322+'OPEX_ Bdgt_F'!G3326</f>
        <v>6613.2000000000007</v>
      </c>
      <c r="F13" s="243">
        <f>+'OPEX_ Bdgt_F'!H3320+'OPEX_ Bdgt_F'!H3321+'OPEX_ Bdgt_F'!H3322+'OPEX_ Bdgt_F'!H3326</f>
        <v>11079</v>
      </c>
      <c r="G13" s="243">
        <f>+'OPEX_ Bdgt_F'!I3320+'OPEX_ Bdgt_F'!I3321+'OPEX_ Bdgt_F'!I3322+'OPEX_ Bdgt_F'!I3326</f>
        <v>11966</v>
      </c>
      <c r="H13" s="243">
        <f>+'OPEX_ Bdgt_F'!J3320+'OPEX_ Bdgt_F'!J3321+'OPEX_ Bdgt_F'!J3322+'OPEX_ Bdgt_F'!J3326</f>
        <v>12924</v>
      </c>
    </row>
    <row r="14" spans="1:8" x14ac:dyDescent="0.2">
      <c r="A14" s="486" t="s">
        <v>2696</v>
      </c>
      <c r="B14" s="243">
        <f>+'OPEX_ Bdgt_F'!C3325</f>
        <v>377111</v>
      </c>
      <c r="C14" s="243">
        <f>+'OPEX_ Bdgt_F'!D3325</f>
        <v>467467</v>
      </c>
      <c r="D14" s="243">
        <f>+'OPEX_ Bdgt_F'!E3325</f>
        <v>467467</v>
      </c>
      <c r="E14" s="243">
        <f>+'OPEX_ Bdgt_F'!G3325</f>
        <v>428536.80000000005</v>
      </c>
      <c r="F14" s="243">
        <f>+'OPEX_ Bdgt_F'!H3325</f>
        <v>509286</v>
      </c>
      <c r="G14" s="243">
        <f>+'OPEX_ Bdgt_F'!I3325</f>
        <v>550029</v>
      </c>
      <c r="H14" s="243">
        <f>+'OPEX_ Bdgt_F'!J3325</f>
        <v>594031</v>
      </c>
    </row>
    <row r="15" spans="1:8" x14ac:dyDescent="0.2">
      <c r="A15" s="486" t="s">
        <v>3430</v>
      </c>
      <c r="B15" s="243">
        <f>+'OPEX_ Bdgt_F'!C3324</f>
        <v>89003</v>
      </c>
      <c r="C15" s="243">
        <f>+'OPEX_ Bdgt_F'!D3324</f>
        <v>116305</v>
      </c>
      <c r="D15" s="243">
        <f>+'OPEX_ Bdgt_F'!E3324</f>
        <v>116305</v>
      </c>
      <c r="E15" s="243">
        <f>+'OPEX_ Bdgt_F'!G3324</f>
        <v>105762</v>
      </c>
      <c r="F15" s="243">
        <f>+'OPEX_ Bdgt_F'!H3324</f>
        <v>126685</v>
      </c>
      <c r="G15" s="243">
        <f>+'OPEX_ Bdgt_F'!I3324</f>
        <v>136820</v>
      </c>
      <c r="H15" s="243">
        <f>+'OPEX_ Bdgt_F'!J3324</f>
        <v>147766</v>
      </c>
    </row>
    <row r="16" spans="1:8" x14ac:dyDescent="0.2">
      <c r="A16" s="487" t="s">
        <v>2790</v>
      </c>
      <c r="B16" s="484">
        <f>SUM(B10:B15)</f>
        <v>1714439</v>
      </c>
      <c r="C16" s="484">
        <f t="shared" ref="C16:H16" si="0">SUM(C10:C15)</f>
        <v>2006037</v>
      </c>
      <c r="D16" s="484">
        <f t="shared" si="0"/>
        <v>2006037</v>
      </c>
      <c r="E16" s="484">
        <f t="shared" si="0"/>
        <v>1935979.2000000002</v>
      </c>
      <c r="F16" s="484">
        <f t="shared" si="0"/>
        <v>2174900</v>
      </c>
      <c r="G16" s="484">
        <f t="shared" si="0"/>
        <v>2348893</v>
      </c>
      <c r="H16" s="484">
        <f t="shared" si="0"/>
        <v>2536805</v>
      </c>
    </row>
    <row r="17" spans="1:8" x14ac:dyDescent="0.2">
      <c r="A17" s="486"/>
      <c r="B17" s="449"/>
      <c r="C17" s="449"/>
      <c r="D17" s="449"/>
      <c r="E17" s="449"/>
      <c r="F17" s="449"/>
      <c r="G17" s="449"/>
      <c r="H17" s="449"/>
    </row>
    <row r="18" spans="1:8" x14ac:dyDescent="0.2">
      <c r="A18" s="488" t="s">
        <v>2791</v>
      </c>
      <c r="B18" s="449"/>
      <c r="C18" s="449"/>
      <c r="D18" s="449"/>
      <c r="E18" s="449"/>
      <c r="F18" s="449"/>
      <c r="G18" s="449"/>
      <c r="H18" s="449"/>
    </row>
    <row r="19" spans="1:8" x14ac:dyDescent="0.2">
      <c r="A19" s="486" t="s">
        <v>2787</v>
      </c>
      <c r="B19" s="243">
        <f>+'OPEX_ Bdgt_F'!C3300+'OPEX_ Bdgt_F'!C3302</f>
        <v>613735</v>
      </c>
      <c r="C19" s="243">
        <f>+'OPEX_ Bdgt_F'!D3300+'OPEX_ Bdgt_F'!D3302</f>
        <v>1887998</v>
      </c>
      <c r="D19" s="243">
        <f>+'OPEX_ Bdgt_F'!E3300+'OPEX_ Bdgt_F'!E3302</f>
        <v>1712236</v>
      </c>
      <c r="E19" s="243">
        <f>+'OPEX_ Bdgt_F'!G3300+'OPEX_ Bdgt_F'!G3302</f>
        <v>1063136.3999999999</v>
      </c>
      <c r="F19" s="243">
        <f>+'OPEX_ Bdgt_F'!H3300+'OPEX_ Bdgt_F'!H3302</f>
        <v>1997893</v>
      </c>
      <c r="G19" s="243">
        <f>+'OPEX_ Bdgt_F'!I3300+'OPEX_ Bdgt_F'!I3302</f>
        <v>2157725</v>
      </c>
      <c r="H19" s="243">
        <f>+'OPEX_ Bdgt_F'!J3300+'OPEX_ Bdgt_F'!J3302</f>
        <v>2330344</v>
      </c>
    </row>
    <row r="20" spans="1:8" x14ac:dyDescent="0.2">
      <c r="A20" s="486" t="s">
        <v>2788</v>
      </c>
      <c r="B20" s="243">
        <f>+'OPEX_ Bdgt_F'!C3307</f>
        <v>19140</v>
      </c>
      <c r="C20" s="243">
        <f>+'OPEX_ Bdgt_F'!D3307</f>
        <v>0</v>
      </c>
      <c r="D20" s="243">
        <f>+'OPEX_ Bdgt_F'!E3307</f>
        <v>130944</v>
      </c>
      <c r="E20" s="243">
        <f>+'OPEX_ Bdgt_F'!G3307</f>
        <v>173041.2</v>
      </c>
      <c r="F20" s="243">
        <f>+'OPEX_ Bdgt_F'!H3307</f>
        <v>196995</v>
      </c>
      <c r="G20" s="243">
        <f>+'OPEX_ Bdgt_F'!I3307</f>
        <v>212754</v>
      </c>
      <c r="H20" s="243">
        <f>+'OPEX_ Bdgt_F'!J3307</f>
        <v>229775</v>
      </c>
    </row>
    <row r="21" spans="1:8" x14ac:dyDescent="0.2">
      <c r="A21" s="486" t="s">
        <v>2789</v>
      </c>
      <c r="B21" s="243">
        <f>+'OPEX_ Bdgt_F'!C3308</f>
        <v>9033</v>
      </c>
      <c r="C21" s="243">
        <f>+'OPEX_ Bdgt_F'!D3308</f>
        <v>0</v>
      </c>
      <c r="D21" s="243">
        <f>+'OPEX_ Bdgt_F'!E3308</f>
        <v>16349</v>
      </c>
      <c r="E21" s="243">
        <f>+'OPEX_ Bdgt_F'!G3308</f>
        <v>20436</v>
      </c>
      <c r="F21" s="243">
        <f>+'OPEX_ Bdgt_F'!H3308</f>
        <v>20436</v>
      </c>
      <c r="G21" s="243">
        <f>+'OPEX_ Bdgt_F'!I3308</f>
        <v>22071</v>
      </c>
      <c r="H21" s="243">
        <f>+'OPEX_ Bdgt_F'!J3308</f>
        <v>23837</v>
      </c>
    </row>
    <row r="22" spans="1:8" x14ac:dyDescent="0.2">
      <c r="A22" s="486" t="s">
        <v>2698</v>
      </c>
      <c r="B22" s="243">
        <f>+'OPEX_ Bdgt_F'!C3303+'OPEX_ Bdgt_F'!C3304+'OPEX_ Bdgt_F'!C3305+'OPEX_ Bdgt_F'!C3306</f>
        <v>9789</v>
      </c>
      <c r="C22" s="243">
        <f>+'OPEX_ Bdgt_F'!D3303+'OPEX_ Bdgt_F'!D3304+'OPEX_ Bdgt_F'!D3305+'OPEX_ Bdgt_F'!D3306</f>
        <v>0</v>
      </c>
      <c r="D22" s="243">
        <f>+'OPEX_ Bdgt_F'!E3303+'OPEX_ Bdgt_F'!E3304+'OPEX_ Bdgt_F'!E3305+'OPEX_ Bdgt_F'!E3306</f>
        <v>2468</v>
      </c>
      <c r="E22" s="243">
        <f>+'OPEX_ Bdgt_F'!G3303+'OPEX_ Bdgt_F'!G3304+'OPEX_ Bdgt_F'!G3305+'OPEX_ Bdgt_F'!G3306</f>
        <v>9442.7999999999975</v>
      </c>
      <c r="F22" s="243">
        <f>+'OPEX_ Bdgt_F'!H3303+'OPEX_ Bdgt_F'!H3304+'OPEX_ Bdgt_F'!H3305+'OPEX_ Bdgt_F'!H3306</f>
        <v>96856</v>
      </c>
      <c r="G22" s="243">
        <f>+'OPEX_ Bdgt_F'!I3303+'OPEX_ Bdgt_F'!I3304+'OPEX_ Bdgt_F'!I3305+'OPEX_ Bdgt_F'!I3306</f>
        <v>104604</v>
      </c>
      <c r="H22" s="243">
        <f>+'OPEX_ Bdgt_F'!J3303+'OPEX_ Bdgt_F'!J3304+'OPEX_ Bdgt_F'!J3305+'OPEX_ Bdgt_F'!J3306</f>
        <v>112972</v>
      </c>
    </row>
    <row r="23" spans="1:8" x14ac:dyDescent="0.2">
      <c r="A23" s="486" t="s">
        <v>2697</v>
      </c>
      <c r="B23" s="243">
        <f>+'OPEX_ Bdgt_F'!C3309+'OPEX_ Bdgt_F'!C3310+'OPEX_ Bdgt_F'!C3311</f>
        <v>26513.760000000002</v>
      </c>
      <c r="C23" s="243">
        <f>+'OPEX_ Bdgt_F'!D3309+'OPEX_ Bdgt_F'!D3310+'OPEX_ Bdgt_F'!D3311</f>
        <v>323623</v>
      </c>
      <c r="D23" s="243">
        <f>+'OPEX_ Bdgt_F'!E3309+'OPEX_ Bdgt_F'!E3310+'OPEX_ Bdgt_F'!E3311</f>
        <v>349624</v>
      </c>
      <c r="E23" s="243">
        <f>+'OPEX_ Bdgt_F'!G3309+'OPEX_ Bdgt_F'!G3310+'OPEX_ Bdgt_F'!G3311</f>
        <v>118563.59999999999</v>
      </c>
      <c r="F23" s="243">
        <f>+'OPEX_ Bdgt_F'!H3309+'OPEX_ Bdgt_F'!H3310+'OPEX_ Bdgt_F'!H3311</f>
        <v>295910</v>
      </c>
      <c r="G23" s="243">
        <f>+'OPEX_ Bdgt_F'!I3309+'OPEX_ Bdgt_F'!I3310+'OPEX_ Bdgt_F'!I3311</f>
        <v>295243</v>
      </c>
      <c r="H23" s="243">
        <f>+'OPEX_ Bdgt_F'!J3309+'OPEX_ Bdgt_F'!J3310+'OPEX_ Bdgt_F'!J3311</f>
        <v>318862</v>
      </c>
    </row>
    <row r="24" spans="1:8" x14ac:dyDescent="0.2">
      <c r="A24" s="486" t="s">
        <v>2696</v>
      </c>
      <c r="B24" s="243">
        <f>+'OPEX_ Bdgt_F'!C3312</f>
        <v>127078</v>
      </c>
      <c r="C24" s="243">
        <f>+'OPEX_ Bdgt_F'!D3312</f>
        <v>745769</v>
      </c>
      <c r="D24" s="243">
        <f>+'OPEX_ Bdgt_F'!E3312</f>
        <v>745769</v>
      </c>
      <c r="E24" s="243">
        <f>+'OPEX_ Bdgt_F'!G3312</f>
        <v>161214</v>
      </c>
      <c r="F24" s="243">
        <f>+'OPEX_ Bdgt_F'!H3312</f>
        <v>610570</v>
      </c>
      <c r="G24" s="243">
        <f>+'OPEX_ Bdgt_F'!I3312</f>
        <v>659417</v>
      </c>
      <c r="H24" s="243">
        <f>+'OPEX_ Bdgt_F'!J3312</f>
        <v>712172</v>
      </c>
    </row>
    <row r="25" spans="1:8" x14ac:dyDescent="0.2">
      <c r="A25" s="486" t="s">
        <v>2725</v>
      </c>
      <c r="B25" s="449">
        <f>+'OPEX_ Bdgt_F'!C3301</f>
        <v>0</v>
      </c>
      <c r="C25" s="449">
        <f>+'OPEX_ Bdgt_F'!D3301</f>
        <v>0</v>
      </c>
      <c r="D25" s="449">
        <f>+'OPEX_ Bdgt_F'!E3301</f>
        <v>0</v>
      </c>
      <c r="E25" s="449">
        <f>+'OPEX_ Bdgt_F'!G3301</f>
        <v>0</v>
      </c>
      <c r="F25" s="243">
        <f>+'OPEX_ Bdgt_F'!H3301</f>
        <v>65503</v>
      </c>
      <c r="G25" s="243">
        <f>+'OPEX_ Bdgt_F'!I3301</f>
        <v>70744</v>
      </c>
      <c r="H25" s="243">
        <f>+'OPEX_ Bdgt_F'!J3301</f>
        <v>76404</v>
      </c>
    </row>
    <row r="26" spans="1:8" x14ac:dyDescent="0.2">
      <c r="A26" s="487" t="s">
        <v>2792</v>
      </c>
      <c r="B26" s="484">
        <f>SUM(B19:B25)</f>
        <v>805288.76</v>
      </c>
      <c r="C26" s="484">
        <f t="shared" ref="C26:H26" si="1">SUM(C19:C25)</f>
        <v>2957390</v>
      </c>
      <c r="D26" s="484">
        <f t="shared" si="1"/>
        <v>2957390</v>
      </c>
      <c r="E26" s="484">
        <f t="shared" si="1"/>
        <v>1545834</v>
      </c>
      <c r="F26" s="484">
        <f t="shared" si="1"/>
        <v>3284163</v>
      </c>
      <c r="G26" s="484">
        <f t="shared" si="1"/>
        <v>3522558</v>
      </c>
      <c r="H26" s="484">
        <f t="shared" si="1"/>
        <v>3804366</v>
      </c>
    </row>
    <row r="27" spans="1:8" x14ac:dyDescent="0.2">
      <c r="A27" s="486"/>
      <c r="B27" s="449"/>
      <c r="C27" s="449"/>
      <c r="D27" s="449"/>
      <c r="E27" s="449"/>
      <c r="F27" s="449"/>
      <c r="G27" s="449"/>
      <c r="H27" s="449"/>
    </row>
    <row r="28" spans="1:8" x14ac:dyDescent="0.2">
      <c r="A28" s="488" t="s">
        <v>2793</v>
      </c>
      <c r="B28" s="481"/>
      <c r="C28" s="449"/>
      <c r="D28" s="449"/>
      <c r="E28" s="449"/>
      <c r="F28" s="449"/>
      <c r="G28" s="449"/>
      <c r="H28" s="449"/>
    </row>
    <row r="29" spans="1:8" x14ac:dyDescent="0.2">
      <c r="A29" s="486" t="s">
        <v>2787</v>
      </c>
      <c r="B29" s="243">
        <f>+'OPEX_ Bdgt_F'!C3281+'OPEX_ Bdgt_F'!C3282+'OPEX_ Bdgt_F'!C3294+'OPEX_ Bdgt_F'!C3295</f>
        <v>13994926</v>
      </c>
      <c r="C29" s="243">
        <f>+'OPEX_ Bdgt_F'!D3281+'OPEX_ Bdgt_F'!D3282+'OPEX_ Bdgt_F'!D3294+'OPEX_ Bdgt_F'!D3295</f>
        <v>15922216</v>
      </c>
      <c r="D29" s="243">
        <f>+'OPEX_ Bdgt_F'!E3281+'OPEX_ Bdgt_F'!E3282+'OPEX_ Bdgt_F'!E3294+'OPEX_ Bdgt_F'!E3295</f>
        <v>15481850</v>
      </c>
      <c r="E29" s="243">
        <f>+'OPEX_ Bdgt_F'!G3281+'OPEX_ Bdgt_F'!G3282+'OPEX_ Bdgt_F'!G3294+'OPEX_ Bdgt_F'!G3295</f>
        <v>15669716.399999999</v>
      </c>
      <c r="F29" s="243">
        <f>+'OPEX_ Bdgt_F'!H3281+'OPEX_ Bdgt_F'!H3282+'OPEX_ Bdgt_F'!H3294+'OPEX_ Bdgt_F'!H3295</f>
        <v>21976266</v>
      </c>
      <c r="G29" s="243">
        <f>+'OPEX_ Bdgt_F'!I3281+'OPEX_ Bdgt_F'!I3282+'OPEX_ Bdgt_F'!I3294+'OPEX_ Bdgt_F'!I3295</f>
        <v>23734370</v>
      </c>
      <c r="H29" s="243">
        <f>+'OPEX_ Bdgt_F'!J3281+'OPEX_ Bdgt_F'!J3282+'OPEX_ Bdgt_F'!J3294+'OPEX_ Bdgt_F'!J3295</f>
        <v>25633119</v>
      </c>
    </row>
    <row r="30" spans="1:8" x14ac:dyDescent="0.2">
      <c r="A30" s="486" t="s">
        <v>2788</v>
      </c>
      <c r="B30" s="243">
        <f>+'OPEX_ Bdgt_F'!C3287</f>
        <v>2225298</v>
      </c>
      <c r="C30" s="243">
        <f>+'OPEX_ Bdgt_F'!D3287</f>
        <v>1424724</v>
      </c>
      <c r="D30" s="243">
        <f>+'OPEX_ Bdgt_F'!E3287</f>
        <v>1650670</v>
      </c>
      <c r="E30" s="243">
        <f>+'OPEX_ Bdgt_F'!G3287</f>
        <v>2493014.4</v>
      </c>
      <c r="F30" s="243">
        <f>+'OPEX_ Bdgt_F'!H3287</f>
        <v>3318100</v>
      </c>
      <c r="G30" s="243">
        <f>+'OPEX_ Bdgt_F'!I3287</f>
        <v>3583546</v>
      </c>
      <c r="H30" s="243">
        <f>+'OPEX_ Bdgt_F'!J3287</f>
        <v>3870231</v>
      </c>
    </row>
    <row r="31" spans="1:8" x14ac:dyDescent="0.2">
      <c r="A31" s="486" t="s">
        <v>2789</v>
      </c>
      <c r="B31" s="481">
        <f>+'OPEX_ Bdgt_F'!C3288+'OPEX_ Bdgt_F'!C3296</f>
        <v>781088</v>
      </c>
      <c r="C31" s="481">
        <f>+'OPEX_ Bdgt_F'!D3288+'OPEX_ Bdgt_F'!D3296</f>
        <v>582346</v>
      </c>
      <c r="D31" s="481">
        <f>+'OPEX_ Bdgt_F'!E3288+'OPEX_ Bdgt_F'!E3296</f>
        <v>760553</v>
      </c>
      <c r="E31" s="481">
        <f>+'OPEX_ Bdgt_F'!G3288+'OPEX_ Bdgt_F'!G3296</f>
        <v>962126.4</v>
      </c>
      <c r="F31" s="481">
        <f>+'OPEX_ Bdgt_F'!H3288+'OPEX_ Bdgt_F'!H3296</f>
        <v>1087473</v>
      </c>
      <c r="G31" s="481">
        <f>+'OPEX_ Bdgt_F'!I3288+'OPEX_ Bdgt_F'!I3296</f>
        <v>1174473</v>
      </c>
      <c r="H31" s="481">
        <f>+'OPEX_ Bdgt_F'!J3288+'OPEX_ Bdgt_F'!J3296</f>
        <v>1268431</v>
      </c>
    </row>
    <row r="32" spans="1:8" x14ac:dyDescent="0.2">
      <c r="A32" s="486" t="s">
        <v>2698</v>
      </c>
      <c r="B32" s="481">
        <f>+'OPEX_ Bdgt_F'!C3283+'OPEX_ Bdgt_F'!C3284+'OPEX_ Bdgt_F'!C3285+'OPEX_ Bdgt_F'!C3286</f>
        <v>460778</v>
      </c>
      <c r="C32" s="481">
        <f>+'OPEX_ Bdgt_F'!D3283+'OPEX_ Bdgt_F'!D3284+'OPEX_ Bdgt_F'!D3285+'OPEX_ Bdgt_F'!D3286</f>
        <v>834161</v>
      </c>
      <c r="D32" s="481">
        <f>+'OPEX_ Bdgt_F'!E3283+'OPEX_ Bdgt_F'!E3284+'OPEX_ Bdgt_F'!E3285+'OPEX_ Bdgt_F'!E3286</f>
        <v>834971</v>
      </c>
      <c r="E32" s="481">
        <f>+'OPEX_ Bdgt_F'!G3283+'OPEX_ Bdgt_F'!G3284+'OPEX_ Bdgt_F'!G3285+'OPEX_ Bdgt_F'!G3286</f>
        <v>251331.59999999995</v>
      </c>
      <c r="F32" s="481">
        <f>+'OPEX_ Bdgt_F'!H3283+'OPEX_ Bdgt_F'!H3284+'OPEX_ Bdgt_F'!H3285+'OPEX_ Bdgt_F'!H3286</f>
        <v>1140534</v>
      </c>
      <c r="G32" s="481">
        <f>+'OPEX_ Bdgt_F'!I3283+'OPEX_ Bdgt_F'!I3284+'OPEX_ Bdgt_F'!I3285+'OPEX_ Bdgt_F'!I3286</f>
        <v>1231782</v>
      </c>
      <c r="H32" s="481">
        <f>+'OPEX_ Bdgt_F'!J3283+'OPEX_ Bdgt_F'!J3284+'OPEX_ Bdgt_F'!J3285+'OPEX_ Bdgt_F'!J3286</f>
        <v>1330331</v>
      </c>
    </row>
    <row r="33" spans="1:8" x14ac:dyDescent="0.2">
      <c r="A33" s="486" t="s">
        <v>2697</v>
      </c>
      <c r="B33" s="481">
        <f>+'OPEX_ Bdgt_F'!C3289+'OPEX_ Bdgt_F'!C3290+'OPEX_ Bdgt_F'!C3291</f>
        <v>118520</v>
      </c>
      <c r="C33" s="481">
        <f>+'OPEX_ Bdgt_F'!D3289+'OPEX_ Bdgt_F'!D3290+'OPEX_ Bdgt_F'!D3291</f>
        <v>292569</v>
      </c>
      <c r="D33" s="481">
        <f>+'OPEX_ Bdgt_F'!E3289+'OPEX_ Bdgt_F'!E3290+'OPEX_ Bdgt_F'!E3291</f>
        <v>317614</v>
      </c>
      <c r="E33" s="481">
        <f>+'OPEX_ Bdgt_F'!G3289+'OPEX_ Bdgt_F'!G3290+'OPEX_ Bdgt_F'!G3291</f>
        <v>338799.60000000003</v>
      </c>
      <c r="F33" s="481">
        <f>+'OPEX_ Bdgt_F'!H3289+'OPEX_ Bdgt_F'!H3290+'OPEX_ Bdgt_F'!H3291</f>
        <v>1010270</v>
      </c>
      <c r="G33" s="481">
        <f>+'OPEX_ Bdgt_F'!I3289+'OPEX_ Bdgt_F'!I3290+'OPEX_ Bdgt_F'!I3291</f>
        <v>1091091</v>
      </c>
      <c r="H33" s="481">
        <f>+'OPEX_ Bdgt_F'!J3289+'OPEX_ Bdgt_F'!J3290+'OPEX_ Bdgt_F'!J3291</f>
        <v>1178378</v>
      </c>
    </row>
    <row r="34" spans="1:8" x14ac:dyDescent="0.2">
      <c r="A34" s="486" t="s">
        <v>2696</v>
      </c>
      <c r="B34" s="481">
        <f>+'OPEX_ Bdgt_F'!C3292</f>
        <v>272538</v>
      </c>
      <c r="C34" s="481">
        <f>+'OPEX_ Bdgt_F'!D3292</f>
        <v>251562</v>
      </c>
      <c r="D34" s="481">
        <f>+'OPEX_ Bdgt_F'!E3292</f>
        <v>261018</v>
      </c>
      <c r="E34" s="481">
        <f>+'OPEX_ Bdgt_F'!G3292</f>
        <v>190821.6</v>
      </c>
      <c r="F34" s="481">
        <f>+'OPEX_ Bdgt_F'!H3292</f>
        <v>273557</v>
      </c>
      <c r="G34" s="481">
        <f>+'OPEX_ Bdgt_F'!I3292</f>
        <v>295441</v>
      </c>
      <c r="H34" s="481">
        <f>+'OPEX_ Bdgt_F'!J3292</f>
        <v>319075</v>
      </c>
    </row>
    <row r="35" spans="1:8" x14ac:dyDescent="0.2">
      <c r="A35" s="486" t="s">
        <v>445</v>
      </c>
      <c r="B35" s="481">
        <f>+'OPEX_ Bdgt_F'!C3293</f>
        <v>831444</v>
      </c>
      <c r="C35" s="481">
        <f>+'OPEX_ Bdgt_F'!D3293</f>
        <v>1012719</v>
      </c>
      <c r="D35" s="481">
        <f>+'OPEX_ Bdgt_F'!E3293</f>
        <v>1013621</v>
      </c>
      <c r="E35" s="481">
        <f>+'OPEX_ Bdgt_F'!G3293</f>
        <v>940636.8</v>
      </c>
      <c r="F35" s="481">
        <f>+'OPEX_ Bdgt_F'!H3293</f>
        <v>866828</v>
      </c>
      <c r="G35" s="481">
        <f>+'OPEX_ Bdgt_F'!I3293</f>
        <v>936176</v>
      </c>
      <c r="H35" s="481">
        <f>+'OPEX_ Bdgt_F'!J3293</f>
        <v>1011070</v>
      </c>
    </row>
    <row r="36" spans="1:8" x14ac:dyDescent="0.2">
      <c r="A36" s="486" t="s">
        <v>2725</v>
      </c>
      <c r="B36" s="449">
        <v>0</v>
      </c>
      <c r="C36" s="449">
        <v>0</v>
      </c>
      <c r="D36" s="449">
        <v>0</v>
      </c>
      <c r="E36" s="449">
        <v>0</v>
      </c>
      <c r="F36" s="449">
        <v>0</v>
      </c>
      <c r="G36" s="243">
        <f>ROUND(F36*1.08,0)</f>
        <v>0</v>
      </c>
      <c r="H36" s="243">
        <f>ROUND(G36*1.08,0)</f>
        <v>0</v>
      </c>
    </row>
    <row r="37" spans="1:8" x14ac:dyDescent="0.2">
      <c r="A37" s="487" t="s">
        <v>2794</v>
      </c>
      <c r="B37" s="484">
        <f>SUM(B29:B36)</f>
        <v>18684592</v>
      </c>
      <c r="C37" s="484">
        <f t="shared" ref="C37:H37" si="2">SUM(C29:C36)</f>
        <v>20320297</v>
      </c>
      <c r="D37" s="484">
        <f t="shared" si="2"/>
        <v>20320297</v>
      </c>
      <c r="E37" s="484">
        <f t="shared" si="2"/>
        <v>20846446.800000001</v>
      </c>
      <c r="F37" s="484">
        <f>SUM(F29:F36)</f>
        <v>29673028</v>
      </c>
      <c r="G37" s="484">
        <f t="shared" si="2"/>
        <v>32046879</v>
      </c>
      <c r="H37" s="484">
        <f t="shared" si="2"/>
        <v>34610635</v>
      </c>
    </row>
    <row r="38" spans="1:8" x14ac:dyDescent="0.2">
      <c r="A38" s="486"/>
      <c r="B38" s="481"/>
      <c r="C38" s="481"/>
      <c r="D38" s="481"/>
      <c r="E38" s="481"/>
      <c r="F38" s="449"/>
      <c r="G38" s="449"/>
      <c r="H38" s="449"/>
    </row>
    <row r="39" spans="1:8" x14ac:dyDescent="0.2">
      <c r="A39" s="488" t="s">
        <v>2795</v>
      </c>
      <c r="B39" s="481"/>
      <c r="C39" s="449"/>
      <c r="D39" s="449"/>
      <c r="E39" s="449"/>
      <c r="F39" s="449"/>
      <c r="G39" s="449"/>
      <c r="H39" s="449"/>
    </row>
    <row r="40" spans="1:8" x14ac:dyDescent="0.2">
      <c r="A40" s="486" t="s">
        <v>2787</v>
      </c>
      <c r="B40" s="449">
        <v>0</v>
      </c>
      <c r="C40" s="449">
        <v>0</v>
      </c>
      <c r="D40" s="449">
        <v>0</v>
      </c>
      <c r="E40" s="449">
        <v>0</v>
      </c>
      <c r="F40" s="449">
        <v>0</v>
      </c>
      <c r="G40" s="449">
        <v>0</v>
      </c>
      <c r="H40" s="449">
        <v>0</v>
      </c>
    </row>
    <row r="41" spans="1:8" x14ac:dyDescent="0.2">
      <c r="A41" s="486" t="s">
        <v>2788</v>
      </c>
      <c r="B41" s="449">
        <v>0</v>
      </c>
      <c r="C41" s="449">
        <v>0</v>
      </c>
      <c r="D41" s="449">
        <v>0</v>
      </c>
      <c r="E41" s="449">
        <v>0</v>
      </c>
      <c r="F41" s="449">
        <v>0</v>
      </c>
      <c r="G41" s="449">
        <v>0</v>
      </c>
      <c r="H41" s="449">
        <v>0</v>
      </c>
    </row>
    <row r="42" spans="1:8" x14ac:dyDescent="0.2">
      <c r="A42" s="486" t="s">
        <v>2789</v>
      </c>
      <c r="B42" s="449">
        <v>0</v>
      </c>
      <c r="C42" s="449">
        <v>0</v>
      </c>
      <c r="D42" s="449">
        <v>0</v>
      </c>
      <c r="E42" s="449">
        <v>0</v>
      </c>
      <c r="F42" s="449">
        <v>0</v>
      </c>
      <c r="G42" s="449">
        <v>0</v>
      </c>
      <c r="H42" s="449">
        <v>0</v>
      </c>
    </row>
    <row r="43" spans="1:8" x14ac:dyDescent="0.2">
      <c r="A43" s="486" t="s">
        <v>2754</v>
      </c>
      <c r="B43" s="449">
        <v>0</v>
      </c>
      <c r="C43" s="449">
        <v>0</v>
      </c>
      <c r="D43" s="449">
        <v>0</v>
      </c>
      <c r="E43" s="449">
        <v>0</v>
      </c>
      <c r="F43" s="449">
        <v>0</v>
      </c>
      <c r="G43" s="449">
        <v>0</v>
      </c>
      <c r="H43" s="449">
        <v>0</v>
      </c>
    </row>
    <row r="44" spans="1:8" x14ac:dyDescent="0.2">
      <c r="A44" s="486" t="s">
        <v>2796</v>
      </c>
      <c r="B44" s="449">
        <v>0</v>
      </c>
      <c r="C44" s="449">
        <v>0</v>
      </c>
      <c r="D44" s="449">
        <v>0</v>
      </c>
      <c r="E44" s="449">
        <v>0</v>
      </c>
      <c r="F44" s="449">
        <v>0</v>
      </c>
      <c r="G44" s="449">
        <v>0</v>
      </c>
      <c r="H44" s="449">
        <v>0</v>
      </c>
    </row>
    <row r="45" spans="1:8" x14ac:dyDescent="0.2">
      <c r="A45" s="487" t="s">
        <v>2797</v>
      </c>
      <c r="B45" s="438">
        <f>SUM(B40:B44)</f>
        <v>0</v>
      </c>
      <c r="C45" s="438">
        <f t="shared" ref="C45:H45" si="3">SUM(C40:C44)</f>
        <v>0</v>
      </c>
      <c r="D45" s="438">
        <f t="shared" si="3"/>
        <v>0</v>
      </c>
      <c r="E45" s="438">
        <f t="shared" si="3"/>
        <v>0</v>
      </c>
      <c r="F45" s="438">
        <f t="shared" si="3"/>
        <v>0</v>
      </c>
      <c r="G45" s="438">
        <f t="shared" si="3"/>
        <v>0</v>
      </c>
      <c r="H45" s="438">
        <f t="shared" si="3"/>
        <v>0</v>
      </c>
    </row>
    <row r="46" spans="1:8" ht="13.5" customHeight="1" x14ac:dyDescent="0.2">
      <c r="A46" s="486"/>
      <c r="B46" s="449"/>
      <c r="C46" s="449"/>
      <c r="D46" s="449"/>
      <c r="E46" s="449"/>
      <c r="F46" s="449"/>
      <c r="G46" s="449"/>
      <c r="H46" s="449"/>
    </row>
    <row r="47" spans="1:8" ht="13.5" customHeight="1" x14ac:dyDescent="0.2">
      <c r="A47" s="488" t="s">
        <v>2798</v>
      </c>
      <c r="B47" s="449"/>
      <c r="C47" s="449"/>
      <c r="D47" s="449"/>
      <c r="E47" s="449"/>
      <c r="F47" s="449"/>
      <c r="G47" s="449"/>
      <c r="H47" s="449"/>
    </row>
    <row r="48" spans="1:8" ht="13.5" customHeight="1" x14ac:dyDescent="0.2">
      <c r="A48" s="486" t="s">
        <v>2787</v>
      </c>
      <c r="B48" s="449">
        <v>0</v>
      </c>
      <c r="C48" s="449">
        <v>0</v>
      </c>
      <c r="D48" s="449">
        <v>0</v>
      </c>
      <c r="E48" s="449">
        <v>0</v>
      </c>
      <c r="F48" s="449">
        <v>0</v>
      </c>
      <c r="G48" s="449">
        <v>0</v>
      </c>
      <c r="H48" s="449">
        <v>0</v>
      </c>
    </row>
    <row r="49" spans="1:8" ht="13.5" customHeight="1" x14ac:dyDescent="0.2">
      <c r="A49" s="486" t="s">
        <v>2788</v>
      </c>
      <c r="B49" s="449">
        <v>0</v>
      </c>
      <c r="C49" s="449">
        <v>0</v>
      </c>
      <c r="D49" s="449">
        <v>0</v>
      </c>
      <c r="E49" s="449">
        <v>0</v>
      </c>
      <c r="F49" s="449">
        <v>0</v>
      </c>
      <c r="G49" s="449">
        <v>0</v>
      </c>
      <c r="H49" s="449">
        <v>0</v>
      </c>
    </row>
    <row r="50" spans="1:8" ht="13.5" customHeight="1" x14ac:dyDescent="0.2">
      <c r="A50" s="486" t="s">
        <v>2789</v>
      </c>
      <c r="B50" s="449">
        <v>0</v>
      </c>
      <c r="C50" s="449">
        <v>0</v>
      </c>
      <c r="D50" s="449">
        <v>0</v>
      </c>
      <c r="E50" s="449">
        <v>0</v>
      </c>
      <c r="F50" s="449">
        <v>0</v>
      </c>
      <c r="G50" s="449">
        <v>0</v>
      </c>
      <c r="H50" s="449">
        <v>0</v>
      </c>
    </row>
    <row r="51" spans="1:8" ht="13.5" customHeight="1" x14ac:dyDescent="0.2">
      <c r="A51" s="486" t="s">
        <v>2754</v>
      </c>
      <c r="B51" s="449">
        <v>0</v>
      </c>
      <c r="C51" s="449">
        <v>0</v>
      </c>
      <c r="D51" s="449">
        <v>0</v>
      </c>
      <c r="E51" s="449">
        <v>0</v>
      </c>
      <c r="F51" s="449">
        <v>0</v>
      </c>
      <c r="G51" s="449">
        <v>0</v>
      </c>
      <c r="H51" s="449">
        <v>0</v>
      </c>
    </row>
    <row r="52" spans="1:8" ht="13.5" customHeight="1" x14ac:dyDescent="0.2">
      <c r="A52" s="486" t="s">
        <v>2725</v>
      </c>
      <c r="B52" s="449">
        <v>0</v>
      </c>
      <c r="C52" s="449">
        <v>0</v>
      </c>
      <c r="D52" s="449">
        <v>0</v>
      </c>
      <c r="E52" s="449">
        <v>0</v>
      </c>
      <c r="F52" s="449">
        <v>0</v>
      </c>
      <c r="G52" s="449">
        <v>0</v>
      </c>
      <c r="H52" s="449">
        <v>0</v>
      </c>
    </row>
    <row r="53" spans="1:8" ht="13.5" customHeight="1" x14ac:dyDescent="0.2">
      <c r="A53" s="487" t="s">
        <v>2799</v>
      </c>
      <c r="B53" s="438">
        <f>SUM(B48:B52)</f>
        <v>0</v>
      </c>
      <c r="C53" s="438">
        <f t="shared" ref="C53:H53" si="4">SUM(C48:C52)</f>
        <v>0</v>
      </c>
      <c r="D53" s="438">
        <f t="shared" si="4"/>
        <v>0</v>
      </c>
      <c r="E53" s="438">
        <f t="shared" si="4"/>
        <v>0</v>
      </c>
      <c r="F53" s="438">
        <f t="shared" si="4"/>
        <v>0</v>
      </c>
      <c r="G53" s="438">
        <f t="shared" si="4"/>
        <v>0</v>
      </c>
      <c r="H53" s="438">
        <f t="shared" si="4"/>
        <v>0</v>
      </c>
    </row>
    <row r="54" spans="1:8" ht="13.5" customHeight="1" x14ac:dyDescent="0.2">
      <c r="A54" s="486"/>
      <c r="B54" s="449"/>
      <c r="C54" s="449"/>
      <c r="D54" s="449"/>
      <c r="E54" s="449"/>
      <c r="F54" s="449"/>
      <c r="G54" s="449"/>
      <c r="H54" s="449"/>
    </row>
    <row r="55" spans="1:8" ht="13.5" customHeight="1" x14ac:dyDescent="0.2">
      <c r="A55" s="488" t="s">
        <v>2800</v>
      </c>
      <c r="B55" s="449"/>
      <c r="C55" s="449"/>
      <c r="D55" s="449"/>
      <c r="E55" s="449"/>
      <c r="F55" s="449"/>
      <c r="G55" s="449"/>
      <c r="H55" s="449"/>
    </row>
    <row r="56" spans="1:8" ht="13.5" customHeight="1" x14ac:dyDescent="0.2">
      <c r="A56" s="486" t="s">
        <v>2787</v>
      </c>
      <c r="B56" s="449">
        <v>0</v>
      </c>
      <c r="C56" s="449">
        <v>0</v>
      </c>
      <c r="D56" s="449">
        <v>0</v>
      </c>
      <c r="E56" s="449">
        <v>0</v>
      </c>
      <c r="F56" s="449">
        <v>0</v>
      </c>
      <c r="G56" s="449">
        <v>0</v>
      </c>
      <c r="H56" s="449">
        <v>0</v>
      </c>
    </row>
    <row r="57" spans="1:8" ht="13.5" customHeight="1" x14ac:dyDescent="0.2">
      <c r="A57" s="486" t="s">
        <v>2788</v>
      </c>
      <c r="B57" s="449">
        <v>0</v>
      </c>
      <c r="C57" s="449">
        <v>0</v>
      </c>
      <c r="D57" s="449">
        <v>0</v>
      </c>
      <c r="E57" s="449">
        <v>0</v>
      </c>
      <c r="F57" s="449">
        <v>0</v>
      </c>
      <c r="G57" s="449">
        <v>0</v>
      </c>
      <c r="H57" s="449">
        <v>0</v>
      </c>
    </row>
    <row r="58" spans="1:8" ht="13.5" customHeight="1" x14ac:dyDescent="0.2">
      <c r="A58" s="486" t="s">
        <v>2789</v>
      </c>
      <c r="B58" s="449">
        <v>0</v>
      </c>
      <c r="C58" s="449">
        <v>0</v>
      </c>
      <c r="D58" s="449">
        <v>0</v>
      </c>
      <c r="E58" s="449">
        <v>0</v>
      </c>
      <c r="F58" s="449">
        <v>0</v>
      </c>
      <c r="G58" s="449">
        <v>0</v>
      </c>
      <c r="H58" s="449">
        <v>0</v>
      </c>
    </row>
    <row r="59" spans="1:8" ht="13.5" customHeight="1" x14ac:dyDescent="0.2">
      <c r="A59" s="486" t="s">
        <v>2754</v>
      </c>
      <c r="B59" s="449">
        <v>0</v>
      </c>
      <c r="C59" s="449">
        <v>0</v>
      </c>
      <c r="D59" s="449">
        <v>0</v>
      </c>
      <c r="E59" s="449">
        <v>0</v>
      </c>
      <c r="F59" s="449">
        <v>0</v>
      </c>
      <c r="G59" s="449">
        <v>0</v>
      </c>
      <c r="H59" s="449">
        <v>0</v>
      </c>
    </row>
    <row r="60" spans="1:8" ht="13.5" customHeight="1" x14ac:dyDescent="0.2">
      <c r="A60" s="486" t="s">
        <v>445</v>
      </c>
      <c r="B60" s="449">
        <v>0</v>
      </c>
      <c r="C60" s="449">
        <v>0</v>
      </c>
      <c r="D60" s="449">
        <v>0</v>
      </c>
      <c r="E60" s="449">
        <v>0</v>
      </c>
      <c r="F60" s="449">
        <v>0</v>
      </c>
      <c r="G60" s="449">
        <v>0</v>
      </c>
      <c r="H60" s="449">
        <v>0</v>
      </c>
    </row>
    <row r="61" spans="1:8" ht="13.5" customHeight="1" x14ac:dyDescent="0.2">
      <c r="A61" s="486" t="s">
        <v>2725</v>
      </c>
      <c r="B61" s="449">
        <v>0</v>
      </c>
      <c r="C61" s="449">
        <v>0</v>
      </c>
      <c r="D61" s="449">
        <v>0</v>
      </c>
      <c r="E61" s="449">
        <v>0</v>
      </c>
      <c r="F61" s="449">
        <v>0</v>
      </c>
      <c r="G61" s="449">
        <v>0</v>
      </c>
      <c r="H61" s="449">
        <v>0</v>
      </c>
    </row>
    <row r="62" spans="1:8" ht="13.5" customHeight="1" x14ac:dyDescent="0.2">
      <c r="A62" s="487" t="s">
        <v>2801</v>
      </c>
      <c r="B62" s="438">
        <f>SUM(B56:B61)</f>
        <v>0</v>
      </c>
      <c r="C62" s="438">
        <f t="shared" ref="C62:H62" si="5">SUM(C56:C61)</f>
        <v>0</v>
      </c>
      <c r="D62" s="438">
        <f t="shared" si="5"/>
        <v>0</v>
      </c>
      <c r="E62" s="438">
        <f t="shared" si="5"/>
        <v>0</v>
      </c>
      <c r="F62" s="438">
        <f t="shared" si="5"/>
        <v>0</v>
      </c>
      <c r="G62" s="438">
        <f t="shared" si="5"/>
        <v>0</v>
      </c>
      <c r="H62" s="438">
        <f t="shared" si="5"/>
        <v>0</v>
      </c>
    </row>
    <row r="63" spans="1:8" x14ac:dyDescent="0.2">
      <c r="A63" s="486"/>
      <c r="B63" s="449"/>
      <c r="C63" s="449"/>
      <c r="D63" s="449"/>
      <c r="E63" s="449"/>
      <c r="F63" s="449"/>
      <c r="G63" s="449"/>
      <c r="H63" s="449"/>
    </row>
    <row r="64" spans="1:8" x14ac:dyDescent="0.2">
      <c r="A64" s="438" t="s">
        <v>2802</v>
      </c>
      <c r="B64" s="484">
        <f>B16+B26+B37+B45+B53+B62</f>
        <v>21204319.759999998</v>
      </c>
      <c r="C64" s="484">
        <f t="shared" ref="C64:H64" si="6">C16+C26+C37+C45+C53+C62</f>
        <v>25283724</v>
      </c>
      <c r="D64" s="484">
        <f t="shared" si="6"/>
        <v>25283724</v>
      </c>
      <c r="E64" s="484">
        <f t="shared" si="6"/>
        <v>24328260</v>
      </c>
      <c r="F64" s="484">
        <f t="shared" si="6"/>
        <v>35132091</v>
      </c>
      <c r="G64" s="484">
        <f t="shared" si="6"/>
        <v>37918330</v>
      </c>
      <c r="H64" s="484">
        <f t="shared" si="6"/>
        <v>40951806</v>
      </c>
    </row>
    <row r="65" spans="1:8" x14ac:dyDescent="0.2">
      <c r="A65" s="489"/>
      <c r="B65" s="655"/>
      <c r="C65" s="439"/>
      <c r="D65" s="439"/>
      <c r="E65" s="439"/>
      <c r="F65" s="439"/>
      <c r="G65" s="439"/>
      <c r="H65" s="439"/>
    </row>
    <row r="66" spans="1:8" x14ac:dyDescent="0.2">
      <c r="A66" s="441" t="s">
        <v>1131</v>
      </c>
    </row>
    <row r="67" spans="1:8" x14ac:dyDescent="0.2">
      <c r="A67" s="304" t="s">
        <v>4099</v>
      </c>
    </row>
    <row r="68" spans="1:8" x14ac:dyDescent="0.2">
      <c r="A68" s="304" t="s">
        <v>4100</v>
      </c>
    </row>
    <row r="69" spans="1:8" x14ac:dyDescent="0.2">
      <c r="A69" s="304" t="s">
        <v>4101</v>
      </c>
    </row>
    <row r="70" spans="1:8" x14ac:dyDescent="0.2">
      <c r="A70" s="304" t="s">
        <v>4102</v>
      </c>
    </row>
    <row r="71" spans="1:8" x14ac:dyDescent="0.2">
      <c r="A71" s="304" t="s">
        <v>4103</v>
      </c>
    </row>
    <row r="72" spans="1:8" x14ac:dyDescent="0.2">
      <c r="A72" s="304" t="s">
        <v>4104</v>
      </c>
    </row>
    <row r="73" spans="1:8" x14ac:dyDescent="0.2">
      <c r="A73" s="304" t="s">
        <v>4359</v>
      </c>
    </row>
    <row r="75" spans="1:8" x14ac:dyDescent="0.2">
      <c r="A75" s="441"/>
    </row>
  </sheetData>
  <phoneticPr fontId="3" type="noConversion"/>
  <pageMargins left="0.31" right="0.19" top="0.25" bottom="0.22" header="0.23" footer="0.22"/>
  <pageSetup paperSize="9" scale="5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9"/>
  <sheetViews>
    <sheetView view="pageBreakPreview" zoomScaleNormal="100" workbookViewId="0">
      <selection activeCell="A27" sqref="A27"/>
    </sheetView>
  </sheetViews>
  <sheetFormatPr defaultColWidth="10.6640625" defaultRowHeight="12.75" x14ac:dyDescent="0.2"/>
  <cols>
    <col min="1" max="1" width="66.5" style="413" customWidth="1"/>
    <col min="2" max="2" width="21.33203125" style="413" bestFit="1" customWidth="1"/>
    <col min="3" max="3" width="24" style="413" bestFit="1" customWidth="1"/>
    <col min="4" max="5" width="23.6640625" style="413" bestFit="1" customWidth="1"/>
    <col min="6" max="6" width="23.83203125" style="413" bestFit="1" customWidth="1"/>
    <col min="7" max="8" width="23.83203125" style="413" customWidth="1"/>
    <col min="9" max="16384" width="10.6640625" style="413"/>
  </cols>
  <sheetData>
    <row r="2" spans="1:8" x14ac:dyDescent="0.2">
      <c r="A2" s="405"/>
      <c r="B2" s="406" t="s">
        <v>1096</v>
      </c>
      <c r="C2" s="407" t="s">
        <v>1097</v>
      </c>
      <c r="D2" s="408"/>
      <c r="E2" s="409"/>
      <c r="F2" s="410" t="s">
        <v>1098</v>
      </c>
      <c r="G2" s="411"/>
      <c r="H2" s="412"/>
    </row>
    <row r="3" spans="1:8" x14ac:dyDescent="0.2">
      <c r="A3" s="414" t="s">
        <v>2803</v>
      </c>
      <c r="B3" s="415" t="s">
        <v>1103</v>
      </c>
      <c r="C3" s="416" t="s">
        <v>4093</v>
      </c>
      <c r="D3" s="417"/>
      <c r="E3" s="418"/>
      <c r="F3" s="419" t="s">
        <v>1100</v>
      </c>
      <c r="G3" s="414" t="s">
        <v>1101</v>
      </c>
      <c r="H3" s="414" t="s">
        <v>1102</v>
      </c>
    </row>
    <row r="4" spans="1:8" x14ac:dyDescent="0.2">
      <c r="A4" s="420"/>
      <c r="B4" s="421"/>
      <c r="C4" s="422"/>
      <c r="D4" s="423"/>
      <c r="E4" s="424"/>
      <c r="F4" s="425" t="s">
        <v>4094</v>
      </c>
      <c r="G4" s="425" t="s">
        <v>4095</v>
      </c>
      <c r="H4" s="425" t="s">
        <v>4096</v>
      </c>
    </row>
    <row r="5" spans="1:8" x14ac:dyDescent="0.2">
      <c r="A5" s="414" t="s">
        <v>2804</v>
      </c>
      <c r="B5" s="427" t="s">
        <v>1104</v>
      </c>
      <c r="C5" s="406" t="s">
        <v>1105</v>
      </c>
      <c r="D5" s="406" t="s">
        <v>1106</v>
      </c>
      <c r="E5" s="428" t="s">
        <v>1107</v>
      </c>
      <c r="F5" s="428" t="s">
        <v>1108</v>
      </c>
      <c r="G5" s="428" t="s">
        <v>1108</v>
      </c>
      <c r="H5" s="428" t="s">
        <v>1108</v>
      </c>
    </row>
    <row r="6" spans="1:8" x14ac:dyDescent="0.2">
      <c r="A6" s="414" t="s">
        <v>2805</v>
      </c>
      <c r="B6" s="426" t="s">
        <v>2806</v>
      </c>
      <c r="C6" s="414" t="s">
        <v>2806</v>
      </c>
      <c r="D6" s="414" t="s">
        <v>2806</v>
      </c>
      <c r="E6" s="414" t="s">
        <v>2806</v>
      </c>
      <c r="F6" s="414" t="s">
        <v>2806</v>
      </c>
      <c r="G6" s="414" t="s">
        <v>2806</v>
      </c>
      <c r="H6" s="414" t="s">
        <v>2806</v>
      </c>
    </row>
    <row r="7" spans="1:8" x14ac:dyDescent="0.2">
      <c r="A7" s="430"/>
      <c r="B7" s="432" t="s">
        <v>1110</v>
      </c>
      <c r="C7" s="433" t="s">
        <v>1111</v>
      </c>
      <c r="D7" s="433" t="s">
        <v>1112</v>
      </c>
      <c r="E7" s="433" t="s">
        <v>1113</v>
      </c>
      <c r="F7" s="433" t="s">
        <v>1114</v>
      </c>
      <c r="G7" s="434" t="s">
        <v>1115</v>
      </c>
      <c r="H7" s="434" t="s">
        <v>1116</v>
      </c>
    </row>
    <row r="8" spans="1:8" ht="12" customHeight="1" x14ac:dyDescent="0.2">
      <c r="A8" s="485"/>
      <c r="B8" s="405"/>
      <c r="C8" s="405"/>
      <c r="D8" s="405"/>
      <c r="E8" s="405"/>
      <c r="F8" s="405"/>
      <c r="G8" s="405"/>
      <c r="H8" s="405"/>
    </row>
    <row r="9" spans="1:8" ht="12" customHeight="1" x14ac:dyDescent="0.2">
      <c r="A9" s="453" t="s">
        <v>2807</v>
      </c>
      <c r="B9" s="449"/>
      <c r="C9" s="449"/>
      <c r="D9" s="449"/>
      <c r="E9" s="449"/>
      <c r="F9" s="449"/>
      <c r="G9" s="449"/>
      <c r="H9" s="449"/>
    </row>
    <row r="10" spans="1:8" ht="14.25" customHeight="1" x14ac:dyDescent="0.2">
      <c r="A10" s="437" t="s">
        <v>2786</v>
      </c>
      <c r="B10" s="449">
        <v>9</v>
      </c>
      <c r="C10" s="449">
        <v>10</v>
      </c>
      <c r="D10" s="449">
        <v>10</v>
      </c>
      <c r="E10" s="449">
        <v>10</v>
      </c>
      <c r="F10" s="449">
        <v>10</v>
      </c>
      <c r="G10" s="449">
        <v>10</v>
      </c>
      <c r="H10" s="449">
        <v>10</v>
      </c>
    </row>
    <row r="11" spans="1:8" s="491" customFormat="1" x14ac:dyDescent="0.2">
      <c r="A11" s="490" t="s">
        <v>2808</v>
      </c>
      <c r="B11" s="437">
        <v>2</v>
      </c>
      <c r="C11" s="437">
        <v>5</v>
      </c>
      <c r="D11" s="437">
        <v>5</v>
      </c>
      <c r="E11" s="437">
        <v>2</v>
      </c>
      <c r="F11" s="437">
        <v>5</v>
      </c>
      <c r="G11" s="437">
        <v>5</v>
      </c>
      <c r="H11" s="437">
        <v>5</v>
      </c>
    </row>
    <row r="12" spans="1:8" x14ac:dyDescent="0.2">
      <c r="A12" s="486" t="s">
        <v>2809</v>
      </c>
      <c r="B12" s="449">
        <v>0</v>
      </c>
      <c r="C12" s="449">
        <v>0</v>
      </c>
      <c r="D12" s="449">
        <v>0</v>
      </c>
      <c r="E12" s="449">
        <v>3</v>
      </c>
      <c r="F12" s="449">
        <v>4</v>
      </c>
      <c r="G12" s="449">
        <v>4</v>
      </c>
      <c r="H12" s="449">
        <v>4</v>
      </c>
    </row>
    <row r="13" spans="1:8" x14ac:dyDescent="0.2">
      <c r="A13" s="486" t="s">
        <v>2810</v>
      </c>
      <c r="B13" s="449">
        <v>0</v>
      </c>
      <c r="C13" s="449">
        <v>2</v>
      </c>
      <c r="D13" s="449">
        <v>2</v>
      </c>
      <c r="E13" s="449">
        <v>11</v>
      </c>
      <c r="F13" s="449">
        <v>32</v>
      </c>
      <c r="G13" s="449">
        <v>32</v>
      </c>
      <c r="H13" s="449">
        <v>32</v>
      </c>
    </row>
    <row r="14" spans="1:8" x14ac:dyDescent="0.2">
      <c r="A14" s="486" t="s">
        <v>2811</v>
      </c>
      <c r="B14" s="449">
        <v>216</v>
      </c>
      <c r="C14" s="449">
        <v>218</v>
      </c>
      <c r="D14" s="449">
        <v>218</v>
      </c>
      <c r="E14" s="449">
        <v>191</v>
      </c>
      <c r="F14" s="449">
        <v>209</v>
      </c>
      <c r="G14" s="449">
        <v>209</v>
      </c>
      <c r="H14" s="449">
        <v>209</v>
      </c>
    </row>
    <row r="15" spans="1:8" x14ac:dyDescent="0.2">
      <c r="A15" s="486"/>
      <c r="B15" s="449"/>
      <c r="C15" s="449"/>
      <c r="D15" s="449"/>
      <c r="E15" s="449"/>
      <c r="F15" s="449"/>
      <c r="G15" s="449"/>
      <c r="H15" s="449"/>
    </row>
    <row r="16" spans="1:8" x14ac:dyDescent="0.2">
      <c r="A16" s="487" t="s">
        <v>2812</v>
      </c>
      <c r="B16" s="438">
        <f>SUM(B10:B14)</f>
        <v>227</v>
      </c>
      <c r="C16" s="438">
        <f t="shared" ref="C16:H16" si="0">SUM(C10:C14)</f>
        <v>235</v>
      </c>
      <c r="D16" s="438">
        <f t="shared" si="0"/>
        <v>235</v>
      </c>
      <c r="E16" s="438">
        <f t="shared" si="0"/>
        <v>217</v>
      </c>
      <c r="F16" s="438">
        <f t="shared" si="0"/>
        <v>260</v>
      </c>
      <c r="G16" s="438">
        <f t="shared" si="0"/>
        <v>260</v>
      </c>
      <c r="H16" s="438">
        <f t="shared" si="0"/>
        <v>260</v>
      </c>
    </row>
    <row r="17" spans="1:8" x14ac:dyDescent="0.2">
      <c r="A17" s="486"/>
      <c r="B17" s="449"/>
      <c r="C17" s="449"/>
      <c r="D17" s="449"/>
      <c r="E17" s="449"/>
      <c r="F17" s="449"/>
      <c r="G17" s="449"/>
      <c r="H17" s="449"/>
    </row>
    <row r="18" spans="1:8" x14ac:dyDescent="0.2">
      <c r="A18" s="488" t="s">
        <v>2813</v>
      </c>
      <c r="B18" s="449"/>
      <c r="C18" s="449"/>
      <c r="D18" s="449"/>
      <c r="E18" s="449"/>
      <c r="F18" s="449"/>
      <c r="G18" s="449"/>
      <c r="H18" s="449"/>
    </row>
    <row r="19" spans="1:8" x14ac:dyDescent="0.2">
      <c r="A19" s="437" t="s">
        <v>2814</v>
      </c>
      <c r="B19" s="449">
        <v>0</v>
      </c>
      <c r="C19" s="449">
        <v>0</v>
      </c>
      <c r="D19" s="449">
        <v>0</v>
      </c>
      <c r="E19" s="449">
        <v>0</v>
      </c>
      <c r="F19" s="449">
        <v>0</v>
      </c>
      <c r="G19" s="449">
        <v>0</v>
      </c>
      <c r="H19" s="449">
        <v>0</v>
      </c>
    </row>
    <row r="20" spans="1:8" x14ac:dyDescent="0.2">
      <c r="A20" s="490" t="s">
        <v>2815</v>
      </c>
      <c r="B20" s="449">
        <v>0</v>
      </c>
      <c r="C20" s="449">
        <v>0</v>
      </c>
      <c r="D20" s="449">
        <v>0</v>
      </c>
      <c r="E20" s="449">
        <v>0</v>
      </c>
      <c r="F20" s="449">
        <v>0</v>
      </c>
      <c r="G20" s="449">
        <v>0</v>
      </c>
      <c r="H20" s="449">
        <v>0</v>
      </c>
    </row>
    <row r="21" spans="1:8" x14ac:dyDescent="0.2">
      <c r="A21" s="486" t="s">
        <v>2809</v>
      </c>
      <c r="B21" s="449">
        <v>0</v>
      </c>
      <c r="C21" s="449">
        <v>0</v>
      </c>
      <c r="D21" s="449">
        <v>0</v>
      </c>
      <c r="E21" s="449">
        <v>0</v>
      </c>
      <c r="F21" s="449">
        <v>0</v>
      </c>
      <c r="G21" s="449">
        <v>0</v>
      </c>
      <c r="H21" s="449">
        <v>0</v>
      </c>
    </row>
    <row r="22" spans="1:8" x14ac:dyDescent="0.2">
      <c r="A22" s="486" t="s">
        <v>2810</v>
      </c>
      <c r="B22" s="449">
        <v>0</v>
      </c>
      <c r="C22" s="449">
        <v>0</v>
      </c>
      <c r="D22" s="449">
        <v>0</v>
      </c>
      <c r="E22" s="449">
        <v>0</v>
      </c>
      <c r="F22" s="449">
        <v>0</v>
      </c>
      <c r="G22" s="449">
        <v>0</v>
      </c>
      <c r="H22" s="449">
        <v>0</v>
      </c>
    </row>
    <row r="23" spans="1:8" x14ac:dyDescent="0.2">
      <c r="A23" s="486" t="s">
        <v>2811</v>
      </c>
      <c r="B23" s="449">
        <v>0</v>
      </c>
      <c r="C23" s="449">
        <v>0</v>
      </c>
      <c r="D23" s="449">
        <v>0</v>
      </c>
      <c r="E23" s="449">
        <v>0</v>
      </c>
      <c r="F23" s="449">
        <v>0</v>
      </c>
      <c r="G23" s="449">
        <v>0</v>
      </c>
      <c r="H23" s="449">
        <v>0</v>
      </c>
    </row>
    <row r="24" spans="1:8" x14ac:dyDescent="0.2">
      <c r="A24" s="486"/>
      <c r="B24" s="449"/>
      <c r="C24" s="449"/>
      <c r="D24" s="449"/>
      <c r="E24" s="449"/>
      <c r="F24" s="449"/>
      <c r="G24" s="449"/>
      <c r="H24" s="449"/>
    </row>
    <row r="25" spans="1:8" x14ac:dyDescent="0.2">
      <c r="A25" s="487" t="s">
        <v>2816</v>
      </c>
      <c r="B25" s="438">
        <f t="shared" ref="B25:G25" si="1">SUM(B19:B24)</f>
        <v>0</v>
      </c>
      <c r="C25" s="438">
        <f t="shared" si="1"/>
        <v>0</v>
      </c>
      <c r="D25" s="438">
        <f t="shared" si="1"/>
        <v>0</v>
      </c>
      <c r="E25" s="438">
        <f t="shared" si="1"/>
        <v>0</v>
      </c>
      <c r="F25" s="438">
        <f t="shared" si="1"/>
        <v>0</v>
      </c>
      <c r="G25" s="438">
        <f t="shared" si="1"/>
        <v>0</v>
      </c>
      <c r="H25" s="438">
        <f>SUM(B25:G25)</f>
        <v>0</v>
      </c>
    </row>
    <row r="26" spans="1:8" ht="13.5" customHeight="1" x14ac:dyDescent="0.2">
      <c r="A26" s="486"/>
      <c r="B26" s="449"/>
      <c r="C26" s="449"/>
      <c r="D26" s="449"/>
      <c r="E26" s="449"/>
      <c r="F26" s="449"/>
      <c r="G26" s="449"/>
      <c r="H26" s="449"/>
    </row>
    <row r="27" spans="1:8" x14ac:dyDescent="0.2">
      <c r="A27" s="438" t="s">
        <v>2817</v>
      </c>
      <c r="B27" s="438">
        <f>B16+B25</f>
        <v>227</v>
      </c>
      <c r="C27" s="438">
        <f t="shared" ref="C27:H27" si="2">C16+C25</f>
        <v>235</v>
      </c>
      <c r="D27" s="438">
        <f t="shared" si="2"/>
        <v>235</v>
      </c>
      <c r="E27" s="438">
        <f t="shared" si="2"/>
        <v>217</v>
      </c>
      <c r="F27" s="438">
        <f t="shared" si="2"/>
        <v>260</v>
      </c>
      <c r="G27" s="438">
        <f t="shared" si="2"/>
        <v>260</v>
      </c>
      <c r="H27" s="438">
        <f t="shared" si="2"/>
        <v>260</v>
      </c>
    </row>
    <row r="28" spans="1:8" x14ac:dyDescent="0.2">
      <c r="A28" s="489"/>
      <c r="B28" s="439"/>
      <c r="C28" s="439"/>
      <c r="D28" s="439"/>
      <c r="E28" s="439"/>
      <c r="F28" s="439"/>
      <c r="G28" s="439"/>
      <c r="H28" s="439"/>
    </row>
    <row r="29" spans="1:8" x14ac:dyDescent="0.2">
      <c r="A29" s="441" t="s">
        <v>1131</v>
      </c>
    </row>
    <row r="30" spans="1:8" x14ac:dyDescent="0.2">
      <c r="A30" s="304" t="s">
        <v>4099</v>
      </c>
    </row>
    <row r="31" spans="1:8" x14ac:dyDescent="0.2">
      <c r="A31" s="304" t="s">
        <v>4100</v>
      </c>
    </row>
    <row r="32" spans="1:8" x14ac:dyDescent="0.2">
      <c r="A32" s="304" t="s">
        <v>4101</v>
      </c>
    </row>
    <row r="33" spans="1:1" x14ac:dyDescent="0.2">
      <c r="A33" s="304" t="s">
        <v>4102</v>
      </c>
    </row>
    <row r="34" spans="1:1" x14ac:dyDescent="0.2">
      <c r="A34" s="304" t="s">
        <v>4103</v>
      </c>
    </row>
    <row r="35" spans="1:1" x14ac:dyDescent="0.2">
      <c r="A35" s="304" t="s">
        <v>4104</v>
      </c>
    </row>
    <row r="36" spans="1:1" x14ac:dyDescent="0.2">
      <c r="A36" s="304" t="s">
        <v>4359</v>
      </c>
    </row>
    <row r="38" spans="1:1" x14ac:dyDescent="0.2">
      <c r="A38" s="441" t="s">
        <v>1132</v>
      </c>
    </row>
    <row r="39" spans="1:1" x14ac:dyDescent="0.2">
      <c r="A39" s="413" t="s">
        <v>2818</v>
      </c>
    </row>
  </sheetData>
  <phoneticPr fontId="3" type="noConversion"/>
  <pageMargins left="0.75" right="0.75" top="1" bottom="1" header="0.5" footer="0.5"/>
  <pageSetup paperSize="9" scale="6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68"/>
  <sheetViews>
    <sheetView view="pageBreakPreview" topLeftCell="B2" zoomScaleNormal="100" workbookViewId="0">
      <selection activeCell="N9" sqref="N9"/>
    </sheetView>
  </sheetViews>
  <sheetFormatPr defaultColWidth="10.6640625" defaultRowHeight="12.75" x14ac:dyDescent="0.2"/>
  <cols>
    <col min="1" max="1" width="59.1640625" style="413" customWidth="1"/>
    <col min="2" max="13" width="12.5" style="413" customWidth="1"/>
    <col min="14" max="14" width="13" style="413" bestFit="1" customWidth="1"/>
    <col min="15" max="16" width="13.83203125" style="413" bestFit="1" customWidth="1"/>
    <col min="17" max="16384" width="10.6640625" style="413"/>
  </cols>
  <sheetData>
    <row r="2" spans="1:16" x14ac:dyDescent="0.2">
      <c r="A2" s="406" t="s">
        <v>2819</v>
      </c>
      <c r="B2" s="492" t="s">
        <v>1108</v>
      </c>
      <c r="C2" s="492" t="s">
        <v>1108</v>
      </c>
      <c r="D2" s="492" t="s">
        <v>1108</v>
      </c>
      <c r="E2" s="493" t="s">
        <v>1108</v>
      </c>
      <c r="F2" s="406" t="s">
        <v>1108</v>
      </c>
      <c r="G2" s="406" t="s">
        <v>1108</v>
      </c>
      <c r="H2" s="406" t="s">
        <v>1108</v>
      </c>
      <c r="I2" s="406" t="s">
        <v>1108</v>
      </c>
      <c r="J2" s="406" t="s">
        <v>1108</v>
      </c>
      <c r="K2" s="406" t="s">
        <v>1108</v>
      </c>
      <c r="L2" s="406" t="s">
        <v>1108</v>
      </c>
      <c r="M2" s="406" t="s">
        <v>1108</v>
      </c>
      <c r="N2" s="406" t="s">
        <v>1108</v>
      </c>
      <c r="O2" s="406" t="s">
        <v>1108</v>
      </c>
      <c r="P2" s="406" t="s">
        <v>1108</v>
      </c>
    </row>
    <row r="3" spans="1:16" x14ac:dyDescent="0.2">
      <c r="A3" s="414"/>
      <c r="B3" s="426" t="s">
        <v>2820</v>
      </c>
      <c r="C3" s="426" t="s">
        <v>2821</v>
      </c>
      <c r="D3" s="427" t="s">
        <v>2822</v>
      </c>
      <c r="E3" s="426" t="s">
        <v>2823</v>
      </c>
      <c r="F3" s="414" t="s">
        <v>2824</v>
      </c>
      <c r="G3" s="414" t="s">
        <v>2825</v>
      </c>
      <c r="H3" s="414" t="s">
        <v>2826</v>
      </c>
      <c r="I3" s="414" t="s">
        <v>2827</v>
      </c>
      <c r="J3" s="414" t="s">
        <v>2828</v>
      </c>
      <c r="K3" s="414" t="s">
        <v>2829</v>
      </c>
      <c r="L3" s="414" t="s">
        <v>2830</v>
      </c>
      <c r="M3" s="414" t="s">
        <v>2831</v>
      </c>
      <c r="N3" s="414" t="s">
        <v>2832</v>
      </c>
      <c r="O3" s="414" t="s">
        <v>2832</v>
      </c>
      <c r="P3" s="414" t="s">
        <v>2832</v>
      </c>
    </row>
    <row r="4" spans="1:16" x14ac:dyDescent="0.2">
      <c r="A4" s="414" t="s">
        <v>2833</v>
      </c>
      <c r="B4" s="494" t="s">
        <v>3563</v>
      </c>
      <c r="C4" s="494" t="s">
        <v>3563</v>
      </c>
      <c r="D4" s="494" t="s">
        <v>3563</v>
      </c>
      <c r="E4" s="494" t="s">
        <v>3563</v>
      </c>
      <c r="F4" s="494" t="s">
        <v>3563</v>
      </c>
      <c r="G4" s="494" t="s">
        <v>3563</v>
      </c>
      <c r="H4" s="494" t="s">
        <v>1084</v>
      </c>
      <c r="I4" s="494" t="s">
        <v>1084</v>
      </c>
      <c r="J4" s="494" t="s">
        <v>1084</v>
      </c>
      <c r="K4" s="494" t="s">
        <v>1084</v>
      </c>
      <c r="L4" s="494" t="s">
        <v>1084</v>
      </c>
      <c r="M4" s="494" t="s">
        <v>1084</v>
      </c>
      <c r="N4" s="415" t="s">
        <v>4094</v>
      </c>
      <c r="O4" s="415" t="s">
        <v>4095</v>
      </c>
      <c r="P4" s="415" t="s">
        <v>4096</v>
      </c>
    </row>
    <row r="5" spans="1:16" x14ac:dyDescent="0.2">
      <c r="A5" s="433"/>
      <c r="B5" s="433" t="s">
        <v>1109</v>
      </c>
      <c r="C5" s="433" t="s">
        <v>1109</v>
      </c>
      <c r="D5" s="433" t="s">
        <v>1109</v>
      </c>
      <c r="E5" s="433" t="s">
        <v>1109</v>
      </c>
      <c r="F5" s="433" t="s">
        <v>1109</v>
      </c>
      <c r="G5" s="433" t="s">
        <v>1109</v>
      </c>
      <c r="H5" s="433" t="s">
        <v>1109</v>
      </c>
      <c r="I5" s="433" t="s">
        <v>1109</v>
      </c>
      <c r="J5" s="433" t="s">
        <v>1109</v>
      </c>
      <c r="K5" s="433" t="s">
        <v>1109</v>
      </c>
      <c r="L5" s="433" t="s">
        <v>1109</v>
      </c>
      <c r="M5" s="433" t="s">
        <v>1109</v>
      </c>
      <c r="N5" s="433" t="s">
        <v>1109</v>
      </c>
      <c r="O5" s="433" t="s">
        <v>1109</v>
      </c>
      <c r="P5" s="433" t="s">
        <v>1109</v>
      </c>
    </row>
    <row r="6" spans="1:16" x14ac:dyDescent="0.2">
      <c r="A6" s="420"/>
      <c r="B6" s="405"/>
      <c r="C6" s="405"/>
      <c r="D6" s="405"/>
      <c r="E6" s="405"/>
      <c r="F6" s="405"/>
      <c r="G6" s="405"/>
      <c r="H6" s="405"/>
      <c r="I6" s="405"/>
      <c r="J6" s="405"/>
      <c r="K6" s="405"/>
      <c r="L6" s="405"/>
      <c r="M6" s="405"/>
      <c r="N6" s="405"/>
      <c r="O6" s="405"/>
      <c r="P6" s="405"/>
    </row>
    <row r="7" spans="1:16" x14ac:dyDescent="0.2">
      <c r="A7" s="435" t="s">
        <v>2834</v>
      </c>
      <c r="B7" s="449"/>
      <c r="C7" s="449"/>
      <c r="D7" s="449"/>
      <c r="E7" s="449"/>
      <c r="F7" s="449"/>
      <c r="G7" s="449"/>
      <c r="H7" s="449"/>
      <c r="I7" s="449"/>
      <c r="J7" s="449"/>
      <c r="K7" s="449"/>
      <c r="L7" s="449"/>
      <c r="M7" s="449"/>
      <c r="N7" s="449"/>
      <c r="O7" s="449"/>
      <c r="P7" s="449"/>
    </row>
    <row r="8" spans="1:16" x14ac:dyDescent="0.2">
      <c r="A8" s="420"/>
      <c r="B8" s="449"/>
      <c r="C8" s="449"/>
      <c r="D8" s="449"/>
      <c r="E8" s="449"/>
      <c r="F8" s="449"/>
      <c r="G8" s="449"/>
      <c r="H8" s="449"/>
      <c r="I8" s="449"/>
      <c r="J8" s="449"/>
      <c r="K8" s="449"/>
      <c r="L8" s="449"/>
      <c r="M8" s="449"/>
      <c r="N8" s="449"/>
      <c r="O8" s="449"/>
      <c r="P8" s="449"/>
    </row>
    <row r="9" spans="1:16" x14ac:dyDescent="0.2">
      <c r="A9" s="437" t="s">
        <v>1118</v>
      </c>
      <c r="B9" s="243">
        <f>$N9/9</f>
        <v>1153738.6666666667</v>
      </c>
      <c r="C9" s="243">
        <f t="shared" ref="C9:J9" si="0">$N9/9</f>
        <v>1153738.6666666667</v>
      </c>
      <c r="D9" s="243">
        <f t="shared" si="0"/>
        <v>1153738.6666666667</v>
      </c>
      <c r="E9" s="243">
        <f t="shared" si="0"/>
        <v>1153738.6666666667</v>
      </c>
      <c r="F9" s="243">
        <f t="shared" si="0"/>
        <v>1153738.6666666667</v>
      </c>
      <c r="G9" s="243">
        <f t="shared" si="0"/>
        <v>1153738.6666666667</v>
      </c>
      <c r="H9" s="243">
        <f t="shared" si="0"/>
        <v>1153738.6666666667</v>
      </c>
      <c r="I9" s="243">
        <f t="shared" si="0"/>
        <v>1153738.6666666667</v>
      </c>
      <c r="J9" s="243">
        <f t="shared" si="0"/>
        <v>1153738.6666666667</v>
      </c>
      <c r="K9" s="444">
        <v>0</v>
      </c>
      <c r="L9" s="444">
        <v>0</v>
      </c>
      <c r="M9" s="243">
        <v>0</v>
      </c>
      <c r="N9" s="243">
        <f>'Schedule 1 - Rev by Source_5'!F9</f>
        <v>10383648</v>
      </c>
      <c r="O9" s="243">
        <f>'Schedule 1 - Rev by Source_5'!G9</f>
        <v>11006667</v>
      </c>
      <c r="P9" s="243">
        <f>'Schedule 1 - Rev by Source_5'!H9</f>
        <v>11667065</v>
      </c>
    </row>
    <row r="10" spans="1:16" x14ac:dyDescent="0.2">
      <c r="A10" s="437" t="s">
        <v>1119</v>
      </c>
      <c r="B10" s="243">
        <f>$N10/12</f>
        <v>25959.083333333332</v>
      </c>
      <c r="C10" s="243">
        <f t="shared" ref="C10:M10" si="1">$N10/12</f>
        <v>25959.083333333332</v>
      </c>
      <c r="D10" s="243">
        <f t="shared" si="1"/>
        <v>25959.083333333332</v>
      </c>
      <c r="E10" s="243">
        <f t="shared" si="1"/>
        <v>25959.083333333332</v>
      </c>
      <c r="F10" s="243">
        <f t="shared" si="1"/>
        <v>25959.083333333332</v>
      </c>
      <c r="G10" s="243">
        <f t="shared" si="1"/>
        <v>25959.083333333332</v>
      </c>
      <c r="H10" s="243">
        <f t="shared" si="1"/>
        <v>25959.083333333332</v>
      </c>
      <c r="I10" s="243">
        <f t="shared" si="1"/>
        <v>25959.083333333332</v>
      </c>
      <c r="J10" s="243">
        <f t="shared" si="1"/>
        <v>25959.083333333332</v>
      </c>
      <c r="K10" s="243">
        <f t="shared" si="1"/>
        <v>25959.083333333332</v>
      </c>
      <c r="L10" s="243">
        <f t="shared" si="1"/>
        <v>25959.083333333332</v>
      </c>
      <c r="M10" s="243">
        <f t="shared" si="1"/>
        <v>25959.083333333332</v>
      </c>
      <c r="N10" s="243">
        <f>'Schedule 1 - Rev by Source_5'!F10</f>
        <v>311509</v>
      </c>
      <c r="O10" s="243">
        <f>'Schedule 1 - Rev by Source_5'!G10</f>
        <v>330200</v>
      </c>
      <c r="P10" s="243">
        <f>'Schedule 1 - Rev by Source_5'!H10</f>
        <v>350012</v>
      </c>
    </row>
    <row r="11" spans="1:16" x14ac:dyDescent="0.2">
      <c r="A11" s="495" t="s">
        <v>2835</v>
      </c>
      <c r="B11" s="243">
        <f>($N11/12)*1.4</f>
        <v>1804274.0333333334</v>
      </c>
      <c r="C11" s="243">
        <f>B11*1.1</f>
        <v>1984701.436666667</v>
      </c>
      <c r="D11" s="243">
        <f>C11*0.8</f>
        <v>1587761.1493333336</v>
      </c>
      <c r="E11" s="243">
        <f>D11*0.75</f>
        <v>1190820.8620000002</v>
      </c>
      <c r="F11" s="243">
        <f>E11*0.9</f>
        <v>1071738.7758000002</v>
      </c>
      <c r="G11" s="243">
        <f>F11*0.9</f>
        <v>964564.89822000021</v>
      </c>
      <c r="H11" s="243">
        <f>G11*0.9</f>
        <v>868108.40839800017</v>
      </c>
      <c r="I11" s="243">
        <f>G11*1.05</f>
        <v>1012793.1431310002</v>
      </c>
      <c r="J11" s="243">
        <f>I11*1.01</f>
        <v>1022921.0745623102</v>
      </c>
      <c r="K11" s="483">
        <f>J11*1.1</f>
        <v>1125213.1820185413</v>
      </c>
      <c r="L11" s="243">
        <f>(K11*1.075)-1000</f>
        <v>1208604.1706699319</v>
      </c>
      <c r="M11" s="243">
        <f>B11*0.9</f>
        <v>1623846.6300000001</v>
      </c>
      <c r="N11" s="243">
        <f>'Schedule 1 - Rev by Source_5'!F11</f>
        <v>15465206</v>
      </c>
      <c r="O11" s="243">
        <f>'Schedule 1 - Rev by Source_5'!G11</f>
        <v>19455229</v>
      </c>
      <c r="P11" s="243">
        <f>'Schedule 1 - Rev by Source_5'!H11</f>
        <v>24494134</v>
      </c>
    </row>
    <row r="12" spans="1:16" x14ac:dyDescent="0.2">
      <c r="A12" s="495" t="s">
        <v>2836</v>
      </c>
      <c r="B12" s="243">
        <f>($N12/12)*0.69</f>
        <v>506844.32999999996</v>
      </c>
      <c r="C12" s="243">
        <f>B12*1.1</f>
        <v>557528.76300000004</v>
      </c>
      <c r="D12" s="243">
        <f t="shared" ref="D12:I12" si="2">C12*1.1</f>
        <v>613281.63930000004</v>
      </c>
      <c r="E12" s="243">
        <f t="shared" si="2"/>
        <v>674609.80323000008</v>
      </c>
      <c r="F12" s="243">
        <f t="shared" si="2"/>
        <v>742070.78355300019</v>
      </c>
      <c r="G12" s="243">
        <f t="shared" si="2"/>
        <v>816277.86190830031</v>
      </c>
      <c r="H12" s="243">
        <f t="shared" si="2"/>
        <v>897905.64809913037</v>
      </c>
      <c r="I12" s="243">
        <f t="shared" si="2"/>
        <v>987696.21290904353</v>
      </c>
      <c r="J12" s="463">
        <f>I12*1.01</f>
        <v>997573.17503813398</v>
      </c>
      <c r="K12" s="483">
        <f>J12*0.9</f>
        <v>897815.85753432056</v>
      </c>
      <c r="L12" s="243">
        <f>K12*0.6</f>
        <v>538689.51452059229</v>
      </c>
      <c r="M12" s="463">
        <f>(L12*0.9)+127000</f>
        <v>611820.56306853308</v>
      </c>
      <c r="N12" s="243">
        <f>'Schedule 1 - Rev by Source_5'!F12</f>
        <v>8814684</v>
      </c>
      <c r="O12" s="243">
        <f>'Schedule 1 - Rev by Source_5'!G12</f>
        <v>10136887</v>
      </c>
      <c r="P12" s="243">
        <f>'Schedule 1 - Rev by Source_5'!H12</f>
        <v>11657420</v>
      </c>
    </row>
    <row r="13" spans="1:16" x14ac:dyDescent="0.2">
      <c r="A13" s="495" t="s">
        <v>2837</v>
      </c>
      <c r="B13" s="243">
        <f>$N13/12</f>
        <v>427392</v>
      </c>
      <c r="C13" s="243">
        <f t="shared" ref="C13:M17" si="3">$N13/12</f>
        <v>427392</v>
      </c>
      <c r="D13" s="243">
        <f t="shared" si="3"/>
        <v>427392</v>
      </c>
      <c r="E13" s="243">
        <f t="shared" si="3"/>
        <v>427392</v>
      </c>
      <c r="F13" s="243">
        <f t="shared" si="3"/>
        <v>427392</v>
      </c>
      <c r="G13" s="243">
        <f t="shared" si="3"/>
        <v>427392</v>
      </c>
      <c r="H13" s="243">
        <f t="shared" si="3"/>
        <v>427392</v>
      </c>
      <c r="I13" s="243">
        <f t="shared" si="3"/>
        <v>427392</v>
      </c>
      <c r="J13" s="243">
        <f t="shared" si="3"/>
        <v>427392</v>
      </c>
      <c r="K13" s="243">
        <f t="shared" si="3"/>
        <v>427392</v>
      </c>
      <c r="L13" s="243">
        <f t="shared" si="3"/>
        <v>427392</v>
      </c>
      <c r="M13" s="243">
        <f t="shared" si="3"/>
        <v>427392</v>
      </c>
      <c r="N13" s="243">
        <f>'Schedule 1 - Rev by Source_5'!F13</f>
        <v>5128704</v>
      </c>
      <c r="O13" s="243">
        <f>'Schedule 1 - Rev by Source_5'!G13</f>
        <v>5898010</v>
      </c>
      <c r="P13" s="243">
        <f>'Schedule 1 - Rev by Source_5'!H13</f>
        <v>7233408</v>
      </c>
    </row>
    <row r="14" spans="1:16" x14ac:dyDescent="0.2">
      <c r="A14" s="495" t="s">
        <v>2838</v>
      </c>
      <c r="B14" s="243">
        <f>$N14/12</f>
        <v>288180</v>
      </c>
      <c r="C14" s="243">
        <f t="shared" si="3"/>
        <v>288180</v>
      </c>
      <c r="D14" s="243">
        <f t="shared" si="3"/>
        <v>288180</v>
      </c>
      <c r="E14" s="243">
        <f t="shared" si="3"/>
        <v>288180</v>
      </c>
      <c r="F14" s="243">
        <f t="shared" si="3"/>
        <v>288180</v>
      </c>
      <c r="G14" s="243">
        <f t="shared" si="3"/>
        <v>288180</v>
      </c>
      <c r="H14" s="243">
        <f t="shared" si="3"/>
        <v>288180</v>
      </c>
      <c r="I14" s="243">
        <f t="shared" si="3"/>
        <v>288180</v>
      </c>
      <c r="J14" s="243">
        <f t="shared" si="3"/>
        <v>288180</v>
      </c>
      <c r="K14" s="243">
        <f t="shared" si="3"/>
        <v>288180</v>
      </c>
      <c r="L14" s="243">
        <f t="shared" si="3"/>
        <v>288180</v>
      </c>
      <c r="M14" s="243">
        <f t="shared" si="3"/>
        <v>288180</v>
      </c>
      <c r="N14" s="243">
        <f>'Schedule 1 - Rev by Source_5'!F14</f>
        <v>3458160</v>
      </c>
      <c r="O14" s="243">
        <f>'Schedule 1 - Rev by Source_5'!G14</f>
        <v>3976884</v>
      </c>
      <c r="P14" s="243">
        <f>'Schedule 1 - Rev by Source_5'!H14</f>
        <v>4573417</v>
      </c>
    </row>
    <row r="15" spans="1:16" x14ac:dyDescent="0.2">
      <c r="A15" s="538" t="s">
        <v>4360</v>
      </c>
      <c r="B15" s="243">
        <f>$N15/12</f>
        <v>27542.583333333332</v>
      </c>
      <c r="C15" s="243">
        <f t="shared" si="3"/>
        <v>27542.583333333332</v>
      </c>
      <c r="D15" s="243">
        <f t="shared" si="3"/>
        <v>27542.583333333332</v>
      </c>
      <c r="E15" s="243">
        <f t="shared" si="3"/>
        <v>27542.583333333332</v>
      </c>
      <c r="F15" s="243">
        <f t="shared" si="3"/>
        <v>27542.583333333332</v>
      </c>
      <c r="G15" s="243">
        <f t="shared" si="3"/>
        <v>27542.583333333332</v>
      </c>
      <c r="H15" s="243">
        <f t="shared" si="3"/>
        <v>27542.583333333332</v>
      </c>
      <c r="I15" s="243">
        <f t="shared" si="3"/>
        <v>27542.583333333332</v>
      </c>
      <c r="J15" s="243">
        <f t="shared" si="3"/>
        <v>27542.583333333332</v>
      </c>
      <c r="K15" s="243">
        <f t="shared" si="3"/>
        <v>27542.583333333332</v>
      </c>
      <c r="L15" s="243">
        <f t="shared" si="3"/>
        <v>27542.583333333332</v>
      </c>
      <c r="M15" s="243">
        <f t="shared" si="3"/>
        <v>27542.583333333332</v>
      </c>
      <c r="N15" s="243">
        <f>'Schedule 1 - Rev by Source_5'!F15</f>
        <v>330511</v>
      </c>
      <c r="O15" s="243">
        <f>'Schedule 1 - Rev by Source_5'!G15</f>
        <v>350342</v>
      </c>
      <c r="P15" s="243">
        <f>'Schedule 1 - Rev by Source_5'!H15</f>
        <v>371361</v>
      </c>
    </row>
    <row r="16" spans="1:16" x14ac:dyDescent="0.2">
      <c r="A16" s="495" t="s">
        <v>1124</v>
      </c>
      <c r="B16" s="243">
        <f>$N16/12</f>
        <v>42597.583333333336</v>
      </c>
      <c r="C16" s="243">
        <f t="shared" si="3"/>
        <v>42597.583333333336</v>
      </c>
      <c r="D16" s="243">
        <f t="shared" si="3"/>
        <v>42597.583333333336</v>
      </c>
      <c r="E16" s="243">
        <f t="shared" si="3"/>
        <v>42597.583333333336</v>
      </c>
      <c r="F16" s="243">
        <f t="shared" si="3"/>
        <v>42597.583333333336</v>
      </c>
      <c r="G16" s="243">
        <f t="shared" si="3"/>
        <v>42597.583333333336</v>
      </c>
      <c r="H16" s="243">
        <f t="shared" si="3"/>
        <v>42597.583333333336</v>
      </c>
      <c r="I16" s="243">
        <f t="shared" si="3"/>
        <v>42597.583333333336</v>
      </c>
      <c r="J16" s="243">
        <f t="shared" si="3"/>
        <v>42597.583333333336</v>
      </c>
      <c r="K16" s="243">
        <f t="shared" si="3"/>
        <v>42597.583333333336</v>
      </c>
      <c r="L16" s="243">
        <f t="shared" si="3"/>
        <v>42597.583333333336</v>
      </c>
      <c r="M16" s="243">
        <f t="shared" si="3"/>
        <v>42597.583333333336</v>
      </c>
      <c r="N16" s="243">
        <f>'Schedule 1 - Rev by Source_5'!F16</f>
        <v>511171</v>
      </c>
      <c r="O16" s="243">
        <f>'Schedule 1 - Rev by Source_5'!G16</f>
        <v>542416</v>
      </c>
      <c r="P16" s="243">
        <f>'Schedule 1 - Rev by Source_5'!H16</f>
        <v>575593</v>
      </c>
    </row>
    <row r="17" spans="1:16" x14ac:dyDescent="0.2">
      <c r="A17" s="495" t="s">
        <v>1125</v>
      </c>
      <c r="B17" s="243">
        <f>$N17/12</f>
        <v>6275</v>
      </c>
      <c r="C17" s="243">
        <f t="shared" si="3"/>
        <v>6275</v>
      </c>
      <c r="D17" s="243">
        <f t="shared" si="3"/>
        <v>6275</v>
      </c>
      <c r="E17" s="243">
        <f t="shared" si="3"/>
        <v>6275</v>
      </c>
      <c r="F17" s="243">
        <f t="shared" si="3"/>
        <v>6275</v>
      </c>
      <c r="G17" s="243">
        <f t="shared" si="3"/>
        <v>6275</v>
      </c>
      <c r="H17" s="243">
        <f t="shared" si="3"/>
        <v>6275</v>
      </c>
      <c r="I17" s="243">
        <f t="shared" si="3"/>
        <v>6275</v>
      </c>
      <c r="J17" s="243">
        <f t="shared" si="3"/>
        <v>6275</v>
      </c>
      <c r="K17" s="243">
        <f t="shared" si="3"/>
        <v>6275</v>
      </c>
      <c r="L17" s="243">
        <f t="shared" si="3"/>
        <v>6275</v>
      </c>
      <c r="M17" s="243">
        <f t="shared" si="3"/>
        <v>6275</v>
      </c>
      <c r="N17" s="243">
        <f>'Schedule 1 - Rev by Source_5'!F17</f>
        <v>75300</v>
      </c>
      <c r="O17" s="243">
        <f>'Schedule 1 - Rev by Source_5'!G17</f>
        <v>75830</v>
      </c>
      <c r="P17" s="243">
        <f>'Schedule 1 - Rev by Source_5'!H17</f>
        <v>76413</v>
      </c>
    </row>
    <row r="18" spans="1:16" x14ac:dyDescent="0.2">
      <c r="A18" s="495" t="s">
        <v>1126</v>
      </c>
      <c r="B18" s="444">
        <v>0</v>
      </c>
      <c r="C18" s="444">
        <v>0</v>
      </c>
      <c r="D18" s="444">
        <v>0</v>
      </c>
      <c r="E18" s="444">
        <v>0</v>
      </c>
      <c r="F18" s="444">
        <v>0</v>
      </c>
      <c r="G18" s="444">
        <v>0</v>
      </c>
      <c r="H18" s="444">
        <v>0</v>
      </c>
      <c r="I18" s="444">
        <v>0</v>
      </c>
      <c r="J18" s="444">
        <v>0</v>
      </c>
      <c r="K18" s="444">
        <v>0</v>
      </c>
      <c r="L18" s="444">
        <v>0</v>
      </c>
      <c r="M18" s="444">
        <v>0</v>
      </c>
      <c r="N18" s="243">
        <v>0</v>
      </c>
      <c r="O18" s="243">
        <v>0</v>
      </c>
      <c r="P18" s="243">
        <v>0</v>
      </c>
    </row>
    <row r="19" spans="1:16" x14ac:dyDescent="0.2">
      <c r="A19" s="495" t="s">
        <v>1127</v>
      </c>
      <c r="B19" s="444">
        <v>0</v>
      </c>
      <c r="C19" s="444">
        <v>0</v>
      </c>
      <c r="D19" s="444">
        <v>0</v>
      </c>
      <c r="E19" s="444">
        <v>0</v>
      </c>
      <c r="F19" s="444">
        <v>0</v>
      </c>
      <c r="G19" s="444">
        <v>0</v>
      </c>
      <c r="H19" s="444">
        <v>0</v>
      </c>
      <c r="I19" s="444">
        <v>0</v>
      </c>
      <c r="J19" s="444">
        <v>0</v>
      </c>
      <c r="K19" s="444">
        <v>0</v>
      </c>
      <c r="L19" s="444">
        <v>0</v>
      </c>
      <c r="M19" s="444">
        <v>0</v>
      </c>
      <c r="N19" s="243">
        <v>0</v>
      </c>
      <c r="O19" s="243">
        <v>0</v>
      </c>
      <c r="P19" s="243">
        <v>0</v>
      </c>
    </row>
    <row r="20" spans="1:16" x14ac:dyDescent="0.2">
      <c r="A20" s="495" t="s">
        <v>1128</v>
      </c>
      <c r="B20" s="243">
        <f>$N20/12</f>
        <v>91666.666666666672</v>
      </c>
      <c r="C20" s="243">
        <f t="shared" ref="C20:M20" si="4">$N20/12</f>
        <v>91666.666666666672</v>
      </c>
      <c r="D20" s="243">
        <f t="shared" si="4"/>
        <v>91666.666666666672</v>
      </c>
      <c r="E20" s="243">
        <f t="shared" si="4"/>
        <v>91666.666666666672</v>
      </c>
      <c r="F20" s="243">
        <f t="shared" si="4"/>
        <v>91666.666666666672</v>
      </c>
      <c r="G20" s="243">
        <f t="shared" si="4"/>
        <v>91666.666666666672</v>
      </c>
      <c r="H20" s="243">
        <f t="shared" si="4"/>
        <v>91666.666666666672</v>
      </c>
      <c r="I20" s="243">
        <f t="shared" si="4"/>
        <v>91666.666666666672</v>
      </c>
      <c r="J20" s="243">
        <f t="shared" si="4"/>
        <v>91666.666666666672</v>
      </c>
      <c r="K20" s="243">
        <f t="shared" si="4"/>
        <v>91666.666666666672</v>
      </c>
      <c r="L20" s="243">
        <f t="shared" si="4"/>
        <v>91666.666666666672</v>
      </c>
      <c r="M20" s="243">
        <f t="shared" si="4"/>
        <v>91666.666666666672</v>
      </c>
      <c r="N20" s="243">
        <f>'Schedule 1 - Rev by Source_5'!F20</f>
        <v>1100000</v>
      </c>
      <c r="O20" s="243">
        <f>'Schedule 1 - Rev by Source_5'!G20</f>
        <v>1166000</v>
      </c>
      <c r="P20" s="243">
        <f>'Schedule 1 - Rev by Source_5'!H20</f>
        <v>1235960</v>
      </c>
    </row>
    <row r="21" spans="1:16" x14ac:dyDescent="0.2">
      <c r="A21" s="495" t="s">
        <v>2841</v>
      </c>
      <c r="B21" s="243">
        <f>(N21-1735000)/4+735000</f>
        <v>10505812</v>
      </c>
      <c r="C21" s="243">
        <v>1000000</v>
      </c>
      <c r="D21" s="444">
        <v>0</v>
      </c>
      <c r="E21" s="243">
        <f>(N21-1735000)/4</f>
        <v>9770812</v>
      </c>
      <c r="F21" s="444">
        <v>0</v>
      </c>
      <c r="G21" s="243">
        <v>0</v>
      </c>
      <c r="H21" s="243">
        <f>(N21-1735000)/4</f>
        <v>9770812</v>
      </c>
      <c r="I21" s="243">
        <v>0</v>
      </c>
      <c r="J21" s="444">
        <v>0</v>
      </c>
      <c r="K21" s="243">
        <f>(N21-1735000)/4</f>
        <v>9770812</v>
      </c>
      <c r="L21" s="444">
        <v>0</v>
      </c>
      <c r="M21" s="444">
        <v>0</v>
      </c>
      <c r="N21" s="243">
        <f>'Schedule 1 - Rev by Source_5'!F21+'Schedule 1 - Rev by Source_5'!F22+'Schedule 1 - Rev by Source_5'!F24</f>
        <v>40818248</v>
      </c>
      <c r="O21" s="243">
        <f>'Schedule 1 - Rev by Source_5'!G21+'Schedule 1 - Rev by Source_5'!G22+'Schedule 1 - Rev by Source_5'!G24</f>
        <v>42222196</v>
      </c>
      <c r="P21" s="243">
        <f>'Schedule 1 - Rev by Source_5'!H21+'Schedule 1 - Rev by Source_5'!H22+'Schedule 1 - Rev by Source_5'!H24</f>
        <v>47973297</v>
      </c>
    </row>
    <row r="22" spans="1:16" x14ac:dyDescent="0.2">
      <c r="A22" s="495" t="s">
        <v>2842</v>
      </c>
      <c r="B22" s="243">
        <f>$N22/12</f>
        <v>1311422.5833333333</v>
      </c>
      <c r="C22" s="243">
        <f t="shared" ref="C22:M22" si="5">$N22/12</f>
        <v>1311422.5833333333</v>
      </c>
      <c r="D22" s="243">
        <f t="shared" si="5"/>
        <v>1311422.5833333333</v>
      </c>
      <c r="E22" s="243">
        <f t="shared" si="5"/>
        <v>1311422.5833333333</v>
      </c>
      <c r="F22" s="243">
        <f t="shared" si="5"/>
        <v>1311422.5833333333</v>
      </c>
      <c r="G22" s="243">
        <f t="shared" si="5"/>
        <v>1311422.5833333333</v>
      </c>
      <c r="H22" s="243">
        <f t="shared" si="5"/>
        <v>1311422.5833333333</v>
      </c>
      <c r="I22" s="243">
        <f t="shared" si="5"/>
        <v>1311422.5833333333</v>
      </c>
      <c r="J22" s="243">
        <f t="shared" si="5"/>
        <v>1311422.5833333333</v>
      </c>
      <c r="K22" s="243">
        <f t="shared" si="5"/>
        <v>1311422.5833333333</v>
      </c>
      <c r="L22" s="243">
        <f t="shared" si="5"/>
        <v>1311422.5833333333</v>
      </c>
      <c r="M22" s="243">
        <f t="shared" si="5"/>
        <v>1311422.5833333333</v>
      </c>
      <c r="N22" s="243">
        <f>'Schedule 3(a) - Capex by GFS_7'!F19+'Schedule 3(a) - Capex by GFS_7'!F20</f>
        <v>15737071</v>
      </c>
      <c r="O22" s="243">
        <f>'Schedule 3(a) - Capex by GFS_7'!G19+'Schedule 3(a) - Capex by GFS_7'!G20</f>
        <v>15831000</v>
      </c>
      <c r="P22" s="243">
        <f>'Schedule 3(a) - Capex by GFS_7'!H19+'Schedule 3(a) - Capex by GFS_7'!H20</f>
        <v>19384000</v>
      </c>
    </row>
    <row r="23" spans="1:16" x14ac:dyDescent="0.2">
      <c r="A23" s="496" t="s">
        <v>2843</v>
      </c>
      <c r="B23" s="444"/>
      <c r="C23" s="444"/>
      <c r="D23" s="444"/>
      <c r="E23" s="444"/>
      <c r="F23" s="444"/>
      <c r="G23" s="444"/>
      <c r="H23" s="444"/>
      <c r="I23" s="444"/>
      <c r="J23" s="444"/>
      <c r="K23" s="444"/>
      <c r="L23" s="444"/>
      <c r="M23" s="444"/>
      <c r="N23" s="444"/>
      <c r="O23" s="444"/>
      <c r="P23" s="444"/>
    </row>
    <row r="24" spans="1:16" x14ac:dyDescent="0.2">
      <c r="A24" s="496"/>
      <c r="B24" s="444"/>
      <c r="C24" s="444"/>
      <c r="D24" s="444"/>
      <c r="E24" s="444"/>
      <c r="F24" s="444"/>
      <c r="G24" s="444"/>
      <c r="H24" s="444"/>
      <c r="I24" s="444"/>
      <c r="J24" s="444"/>
      <c r="K24" s="444"/>
      <c r="L24" s="444"/>
      <c r="M24" s="444"/>
      <c r="N24" s="444"/>
      <c r="O24" s="444"/>
      <c r="P24" s="444"/>
    </row>
    <row r="25" spans="1:16" x14ac:dyDescent="0.2">
      <c r="A25" s="495"/>
      <c r="B25" s="444"/>
      <c r="C25" s="444"/>
      <c r="D25" s="444"/>
      <c r="E25" s="444"/>
      <c r="F25" s="444"/>
      <c r="G25" s="444"/>
      <c r="H25" s="444"/>
      <c r="I25" s="444"/>
      <c r="J25" s="444"/>
      <c r="K25" s="444"/>
      <c r="L25" s="444"/>
      <c r="M25" s="444"/>
      <c r="N25" s="444"/>
      <c r="O25" s="444"/>
      <c r="P25" s="444"/>
    </row>
    <row r="26" spans="1:16" x14ac:dyDescent="0.2">
      <c r="A26" s="449"/>
      <c r="B26" s="449"/>
      <c r="C26" s="449"/>
      <c r="D26" s="449"/>
      <c r="E26" s="449"/>
      <c r="F26" s="449"/>
      <c r="G26" s="449"/>
      <c r="H26" s="449"/>
      <c r="I26" s="449"/>
      <c r="J26" s="449"/>
      <c r="K26" s="449"/>
      <c r="L26" s="449"/>
      <c r="M26" s="449"/>
      <c r="N26" s="449"/>
      <c r="O26" s="449"/>
      <c r="P26" s="449"/>
    </row>
    <row r="27" spans="1:16" x14ac:dyDescent="0.2">
      <c r="A27" s="497" t="s">
        <v>2834</v>
      </c>
      <c r="B27" s="325">
        <f>SUM(B9:B26)</f>
        <v>16191704.529999999</v>
      </c>
      <c r="C27" s="325">
        <f t="shared" ref="C27:P27" si="6">SUM(C9:C26)</f>
        <v>6917004.3663333328</v>
      </c>
      <c r="D27" s="325">
        <f t="shared" si="6"/>
        <v>5575816.9553000005</v>
      </c>
      <c r="E27" s="325">
        <f t="shared" si="6"/>
        <v>15011016.831896668</v>
      </c>
      <c r="F27" s="325">
        <f t="shared" si="6"/>
        <v>5188583.7260196665</v>
      </c>
      <c r="G27" s="325">
        <f t="shared" si="6"/>
        <v>5155616.9267949676</v>
      </c>
      <c r="H27" s="325">
        <f t="shared" si="6"/>
        <v>14911600.223163798</v>
      </c>
      <c r="I27" s="325">
        <f t="shared" si="6"/>
        <v>5375263.5227067107</v>
      </c>
      <c r="J27" s="325">
        <f t="shared" si="6"/>
        <v>5395268.416267111</v>
      </c>
      <c r="K27" s="325">
        <f t="shared" si="6"/>
        <v>14014876.539552862</v>
      </c>
      <c r="L27" s="325">
        <f t="shared" si="6"/>
        <v>3968329.185190524</v>
      </c>
      <c r="M27" s="325">
        <f t="shared" si="6"/>
        <v>4456702.6930685332</v>
      </c>
      <c r="N27" s="325">
        <f>SUM(N9:N26)</f>
        <v>102134212</v>
      </c>
      <c r="O27" s="325">
        <f t="shared" si="6"/>
        <v>110991661</v>
      </c>
      <c r="P27" s="325">
        <f t="shared" si="6"/>
        <v>129592080</v>
      </c>
    </row>
    <row r="28" spans="1:16" x14ac:dyDescent="0.2">
      <c r="A28" s="449"/>
      <c r="B28" s="405"/>
      <c r="C28" s="405"/>
      <c r="D28" s="405"/>
      <c r="E28" s="405"/>
      <c r="F28" s="405"/>
      <c r="G28" s="405"/>
      <c r="H28" s="405"/>
      <c r="I28" s="405"/>
      <c r="J28" s="405"/>
      <c r="K28" s="405"/>
      <c r="L28" s="405"/>
      <c r="M28" s="405"/>
      <c r="N28" s="405"/>
      <c r="O28" s="405"/>
      <c r="P28" s="405"/>
    </row>
    <row r="29" spans="1:16" x14ac:dyDescent="0.2">
      <c r="A29" s="420" t="s">
        <v>2844</v>
      </c>
      <c r="B29" s="449"/>
      <c r="C29" s="449"/>
      <c r="D29" s="449"/>
      <c r="E29" s="449"/>
      <c r="F29" s="449"/>
      <c r="G29" s="449"/>
      <c r="H29" s="449"/>
      <c r="I29" s="449"/>
      <c r="J29" s="449"/>
      <c r="K29" s="449"/>
      <c r="L29" s="449"/>
      <c r="M29" s="449"/>
      <c r="N29" s="449"/>
      <c r="O29" s="449"/>
      <c r="P29" s="449"/>
    </row>
    <row r="30" spans="1:16" x14ac:dyDescent="0.2">
      <c r="A30" s="449"/>
      <c r="B30" s="449"/>
      <c r="C30" s="449"/>
      <c r="D30" s="449"/>
      <c r="E30" s="449"/>
      <c r="F30" s="449"/>
      <c r="G30" s="449"/>
      <c r="H30" s="449"/>
      <c r="I30" s="449"/>
      <c r="J30" s="449"/>
      <c r="K30" s="449"/>
      <c r="L30" s="449"/>
      <c r="M30" s="449"/>
      <c r="N30" s="449"/>
      <c r="O30" s="449"/>
      <c r="P30" s="449"/>
    </row>
    <row r="31" spans="1:16" x14ac:dyDescent="0.2">
      <c r="A31" s="449" t="s">
        <v>2845</v>
      </c>
      <c r="B31" s="444">
        <v>0</v>
      </c>
      <c r="C31" s="444">
        <v>0</v>
      </c>
      <c r="D31" s="444">
        <v>0</v>
      </c>
      <c r="E31" s="444">
        <v>0</v>
      </c>
      <c r="F31" s="444">
        <v>0</v>
      </c>
      <c r="G31" s="444">
        <v>0</v>
      </c>
      <c r="H31" s="444">
        <v>0</v>
      </c>
      <c r="I31" s="444">
        <v>0</v>
      </c>
      <c r="J31" s="444">
        <v>0</v>
      </c>
      <c r="K31" s="444">
        <v>0</v>
      </c>
      <c r="L31" s="444">
        <v>0</v>
      </c>
      <c r="M31" s="444">
        <v>0</v>
      </c>
      <c r="N31" s="444">
        <v>0</v>
      </c>
      <c r="O31" s="444">
        <v>0</v>
      </c>
      <c r="P31" s="444">
        <v>0</v>
      </c>
    </row>
    <row r="32" spans="1:16" x14ac:dyDescent="0.2">
      <c r="A32" s="449" t="s">
        <v>2846</v>
      </c>
      <c r="B32" s="243">
        <v>100000</v>
      </c>
      <c r="C32" s="243">
        <v>100000</v>
      </c>
      <c r="D32" s="243">
        <v>100000</v>
      </c>
      <c r="E32" s="243">
        <v>100000</v>
      </c>
      <c r="F32" s="243">
        <v>100000</v>
      </c>
      <c r="G32" s="243">
        <v>100000</v>
      </c>
      <c r="H32" s="243">
        <v>100000</v>
      </c>
      <c r="I32" s="243">
        <v>100000</v>
      </c>
      <c r="J32" s="243">
        <v>100000</v>
      </c>
      <c r="K32" s="243">
        <v>100000</v>
      </c>
      <c r="L32" s="243">
        <v>100000</v>
      </c>
      <c r="M32" s="243">
        <v>100000</v>
      </c>
      <c r="N32" s="463">
        <f>SUM(B32:M32)</f>
        <v>1200000</v>
      </c>
      <c r="O32" s="463">
        <f>N32*1.06</f>
        <v>1272000</v>
      </c>
      <c r="P32" s="463">
        <f>O32*1.06</f>
        <v>1348320</v>
      </c>
    </row>
    <row r="33" spans="1:16" x14ac:dyDescent="0.2">
      <c r="A33" s="480" t="s">
        <v>2839</v>
      </c>
      <c r="B33" s="243">
        <v>283000</v>
      </c>
      <c r="C33" s="243">
        <v>283000</v>
      </c>
      <c r="D33" s="243">
        <v>283000</v>
      </c>
      <c r="E33" s="243">
        <v>283000</v>
      </c>
      <c r="F33" s="243">
        <v>283000</v>
      </c>
      <c r="G33" s="243">
        <v>283000</v>
      </c>
      <c r="H33" s="243">
        <v>283000</v>
      </c>
      <c r="I33" s="243">
        <v>283000</v>
      </c>
      <c r="J33" s="243">
        <v>283000</v>
      </c>
      <c r="K33" s="243">
        <v>283000</v>
      </c>
      <c r="L33" s="243">
        <v>283000</v>
      </c>
      <c r="M33" s="243">
        <v>283000</v>
      </c>
      <c r="N33" s="463">
        <f>SUM(B33:M33)</f>
        <v>3396000</v>
      </c>
      <c r="O33" s="463">
        <f>N33*1.06</f>
        <v>3599760</v>
      </c>
      <c r="P33" s="463">
        <f>O33*1.06</f>
        <v>3815745.6</v>
      </c>
    </row>
    <row r="34" spans="1:16" x14ac:dyDescent="0.2">
      <c r="A34" s="449"/>
      <c r="B34" s="449"/>
      <c r="C34" s="449"/>
      <c r="D34" s="449"/>
      <c r="E34" s="449"/>
      <c r="F34" s="449"/>
      <c r="G34" s="449"/>
      <c r="H34" s="449"/>
      <c r="I34" s="449"/>
      <c r="J34" s="449"/>
      <c r="K34" s="449"/>
      <c r="L34" s="449"/>
      <c r="M34" s="449"/>
      <c r="N34" s="449"/>
      <c r="O34" s="449"/>
      <c r="P34" s="449"/>
    </row>
    <row r="35" spans="1:16" x14ac:dyDescent="0.2">
      <c r="A35" s="438" t="s">
        <v>2847</v>
      </c>
      <c r="B35" s="325">
        <f>SUM(B31:B34)</f>
        <v>383000</v>
      </c>
      <c r="C35" s="325">
        <f t="shared" ref="C35:P35" si="7">SUM(C31:C34)</f>
        <v>383000</v>
      </c>
      <c r="D35" s="325">
        <f t="shared" si="7"/>
        <v>383000</v>
      </c>
      <c r="E35" s="325">
        <f t="shared" si="7"/>
        <v>383000</v>
      </c>
      <c r="F35" s="325">
        <f t="shared" si="7"/>
        <v>383000</v>
      </c>
      <c r="G35" s="325">
        <f t="shared" si="7"/>
        <v>383000</v>
      </c>
      <c r="H35" s="325">
        <f t="shared" si="7"/>
        <v>383000</v>
      </c>
      <c r="I35" s="325">
        <f t="shared" si="7"/>
        <v>383000</v>
      </c>
      <c r="J35" s="325">
        <f t="shared" si="7"/>
        <v>383000</v>
      </c>
      <c r="K35" s="325">
        <f t="shared" si="7"/>
        <v>383000</v>
      </c>
      <c r="L35" s="325">
        <f t="shared" si="7"/>
        <v>383000</v>
      </c>
      <c r="M35" s="325">
        <f t="shared" si="7"/>
        <v>383000</v>
      </c>
      <c r="N35" s="325">
        <f t="shared" si="7"/>
        <v>4596000</v>
      </c>
      <c r="O35" s="325">
        <f t="shared" si="7"/>
        <v>4871760</v>
      </c>
      <c r="P35" s="325">
        <f t="shared" si="7"/>
        <v>5164065.5999999996</v>
      </c>
    </row>
    <row r="36" spans="1:16" x14ac:dyDescent="0.2">
      <c r="A36" s="449"/>
      <c r="B36" s="449"/>
      <c r="C36" s="449"/>
      <c r="D36" s="449"/>
      <c r="E36" s="449"/>
      <c r="F36" s="449"/>
      <c r="G36" s="449"/>
      <c r="H36" s="449"/>
      <c r="I36" s="449"/>
      <c r="J36" s="449"/>
      <c r="K36" s="449"/>
      <c r="L36" s="449"/>
      <c r="M36" s="449"/>
      <c r="N36" s="449"/>
      <c r="O36" s="449"/>
      <c r="P36" s="449"/>
    </row>
    <row r="37" spans="1:16" x14ac:dyDescent="0.2">
      <c r="A37" s="420" t="s">
        <v>2848</v>
      </c>
      <c r="B37" s="449"/>
      <c r="C37" s="449"/>
      <c r="D37" s="449"/>
      <c r="E37" s="449"/>
      <c r="F37" s="449"/>
      <c r="G37" s="449"/>
      <c r="H37" s="449"/>
      <c r="I37" s="449"/>
      <c r="J37" s="449"/>
      <c r="K37" s="449"/>
      <c r="L37" s="449"/>
      <c r="M37" s="449"/>
      <c r="N37" s="449"/>
      <c r="O37" s="449"/>
      <c r="P37" s="449"/>
    </row>
    <row r="38" spans="1:16" x14ac:dyDescent="0.2">
      <c r="A38" s="449"/>
      <c r="B38" s="449"/>
      <c r="C38" s="449"/>
      <c r="D38" s="449"/>
      <c r="E38" s="449"/>
      <c r="F38" s="449"/>
      <c r="G38" s="449"/>
      <c r="H38" s="449"/>
      <c r="I38" s="449"/>
      <c r="J38" s="449"/>
      <c r="K38" s="449"/>
      <c r="L38" s="449"/>
      <c r="M38" s="449"/>
      <c r="N38" s="449"/>
      <c r="O38" s="449"/>
      <c r="P38" s="449"/>
    </row>
    <row r="39" spans="1:16" x14ac:dyDescent="0.2">
      <c r="A39" s="449" t="s">
        <v>3283</v>
      </c>
      <c r="B39" s="243">
        <f>$N39/12</f>
        <v>2746432.5833333335</v>
      </c>
      <c r="C39" s="243">
        <f t="shared" ref="C39:M43" si="8">$N39/12</f>
        <v>2746432.5833333335</v>
      </c>
      <c r="D39" s="243">
        <f t="shared" si="8"/>
        <v>2746432.5833333335</v>
      </c>
      <c r="E39" s="243">
        <f t="shared" si="8"/>
        <v>2746432.5833333335</v>
      </c>
      <c r="F39" s="243">
        <f t="shared" si="8"/>
        <v>2746432.5833333335</v>
      </c>
      <c r="G39" s="243">
        <f t="shared" si="8"/>
        <v>2746432.5833333335</v>
      </c>
      <c r="H39" s="243">
        <f t="shared" si="8"/>
        <v>2746432.5833333335</v>
      </c>
      <c r="I39" s="243">
        <f t="shared" si="8"/>
        <v>2746432.5833333335</v>
      </c>
      <c r="J39" s="243">
        <f t="shared" si="8"/>
        <v>2746432.5833333335</v>
      </c>
      <c r="K39" s="243">
        <f t="shared" si="8"/>
        <v>2746432.5833333335</v>
      </c>
      <c r="L39" s="243">
        <f t="shared" si="8"/>
        <v>2746432.5833333335</v>
      </c>
      <c r="M39" s="243">
        <f t="shared" si="8"/>
        <v>2746432.5833333335</v>
      </c>
      <c r="N39" s="243">
        <f>'Table 6 - Exp by Type'!F9</f>
        <v>32957191</v>
      </c>
      <c r="O39" s="243">
        <f>'Table 6 - Exp by Type'!G9</f>
        <v>35569437</v>
      </c>
      <c r="P39" s="243">
        <f>'Table 6 - Exp by Type'!H9</f>
        <v>38415001</v>
      </c>
    </row>
    <row r="40" spans="1:16" x14ac:dyDescent="0.2">
      <c r="A40" s="498" t="s">
        <v>3284</v>
      </c>
      <c r="B40" s="243">
        <f>$N40/12</f>
        <v>181241.66666666666</v>
      </c>
      <c r="C40" s="243">
        <f t="shared" si="8"/>
        <v>181241.66666666666</v>
      </c>
      <c r="D40" s="243">
        <f t="shared" si="8"/>
        <v>181241.66666666666</v>
      </c>
      <c r="E40" s="243">
        <f t="shared" si="8"/>
        <v>181241.66666666666</v>
      </c>
      <c r="F40" s="243">
        <f t="shared" si="8"/>
        <v>181241.66666666666</v>
      </c>
      <c r="G40" s="243">
        <f t="shared" si="8"/>
        <v>181241.66666666666</v>
      </c>
      <c r="H40" s="243">
        <f t="shared" si="8"/>
        <v>181241.66666666666</v>
      </c>
      <c r="I40" s="243">
        <f t="shared" si="8"/>
        <v>181241.66666666666</v>
      </c>
      <c r="J40" s="243">
        <f t="shared" si="8"/>
        <v>181241.66666666666</v>
      </c>
      <c r="K40" s="243">
        <f t="shared" si="8"/>
        <v>181241.66666666666</v>
      </c>
      <c r="L40" s="243">
        <f t="shared" si="8"/>
        <v>181241.66666666666</v>
      </c>
      <c r="M40" s="243">
        <f t="shared" si="8"/>
        <v>181241.66666666666</v>
      </c>
      <c r="N40" s="243">
        <f>'Table 6 - Exp by Type'!F10</f>
        <v>2174900</v>
      </c>
      <c r="O40" s="243">
        <f>'Table 6 - Exp by Type'!G10</f>
        <v>2348893</v>
      </c>
      <c r="P40" s="243">
        <f>'Table 6 - Exp by Type'!H10</f>
        <v>2536805</v>
      </c>
    </row>
    <row r="41" spans="1:16" x14ac:dyDescent="0.2">
      <c r="A41" s="498" t="s">
        <v>3288</v>
      </c>
      <c r="B41" s="243">
        <f>$N41/12</f>
        <v>83238.75</v>
      </c>
      <c r="C41" s="243">
        <f t="shared" si="8"/>
        <v>83238.75</v>
      </c>
      <c r="D41" s="243">
        <f t="shared" si="8"/>
        <v>83238.75</v>
      </c>
      <c r="E41" s="243">
        <f t="shared" si="8"/>
        <v>83238.75</v>
      </c>
      <c r="F41" s="243">
        <f t="shared" si="8"/>
        <v>83238.75</v>
      </c>
      <c r="G41" s="243">
        <f t="shared" si="8"/>
        <v>83238.75</v>
      </c>
      <c r="H41" s="243">
        <f t="shared" si="8"/>
        <v>83238.75</v>
      </c>
      <c r="I41" s="243">
        <f t="shared" si="8"/>
        <v>83238.75</v>
      </c>
      <c r="J41" s="243">
        <f t="shared" si="8"/>
        <v>83238.75</v>
      </c>
      <c r="K41" s="243">
        <f t="shared" si="8"/>
        <v>83238.75</v>
      </c>
      <c r="L41" s="243">
        <f t="shared" si="8"/>
        <v>83238.75</v>
      </c>
      <c r="M41" s="243">
        <f t="shared" si="8"/>
        <v>83238.75</v>
      </c>
      <c r="N41" s="243">
        <f>'Table 6 - Exp by Type'!F12</f>
        <v>998865</v>
      </c>
      <c r="O41" s="243">
        <f>'Table 6 - Exp by Type'!G12</f>
        <v>1058797</v>
      </c>
      <c r="P41" s="243">
        <f>'Table 6 - Exp by Type'!H12</f>
        <v>1122325</v>
      </c>
    </row>
    <row r="42" spans="1:16" x14ac:dyDescent="0.2">
      <c r="A42" s="498" t="s">
        <v>3289</v>
      </c>
      <c r="B42" s="243">
        <f>$N42/12</f>
        <v>327738.25</v>
      </c>
      <c r="C42" s="243">
        <f t="shared" si="8"/>
        <v>327738.25</v>
      </c>
      <c r="D42" s="243">
        <f t="shared" si="8"/>
        <v>327738.25</v>
      </c>
      <c r="E42" s="243">
        <f t="shared" si="8"/>
        <v>327738.25</v>
      </c>
      <c r="F42" s="243">
        <f t="shared" si="8"/>
        <v>327738.25</v>
      </c>
      <c r="G42" s="243">
        <f t="shared" si="8"/>
        <v>327738.25</v>
      </c>
      <c r="H42" s="243">
        <f t="shared" si="8"/>
        <v>327738.25</v>
      </c>
      <c r="I42" s="243">
        <f t="shared" si="8"/>
        <v>327738.25</v>
      </c>
      <c r="J42" s="243">
        <f t="shared" si="8"/>
        <v>327738.25</v>
      </c>
      <c r="K42" s="243">
        <f t="shared" si="8"/>
        <v>327738.25</v>
      </c>
      <c r="L42" s="243">
        <f t="shared" si="8"/>
        <v>327738.25</v>
      </c>
      <c r="M42" s="243">
        <f t="shared" si="8"/>
        <v>327738.25</v>
      </c>
      <c r="N42" s="243">
        <f>'Table 6 - Exp by Type'!F14</f>
        <v>3932859</v>
      </c>
      <c r="O42" s="243">
        <f>'Table 6 - Exp by Type'!G14</f>
        <v>4167782</v>
      </c>
      <c r="P42" s="243">
        <f>'Table 6 - Exp by Type'!H14</f>
        <v>4416750</v>
      </c>
    </row>
    <row r="43" spans="1:16" x14ac:dyDescent="0.2">
      <c r="A43" s="498" t="s">
        <v>3292</v>
      </c>
      <c r="B43" s="243">
        <f>$N43/12</f>
        <v>419232.91666666669</v>
      </c>
      <c r="C43" s="243">
        <f t="shared" si="8"/>
        <v>419232.91666666669</v>
      </c>
      <c r="D43" s="243">
        <f t="shared" si="8"/>
        <v>419232.91666666669</v>
      </c>
      <c r="E43" s="243">
        <f t="shared" si="8"/>
        <v>419232.91666666669</v>
      </c>
      <c r="F43" s="243">
        <f t="shared" si="8"/>
        <v>419232.91666666669</v>
      </c>
      <c r="G43" s="243">
        <f t="shared" si="8"/>
        <v>419232.91666666669</v>
      </c>
      <c r="H43" s="243">
        <f t="shared" si="8"/>
        <v>419232.91666666669</v>
      </c>
      <c r="I43" s="243">
        <f t="shared" si="8"/>
        <v>419232.91666666669</v>
      </c>
      <c r="J43" s="243">
        <f t="shared" si="8"/>
        <v>419232.91666666669</v>
      </c>
      <c r="K43" s="243">
        <f t="shared" si="8"/>
        <v>419232.91666666669</v>
      </c>
      <c r="L43" s="243">
        <f t="shared" si="8"/>
        <v>419232.91666666669</v>
      </c>
      <c r="M43" s="243">
        <f t="shared" si="8"/>
        <v>419232.91666666669</v>
      </c>
      <c r="N43" s="243">
        <f>'Table 6 - Exp by Type'!F15</f>
        <v>5030795</v>
      </c>
      <c r="O43" s="243">
        <f>'Table 6 - Exp by Type'!G15</f>
        <v>5629154</v>
      </c>
      <c r="P43" s="243">
        <f>'Table 6 - Exp by Type'!H15</f>
        <v>5553208</v>
      </c>
    </row>
    <row r="44" spans="1:16" x14ac:dyDescent="0.2">
      <c r="A44" s="498" t="s">
        <v>3285</v>
      </c>
      <c r="B44" s="243">
        <f>B$11/$N$11*$N$44</f>
        <v>1078443.5666666667</v>
      </c>
      <c r="C44" s="243">
        <f t="shared" ref="C44:M44" si="9">C$11/$N$11*$N$44</f>
        <v>1186287.9233333336</v>
      </c>
      <c r="D44" s="243">
        <f t="shared" si="9"/>
        <v>949030.33866666688</v>
      </c>
      <c r="E44" s="243">
        <f t="shared" si="9"/>
        <v>711772.75400000007</v>
      </c>
      <c r="F44" s="243">
        <f t="shared" si="9"/>
        <v>640595.47860000015</v>
      </c>
      <c r="G44" s="243">
        <f t="shared" si="9"/>
        <v>576535.9307400001</v>
      </c>
      <c r="H44" s="243">
        <f t="shared" si="9"/>
        <v>518882.33766600006</v>
      </c>
      <c r="I44" s="243">
        <f t="shared" si="9"/>
        <v>605362.7272770002</v>
      </c>
      <c r="J44" s="243">
        <f t="shared" si="9"/>
        <v>611416.35454977013</v>
      </c>
      <c r="K44" s="243">
        <f t="shared" si="9"/>
        <v>672557.99000474717</v>
      </c>
      <c r="L44" s="243">
        <f t="shared" si="9"/>
        <v>722402.12319493562</v>
      </c>
      <c r="M44" s="243">
        <f t="shared" si="9"/>
        <v>970599.21000000008</v>
      </c>
      <c r="N44" s="243">
        <f>'Table 6 - Exp by Type'!F16</f>
        <v>9243802</v>
      </c>
      <c r="O44" s="243">
        <f>'Table 6 - Exp by Type'!G16</f>
        <v>11628703</v>
      </c>
      <c r="P44" s="243">
        <f>'Table 6 - Exp by Type'!H16</f>
        <v>14640537</v>
      </c>
    </row>
    <row r="45" spans="1:16" x14ac:dyDescent="0.2">
      <c r="A45" s="498" t="s">
        <v>3291</v>
      </c>
      <c r="B45" s="444">
        <v>0</v>
      </c>
      <c r="C45" s="444">
        <v>0</v>
      </c>
      <c r="D45" s="444">
        <v>0</v>
      </c>
      <c r="E45" s="444">
        <v>0</v>
      </c>
      <c r="F45" s="444">
        <v>0</v>
      </c>
      <c r="G45" s="444">
        <v>0</v>
      </c>
      <c r="H45" s="444">
        <v>0</v>
      </c>
      <c r="I45" s="444">
        <v>0</v>
      </c>
      <c r="J45" s="444">
        <v>0</v>
      </c>
      <c r="K45" s="444">
        <v>0</v>
      </c>
      <c r="L45" s="444">
        <v>0</v>
      </c>
      <c r="M45" s="444">
        <v>0</v>
      </c>
      <c r="N45" s="444">
        <v>0</v>
      </c>
      <c r="O45" s="444">
        <v>0</v>
      </c>
      <c r="P45" s="444">
        <v>0</v>
      </c>
    </row>
    <row r="46" spans="1:16" x14ac:dyDescent="0.2">
      <c r="A46" s="498" t="s">
        <v>3293</v>
      </c>
      <c r="B46" s="444">
        <v>0</v>
      </c>
      <c r="C46" s="444">
        <v>0</v>
      </c>
      <c r="D46" s="444">
        <v>0</v>
      </c>
      <c r="E46" s="444">
        <v>0</v>
      </c>
      <c r="F46" s="444">
        <v>0</v>
      </c>
      <c r="G46" s="444">
        <v>0</v>
      </c>
      <c r="H46" s="444">
        <v>0</v>
      </c>
      <c r="I46" s="444">
        <v>0</v>
      </c>
      <c r="J46" s="444">
        <v>0</v>
      </c>
      <c r="K46" s="444">
        <v>0</v>
      </c>
      <c r="L46" s="444">
        <v>0</v>
      </c>
      <c r="M46" s="444">
        <v>0</v>
      </c>
      <c r="N46" s="444">
        <v>0</v>
      </c>
      <c r="O46" s="444">
        <v>0</v>
      </c>
      <c r="P46" s="444">
        <v>0</v>
      </c>
    </row>
    <row r="47" spans="1:16" x14ac:dyDescent="0.2">
      <c r="A47" s="539" t="s">
        <v>2840</v>
      </c>
      <c r="B47" s="243">
        <f>$N47/12</f>
        <v>1980893.0833333333</v>
      </c>
      <c r="C47" s="243">
        <f t="shared" ref="C47:M47" si="10">$N47/12</f>
        <v>1980893.0833333333</v>
      </c>
      <c r="D47" s="243">
        <f t="shared" si="10"/>
        <v>1980893.0833333333</v>
      </c>
      <c r="E47" s="243">
        <f t="shared" si="10"/>
        <v>1980893.0833333333</v>
      </c>
      <c r="F47" s="243">
        <f t="shared" si="10"/>
        <v>1980893.0833333333</v>
      </c>
      <c r="G47" s="243">
        <f t="shared" si="10"/>
        <v>1980893.0833333333</v>
      </c>
      <c r="H47" s="243">
        <f t="shared" si="10"/>
        <v>1980893.0833333333</v>
      </c>
      <c r="I47" s="243">
        <f t="shared" si="10"/>
        <v>1980893.0833333333</v>
      </c>
      <c r="J47" s="243">
        <f t="shared" si="10"/>
        <v>1980893.0833333333</v>
      </c>
      <c r="K47" s="243">
        <f t="shared" si="10"/>
        <v>1980893.0833333333</v>
      </c>
      <c r="L47" s="243">
        <f t="shared" si="10"/>
        <v>1980893.0833333333</v>
      </c>
      <c r="M47" s="243">
        <f t="shared" si="10"/>
        <v>1980893.0833333333</v>
      </c>
      <c r="N47" s="243">
        <f>+'Table 6 - Exp by Type'!F20+'Table 6 - Exp by Type'!F21+'Table 6 - Exp by Type'!F22+'Table 6 - Exp by Type'!F23+'Table 6 - Exp by Type'!F24+'Table 6 - Exp by Type'!F25+'Table 6 - Exp by Type'!F27+'Table 6 - Exp by Type'!F28+'Table 6 - Exp by Type'!F29</f>
        <v>23770717</v>
      </c>
      <c r="O47" s="243">
        <f>'Table 6 - Exp by Type'!G13+'Table 6 - Exp by Type'!G20+'Table 6 - Exp by Type'!G21+'Table 6 - Exp by Type'!G22+'Table 6 - Exp by Type'!G23+'Table 6 - Exp by Type'!G24+'Table 6 - Exp by Type'!G25+'Table 6 - Exp by Type'!G27+'Table 6 - Exp by Type'!G28+'Table 6 - Exp by Type'!G29</f>
        <v>25871121</v>
      </c>
      <c r="P47" s="243">
        <f>'Table 6 - Exp by Type'!H13+'Table 6 - Exp by Type'!H20+'Table 6 - Exp by Type'!H21+'Table 6 - Exp by Type'!H22+'Table 6 - Exp by Type'!H23+'Table 6 - Exp by Type'!H24+'Table 6 - Exp by Type'!H25+'Table 6 - Exp by Type'!H27+'Table 6 - Exp by Type'!H28+'Table 6 - Exp by Type'!H29</f>
        <v>27968571</v>
      </c>
    </row>
    <row r="48" spans="1:16" x14ac:dyDescent="0.2">
      <c r="A48" s="449"/>
      <c r="B48" s="449"/>
      <c r="C48" s="449"/>
      <c r="D48" s="449"/>
      <c r="E48" s="449"/>
      <c r="F48" s="449"/>
      <c r="G48" s="449"/>
      <c r="H48" s="449"/>
      <c r="I48" s="449"/>
      <c r="J48" s="449"/>
      <c r="K48" s="449"/>
      <c r="L48" s="449"/>
      <c r="M48" s="449"/>
      <c r="N48" s="449"/>
      <c r="O48" s="449"/>
      <c r="P48" s="449"/>
    </row>
    <row r="49" spans="1:16" x14ac:dyDescent="0.2">
      <c r="A49" s="438" t="s">
        <v>2848</v>
      </c>
      <c r="B49" s="325">
        <f>SUM(B39:B48)</f>
        <v>6817220.8166666664</v>
      </c>
      <c r="C49" s="325">
        <f t="shared" ref="C49:P49" si="11">SUM(C39:C48)</f>
        <v>6925065.1733333329</v>
      </c>
      <c r="D49" s="325">
        <f t="shared" si="11"/>
        <v>6687807.5886666663</v>
      </c>
      <c r="E49" s="325">
        <f t="shared" si="11"/>
        <v>6450550.0039999997</v>
      </c>
      <c r="F49" s="325">
        <f t="shared" si="11"/>
        <v>6379372.7286</v>
      </c>
      <c r="G49" s="325">
        <f t="shared" si="11"/>
        <v>6315313.1807399997</v>
      </c>
      <c r="H49" s="325">
        <f t="shared" si="11"/>
        <v>6257659.5876659993</v>
      </c>
      <c r="I49" s="325">
        <f t="shared" si="11"/>
        <v>6344139.9772769995</v>
      </c>
      <c r="J49" s="325">
        <f t="shared" si="11"/>
        <v>6350193.6045497693</v>
      </c>
      <c r="K49" s="325">
        <f t="shared" si="11"/>
        <v>6411335.2400047472</v>
      </c>
      <c r="L49" s="325">
        <f t="shared" si="11"/>
        <v>6461179.3731949348</v>
      </c>
      <c r="M49" s="325">
        <f t="shared" si="11"/>
        <v>6709376.46</v>
      </c>
      <c r="N49" s="325">
        <f>SUM(N39:N48)</f>
        <v>78109129</v>
      </c>
      <c r="O49" s="325">
        <f t="shared" si="11"/>
        <v>86273887</v>
      </c>
      <c r="P49" s="325">
        <f t="shared" si="11"/>
        <v>94653197</v>
      </c>
    </row>
    <row r="50" spans="1:16" x14ac:dyDescent="0.2">
      <c r="A50" s="449"/>
      <c r="B50" s="449"/>
      <c r="C50" s="449"/>
      <c r="D50" s="449"/>
      <c r="E50" s="449"/>
      <c r="F50" s="449"/>
      <c r="G50" s="449"/>
      <c r="H50" s="449"/>
      <c r="I50" s="449"/>
      <c r="J50" s="449"/>
      <c r="K50" s="449"/>
      <c r="L50" s="449"/>
      <c r="M50" s="449"/>
      <c r="N50" s="449"/>
      <c r="O50" s="449"/>
      <c r="P50" s="449"/>
    </row>
    <row r="51" spans="1:16" x14ac:dyDescent="0.2">
      <c r="A51" s="420" t="s">
        <v>2849</v>
      </c>
      <c r="B51" s="449"/>
      <c r="C51" s="449"/>
      <c r="D51" s="449"/>
      <c r="E51" s="449"/>
      <c r="F51" s="449"/>
      <c r="G51" s="449"/>
      <c r="H51" s="449"/>
      <c r="I51" s="449"/>
      <c r="J51" s="449"/>
      <c r="K51" s="449"/>
      <c r="L51" s="449"/>
      <c r="M51" s="449"/>
      <c r="N51" s="449"/>
      <c r="O51" s="449"/>
      <c r="P51" s="449"/>
    </row>
    <row r="52" spans="1:16" x14ac:dyDescent="0.2">
      <c r="A52" s="449"/>
      <c r="B52" s="449"/>
      <c r="C52" s="449"/>
      <c r="D52" s="449"/>
      <c r="E52" s="449"/>
      <c r="F52" s="449"/>
      <c r="G52" s="449"/>
      <c r="H52" s="449"/>
      <c r="I52" s="449"/>
      <c r="J52" s="449"/>
      <c r="K52" s="449"/>
      <c r="L52" s="449"/>
      <c r="M52" s="449"/>
      <c r="N52" s="449"/>
      <c r="O52" s="449"/>
      <c r="P52" s="449"/>
    </row>
    <row r="53" spans="1:16" x14ac:dyDescent="0.2">
      <c r="A53" s="449" t="s">
        <v>2850</v>
      </c>
      <c r="B53" s="243">
        <f>$N53/12</f>
        <v>1311422.5833333333</v>
      </c>
      <c r="C53" s="243">
        <f t="shared" ref="C53:M54" si="12">$N53/12</f>
        <v>1311422.5833333333</v>
      </c>
      <c r="D53" s="243">
        <f t="shared" si="12"/>
        <v>1311422.5833333333</v>
      </c>
      <c r="E53" s="243">
        <f t="shared" si="12"/>
        <v>1311422.5833333333</v>
      </c>
      <c r="F53" s="243">
        <f t="shared" si="12"/>
        <v>1311422.5833333333</v>
      </c>
      <c r="G53" s="243">
        <f t="shared" si="12"/>
        <v>1311422.5833333333</v>
      </c>
      <c r="H53" s="243">
        <f t="shared" si="12"/>
        <v>1311422.5833333333</v>
      </c>
      <c r="I53" s="243">
        <f t="shared" si="12"/>
        <v>1311422.5833333333</v>
      </c>
      <c r="J53" s="243">
        <f t="shared" si="12"/>
        <v>1311422.5833333333</v>
      </c>
      <c r="K53" s="243">
        <f t="shared" si="12"/>
        <v>1311422.5833333333</v>
      </c>
      <c r="L53" s="243">
        <f t="shared" si="12"/>
        <v>1311422.5833333333</v>
      </c>
      <c r="M53" s="243">
        <f t="shared" si="12"/>
        <v>1311422.5833333333</v>
      </c>
      <c r="N53" s="463">
        <f>N22</f>
        <v>15737071</v>
      </c>
      <c r="O53" s="463">
        <f>O22</f>
        <v>15831000</v>
      </c>
      <c r="P53" s="463">
        <f>P22</f>
        <v>19384000</v>
      </c>
    </row>
    <row r="54" spans="1:16" x14ac:dyDescent="0.2">
      <c r="A54" s="449" t="s">
        <v>2851</v>
      </c>
      <c r="B54" s="243">
        <f>$N54/12</f>
        <v>193512.83333333334</v>
      </c>
      <c r="C54" s="243">
        <f t="shared" si="12"/>
        <v>193512.83333333334</v>
      </c>
      <c r="D54" s="243">
        <f t="shared" si="12"/>
        <v>193512.83333333334</v>
      </c>
      <c r="E54" s="243">
        <f t="shared" si="12"/>
        <v>193512.83333333334</v>
      </c>
      <c r="F54" s="243">
        <f t="shared" si="12"/>
        <v>193512.83333333334</v>
      </c>
      <c r="G54" s="243">
        <f t="shared" si="12"/>
        <v>193512.83333333334</v>
      </c>
      <c r="H54" s="243">
        <f t="shared" si="12"/>
        <v>193512.83333333334</v>
      </c>
      <c r="I54" s="243">
        <f t="shared" si="12"/>
        <v>193512.83333333334</v>
      </c>
      <c r="J54" s="243">
        <f t="shared" si="12"/>
        <v>193512.83333333334</v>
      </c>
      <c r="K54" s="243">
        <f t="shared" si="12"/>
        <v>193512.83333333334</v>
      </c>
      <c r="L54" s="243">
        <f t="shared" si="12"/>
        <v>193512.83333333334</v>
      </c>
      <c r="M54" s="243">
        <f t="shared" si="12"/>
        <v>193512.83333333334</v>
      </c>
      <c r="N54" s="463">
        <f>'OPEX_ Bdgt_F'!H3164+'OPEX_ Bdgt_F'!H3206</f>
        <v>2322154</v>
      </c>
      <c r="O54" s="463">
        <f>'OPEX_ Bdgt_F'!I3164+'OPEX_ Bdgt_F'!I3206</f>
        <v>2322154</v>
      </c>
      <c r="P54" s="463">
        <f>'OPEX_ Bdgt_F'!J3164+'OPEX_ Bdgt_F'!J3206</f>
        <v>2322154</v>
      </c>
    </row>
    <row r="55" spans="1:16" x14ac:dyDescent="0.2">
      <c r="A55" s="449" t="s">
        <v>2843</v>
      </c>
      <c r="B55" s="444">
        <v>0</v>
      </c>
      <c r="C55" s="444">
        <v>0</v>
      </c>
      <c r="D55" s="444">
        <v>0</v>
      </c>
      <c r="E55" s="444">
        <v>0</v>
      </c>
      <c r="F55" s="444">
        <v>0</v>
      </c>
      <c r="G55" s="444">
        <v>0</v>
      </c>
      <c r="H55" s="444">
        <v>0</v>
      </c>
      <c r="I55" s="444">
        <v>0</v>
      </c>
      <c r="J55" s="444">
        <v>0</v>
      </c>
      <c r="K55" s="444">
        <v>0</v>
      </c>
      <c r="L55" s="444">
        <v>0</v>
      </c>
      <c r="M55" s="444">
        <v>0</v>
      </c>
      <c r="N55" s="444">
        <v>0</v>
      </c>
      <c r="O55" s="444">
        <v>0</v>
      </c>
      <c r="P55" s="444">
        <v>0</v>
      </c>
    </row>
    <row r="56" spans="1:16" x14ac:dyDescent="0.2">
      <c r="A56" s="449"/>
      <c r="B56" s="449"/>
      <c r="C56" s="449"/>
      <c r="D56" s="449"/>
      <c r="E56" s="449"/>
      <c r="F56" s="449"/>
      <c r="G56" s="449"/>
      <c r="H56" s="449"/>
      <c r="I56" s="449"/>
      <c r="J56" s="449"/>
      <c r="K56" s="449"/>
      <c r="L56" s="449"/>
      <c r="M56" s="449"/>
      <c r="N56" s="449"/>
      <c r="O56" s="449"/>
      <c r="P56" s="449"/>
    </row>
    <row r="57" spans="1:16" x14ac:dyDescent="0.2">
      <c r="A57" s="438" t="s">
        <v>2852</v>
      </c>
      <c r="B57" s="325">
        <f>SUM(B53:B56)</f>
        <v>1504935.4166666665</v>
      </c>
      <c r="C57" s="325">
        <f t="shared" ref="C57:P57" si="13">SUM(C53:C56)</f>
        <v>1504935.4166666665</v>
      </c>
      <c r="D57" s="325">
        <f t="shared" si="13"/>
        <v>1504935.4166666665</v>
      </c>
      <c r="E57" s="325">
        <f t="shared" si="13"/>
        <v>1504935.4166666665</v>
      </c>
      <c r="F57" s="325">
        <f t="shared" si="13"/>
        <v>1504935.4166666665</v>
      </c>
      <c r="G57" s="325">
        <f t="shared" si="13"/>
        <v>1504935.4166666665</v>
      </c>
      <c r="H57" s="325">
        <f t="shared" si="13"/>
        <v>1504935.4166666665</v>
      </c>
      <c r="I57" s="325">
        <f t="shared" si="13"/>
        <v>1504935.4166666665</v>
      </c>
      <c r="J57" s="325">
        <f t="shared" si="13"/>
        <v>1504935.4166666665</v>
      </c>
      <c r="K57" s="325">
        <f t="shared" si="13"/>
        <v>1504935.4166666665</v>
      </c>
      <c r="L57" s="325">
        <f t="shared" si="13"/>
        <v>1504935.4166666665</v>
      </c>
      <c r="M57" s="325">
        <f t="shared" si="13"/>
        <v>1504935.4166666665</v>
      </c>
      <c r="N57" s="325">
        <f t="shared" si="13"/>
        <v>18059225</v>
      </c>
      <c r="O57" s="325">
        <f t="shared" si="13"/>
        <v>18153154</v>
      </c>
      <c r="P57" s="325">
        <f t="shared" si="13"/>
        <v>21706154</v>
      </c>
    </row>
    <row r="58" spans="1:16" x14ac:dyDescent="0.2">
      <c r="A58" s="449"/>
      <c r="B58" s="449"/>
      <c r="C58" s="449"/>
      <c r="D58" s="449"/>
      <c r="E58" s="449"/>
      <c r="F58" s="449"/>
      <c r="G58" s="449"/>
      <c r="H58" s="449"/>
      <c r="I58" s="449"/>
      <c r="J58" s="449"/>
      <c r="K58" s="449"/>
      <c r="L58" s="449"/>
      <c r="M58" s="449"/>
      <c r="N58" s="449"/>
      <c r="O58" s="449"/>
      <c r="P58" s="449"/>
    </row>
    <row r="59" spans="1:16" x14ac:dyDescent="0.2">
      <c r="A59" s="438" t="s">
        <v>2853</v>
      </c>
      <c r="B59" s="325">
        <f t="shared" ref="B59:P59" si="14">(B27+B35)-(B49+B57)</f>
        <v>8252548.2966666669</v>
      </c>
      <c r="C59" s="325">
        <f t="shared" si="14"/>
        <v>-1129996.223666667</v>
      </c>
      <c r="D59" s="325">
        <f t="shared" si="14"/>
        <v>-2233926.0500333318</v>
      </c>
      <c r="E59" s="325">
        <f t="shared" si="14"/>
        <v>7438531.4112300016</v>
      </c>
      <c r="F59" s="325">
        <f t="shared" si="14"/>
        <v>-2312724.4192470005</v>
      </c>
      <c r="G59" s="325">
        <f t="shared" si="14"/>
        <v>-2281631.6706116991</v>
      </c>
      <c r="H59" s="325">
        <f t="shared" si="14"/>
        <v>7532005.2188311331</v>
      </c>
      <c r="I59" s="325">
        <f t="shared" si="14"/>
        <v>-2090811.8712369548</v>
      </c>
      <c r="J59" s="325">
        <f t="shared" si="14"/>
        <v>-2076860.6049493244</v>
      </c>
      <c r="K59" s="325">
        <f t="shared" si="14"/>
        <v>6481605.8828814477</v>
      </c>
      <c r="L59" s="325">
        <f t="shared" si="14"/>
        <v>-3614785.6046710769</v>
      </c>
      <c r="M59" s="325">
        <f t="shared" si="14"/>
        <v>-3374609.1835981337</v>
      </c>
      <c r="N59" s="325">
        <f>(N27+N35)-(N49+N57)</f>
        <v>10561858</v>
      </c>
      <c r="O59" s="325">
        <f t="shared" si="14"/>
        <v>11436380</v>
      </c>
      <c r="P59" s="325">
        <f t="shared" si="14"/>
        <v>18396794.599999994</v>
      </c>
    </row>
    <row r="61" spans="1:16" x14ac:dyDescent="0.2">
      <c r="A61" s="441" t="s">
        <v>1132</v>
      </c>
    </row>
    <row r="62" spans="1:16" x14ac:dyDescent="0.2">
      <c r="A62" s="413" t="s">
        <v>2854</v>
      </c>
    </row>
    <row r="63" spans="1:16" x14ac:dyDescent="0.2">
      <c r="A63" s="413" t="s">
        <v>2350</v>
      </c>
    </row>
    <row r="64" spans="1:16" x14ac:dyDescent="0.2">
      <c r="A64" s="491" t="s">
        <v>2351</v>
      </c>
    </row>
    <row r="65" spans="1:1" x14ac:dyDescent="0.2">
      <c r="A65" s="491" t="s">
        <v>2352</v>
      </c>
    </row>
    <row r="66" spans="1:1" x14ac:dyDescent="0.2">
      <c r="A66" s="491" t="s">
        <v>2355</v>
      </c>
    </row>
    <row r="67" spans="1:1" x14ac:dyDescent="0.2">
      <c r="A67" s="491" t="s">
        <v>2353</v>
      </c>
    </row>
    <row r="68" spans="1:1" x14ac:dyDescent="0.2">
      <c r="A68" s="491" t="s">
        <v>2354</v>
      </c>
    </row>
  </sheetData>
  <phoneticPr fontId="3" type="noConversion"/>
  <pageMargins left="0.75" right="0.75" top="0.41" bottom="0.27" header="0.3" footer="0.23"/>
  <pageSetup paperSize="9" scale="62"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4"/>
  <sheetViews>
    <sheetView view="pageBreakPreview" zoomScale="60" zoomScaleNormal="100" workbookViewId="0">
      <selection activeCell="A40" sqref="A40"/>
    </sheetView>
  </sheetViews>
  <sheetFormatPr defaultColWidth="10.6640625" defaultRowHeight="12.75" x14ac:dyDescent="0.2"/>
  <cols>
    <col min="1" max="1" width="61.6640625" style="413" bestFit="1" customWidth="1"/>
    <col min="2" max="2" width="33.83203125" style="413" bestFit="1" customWidth="1"/>
    <col min="3" max="3" width="9" style="413" customWidth="1"/>
    <col min="4" max="16384" width="10.6640625" style="413"/>
  </cols>
  <sheetData>
    <row r="1" spans="1:3" x14ac:dyDescent="0.2">
      <c r="A1" s="406" t="s">
        <v>2356</v>
      </c>
      <c r="B1" s="499"/>
      <c r="C1" s="406" t="s">
        <v>2357</v>
      </c>
    </row>
    <row r="2" spans="1:3" x14ac:dyDescent="0.2">
      <c r="A2" s="414"/>
      <c r="B2" s="420"/>
      <c r="C2" s="414" t="s">
        <v>2358</v>
      </c>
    </row>
    <row r="3" spans="1:3" x14ac:dyDescent="0.2">
      <c r="A3" s="414" t="s">
        <v>2359</v>
      </c>
      <c r="B3" s="430" t="s">
        <v>2360</v>
      </c>
      <c r="C3" s="500" t="s">
        <v>2732</v>
      </c>
    </row>
    <row r="4" spans="1:3" x14ac:dyDescent="0.2">
      <c r="A4" s="405"/>
      <c r="B4" s="405"/>
      <c r="C4" s="405"/>
    </row>
    <row r="5" spans="1:3" x14ac:dyDescent="0.2">
      <c r="A5" s="449" t="s">
        <v>2361</v>
      </c>
      <c r="B5" s="449"/>
      <c r="C5" s="449"/>
    </row>
    <row r="6" spans="1:3" x14ac:dyDescent="0.2">
      <c r="A6" s="501" t="s">
        <v>2362</v>
      </c>
      <c r="B6" s="449"/>
      <c r="C6" s="449"/>
    </row>
    <row r="7" spans="1:3" x14ac:dyDescent="0.2">
      <c r="A7" s="502" t="s">
        <v>2363</v>
      </c>
      <c r="B7" s="449" t="s">
        <v>2364</v>
      </c>
      <c r="C7" s="503">
        <v>12</v>
      </c>
    </row>
    <row r="8" spans="1:3" x14ac:dyDescent="0.2">
      <c r="A8" s="502" t="s">
        <v>2365</v>
      </c>
      <c r="B8" s="449" t="s">
        <v>2366</v>
      </c>
      <c r="C8" s="503">
        <v>1</v>
      </c>
    </row>
    <row r="9" spans="1:3" x14ac:dyDescent="0.2">
      <c r="A9" s="502" t="s">
        <v>2367</v>
      </c>
      <c r="B9" s="449" t="s">
        <v>2368</v>
      </c>
      <c r="C9" s="503">
        <v>6</v>
      </c>
    </row>
    <row r="10" spans="1:3" x14ac:dyDescent="0.2">
      <c r="A10" s="502" t="s">
        <v>2369</v>
      </c>
      <c r="B10" s="449" t="s">
        <v>2364</v>
      </c>
      <c r="C10" s="503">
        <v>4</v>
      </c>
    </row>
    <row r="11" spans="1:3" x14ac:dyDescent="0.2">
      <c r="A11" s="501" t="s">
        <v>2738</v>
      </c>
      <c r="B11" s="449"/>
      <c r="C11" s="503"/>
    </row>
    <row r="12" spans="1:3" x14ac:dyDescent="0.2">
      <c r="A12" s="495" t="s">
        <v>2370</v>
      </c>
      <c r="B12" s="449"/>
      <c r="C12" s="503"/>
    </row>
    <row r="13" spans="1:3" x14ac:dyDescent="0.2">
      <c r="A13" s="501" t="s">
        <v>2371</v>
      </c>
      <c r="B13" s="449"/>
      <c r="C13" s="503"/>
    </row>
    <row r="14" spans="1:3" x14ac:dyDescent="0.2">
      <c r="A14" s="502" t="s">
        <v>2372</v>
      </c>
      <c r="B14" s="449" t="s">
        <v>2373</v>
      </c>
      <c r="C14" s="503">
        <v>1</v>
      </c>
    </row>
    <row r="15" spans="1:3" x14ac:dyDescent="0.2">
      <c r="A15" s="502" t="s">
        <v>2374</v>
      </c>
      <c r="B15" s="449" t="s">
        <v>2375</v>
      </c>
      <c r="C15" s="503">
        <v>1</v>
      </c>
    </row>
    <row r="16" spans="1:3" x14ac:dyDescent="0.2">
      <c r="A16" s="501" t="s">
        <v>2738</v>
      </c>
      <c r="B16" s="449"/>
      <c r="C16" s="503"/>
    </row>
    <row r="17" spans="1:3" x14ac:dyDescent="0.2">
      <c r="A17" s="495" t="s">
        <v>2376</v>
      </c>
      <c r="B17" s="449"/>
      <c r="C17" s="503"/>
    </row>
    <row r="18" spans="1:3" x14ac:dyDescent="0.2">
      <c r="A18" s="501" t="s">
        <v>2377</v>
      </c>
      <c r="B18" s="449"/>
      <c r="C18" s="503"/>
    </row>
    <row r="19" spans="1:3" x14ac:dyDescent="0.2">
      <c r="A19" s="502" t="s">
        <v>2378</v>
      </c>
      <c r="B19" s="449" t="s">
        <v>2379</v>
      </c>
      <c r="C19" s="503">
        <v>1</v>
      </c>
    </row>
    <row r="20" spans="1:3" x14ac:dyDescent="0.2">
      <c r="A20" s="502" t="s">
        <v>2380</v>
      </c>
      <c r="B20" s="449" t="s">
        <v>2381</v>
      </c>
      <c r="C20" s="503">
        <v>500</v>
      </c>
    </row>
    <row r="21" spans="1:3" x14ac:dyDescent="0.2">
      <c r="A21" s="501" t="s">
        <v>2738</v>
      </c>
      <c r="B21" s="449"/>
      <c r="C21" s="503"/>
    </row>
    <row r="22" spans="1:3" x14ac:dyDescent="0.2">
      <c r="A22" s="495" t="s">
        <v>2382</v>
      </c>
      <c r="B22" s="449"/>
      <c r="C22" s="503"/>
    </row>
    <row r="23" spans="1:3" x14ac:dyDescent="0.2">
      <c r="A23" s="501" t="s">
        <v>2383</v>
      </c>
      <c r="B23" s="449"/>
      <c r="C23" s="503"/>
    </row>
    <row r="24" spans="1:3" x14ac:dyDescent="0.2">
      <c r="A24" s="502" t="s">
        <v>2384</v>
      </c>
      <c r="B24" s="449" t="s">
        <v>2385</v>
      </c>
      <c r="C24" s="503">
        <v>1</v>
      </c>
    </row>
    <row r="25" spans="1:3" x14ac:dyDescent="0.2">
      <c r="A25" s="501" t="s">
        <v>2738</v>
      </c>
      <c r="B25" s="449"/>
      <c r="C25" s="503"/>
    </row>
    <row r="26" spans="1:3" x14ac:dyDescent="0.2">
      <c r="A26" s="495" t="s">
        <v>2386</v>
      </c>
      <c r="B26" s="449"/>
      <c r="C26" s="503"/>
    </row>
    <row r="27" spans="1:3" x14ac:dyDescent="0.2">
      <c r="A27" s="501" t="s">
        <v>2387</v>
      </c>
      <c r="B27" s="449"/>
      <c r="C27" s="503"/>
    </row>
    <row r="28" spans="1:3" x14ac:dyDescent="0.2">
      <c r="A28" s="502" t="s">
        <v>3432</v>
      </c>
      <c r="B28" s="449" t="s">
        <v>3433</v>
      </c>
      <c r="C28" s="503">
        <v>4000</v>
      </c>
    </row>
    <row r="29" spans="1:3" x14ac:dyDescent="0.2">
      <c r="A29" s="502" t="s">
        <v>3434</v>
      </c>
      <c r="B29" s="449" t="s">
        <v>3435</v>
      </c>
      <c r="C29" s="504">
        <v>0.95</v>
      </c>
    </row>
    <row r="30" spans="1:3" x14ac:dyDescent="0.2">
      <c r="A30" s="502" t="s">
        <v>3436</v>
      </c>
      <c r="B30" s="449" t="s">
        <v>3437</v>
      </c>
      <c r="C30" s="504">
        <v>1</v>
      </c>
    </row>
    <row r="31" spans="1:3" x14ac:dyDescent="0.2">
      <c r="A31" s="502" t="s">
        <v>3438</v>
      </c>
      <c r="B31" s="449" t="s">
        <v>3439</v>
      </c>
      <c r="C31" s="503">
        <v>15</v>
      </c>
    </row>
    <row r="32" spans="1:3" x14ac:dyDescent="0.2">
      <c r="A32" s="502" t="s">
        <v>3440</v>
      </c>
      <c r="B32" s="449" t="s">
        <v>3441</v>
      </c>
      <c r="C32" s="503">
        <v>200</v>
      </c>
    </row>
    <row r="33" spans="1:3" x14ac:dyDescent="0.2">
      <c r="A33" s="502" t="s">
        <v>3440</v>
      </c>
      <c r="B33" s="449" t="s">
        <v>3442</v>
      </c>
      <c r="C33" s="503">
        <v>50</v>
      </c>
    </row>
    <row r="34" spans="1:3" x14ac:dyDescent="0.2">
      <c r="A34" s="501" t="s">
        <v>3443</v>
      </c>
      <c r="B34" s="449"/>
      <c r="C34" s="503"/>
    </row>
    <row r="35" spans="1:3" x14ac:dyDescent="0.2">
      <c r="A35" s="502" t="s">
        <v>3444</v>
      </c>
      <c r="B35" s="449" t="s">
        <v>3445</v>
      </c>
      <c r="C35" s="503">
        <v>2000</v>
      </c>
    </row>
    <row r="36" spans="1:3" x14ac:dyDescent="0.2">
      <c r="A36" s="502" t="s">
        <v>3446</v>
      </c>
      <c r="B36" s="449" t="s">
        <v>3447</v>
      </c>
      <c r="C36" s="503">
        <v>20</v>
      </c>
    </row>
    <row r="37" spans="1:3" x14ac:dyDescent="0.2">
      <c r="A37" s="502" t="s">
        <v>3434</v>
      </c>
      <c r="B37" s="449" t="s">
        <v>3435</v>
      </c>
      <c r="C37" s="504">
        <v>0.95</v>
      </c>
    </row>
    <row r="38" spans="1:3" x14ac:dyDescent="0.2">
      <c r="A38" s="502" t="s">
        <v>3436</v>
      </c>
      <c r="B38" s="449" t="s">
        <v>3437</v>
      </c>
      <c r="C38" s="504">
        <v>1</v>
      </c>
    </row>
    <row r="39" spans="1:3" x14ac:dyDescent="0.2">
      <c r="A39" s="501" t="s">
        <v>3448</v>
      </c>
      <c r="B39" s="449"/>
      <c r="C39" s="504"/>
    </row>
    <row r="40" spans="1:3" x14ac:dyDescent="0.2">
      <c r="A40" s="502" t="s">
        <v>3449</v>
      </c>
      <c r="B40" s="449" t="s">
        <v>3450</v>
      </c>
      <c r="C40" s="503">
        <v>400</v>
      </c>
    </row>
    <row r="41" spans="1:3" x14ac:dyDescent="0.2">
      <c r="A41" s="502" t="s">
        <v>2738</v>
      </c>
      <c r="B41" s="449"/>
      <c r="C41" s="503"/>
    </row>
    <row r="42" spans="1:3" x14ac:dyDescent="0.2">
      <c r="A42" s="501" t="s">
        <v>3451</v>
      </c>
      <c r="B42" s="449"/>
      <c r="C42" s="503"/>
    </row>
    <row r="43" spans="1:3" x14ac:dyDescent="0.2">
      <c r="A43" s="502" t="s">
        <v>3452</v>
      </c>
      <c r="B43" s="449" t="s">
        <v>3453</v>
      </c>
      <c r="C43" s="504">
        <v>0.15</v>
      </c>
    </row>
    <row r="44" spans="1:3" x14ac:dyDescent="0.2">
      <c r="A44" s="501" t="s">
        <v>3454</v>
      </c>
      <c r="B44" s="449"/>
      <c r="C44" s="504"/>
    </row>
    <row r="45" spans="1:3" x14ac:dyDescent="0.2">
      <c r="A45" s="502" t="s">
        <v>3455</v>
      </c>
      <c r="B45" s="449" t="s">
        <v>3453</v>
      </c>
      <c r="C45" s="504">
        <v>0.12</v>
      </c>
    </row>
    <row r="46" spans="1:3" x14ac:dyDescent="0.2">
      <c r="A46" s="495" t="s">
        <v>3456</v>
      </c>
      <c r="B46" s="449"/>
      <c r="C46" s="503"/>
    </row>
    <row r="47" spans="1:3" x14ac:dyDescent="0.2">
      <c r="A47" s="501" t="s">
        <v>2371</v>
      </c>
      <c r="B47" s="449"/>
      <c r="C47" s="503"/>
    </row>
    <row r="48" spans="1:3" x14ac:dyDescent="0.2">
      <c r="A48" s="502" t="s">
        <v>3457</v>
      </c>
      <c r="B48" s="449" t="s">
        <v>3458</v>
      </c>
      <c r="C48" s="504">
        <v>0.1</v>
      </c>
    </row>
    <row r="49" spans="1:3" x14ac:dyDescent="0.2">
      <c r="A49" s="502" t="s">
        <v>3459</v>
      </c>
      <c r="B49" s="449" t="s">
        <v>3460</v>
      </c>
      <c r="C49" s="504">
        <v>1</v>
      </c>
    </row>
    <row r="50" spans="1:3" x14ac:dyDescent="0.2">
      <c r="A50" s="505" t="s">
        <v>2738</v>
      </c>
      <c r="B50" s="451"/>
      <c r="C50" s="506"/>
    </row>
    <row r="52" spans="1:3" x14ac:dyDescent="0.2">
      <c r="A52" s="507" t="s">
        <v>1132</v>
      </c>
    </row>
    <row r="53" spans="1:3" x14ac:dyDescent="0.2">
      <c r="A53" s="508" t="s">
        <v>3461</v>
      </c>
    </row>
    <row r="54" spans="1:3" x14ac:dyDescent="0.2">
      <c r="A54" s="413" t="s">
        <v>3462</v>
      </c>
    </row>
  </sheetData>
  <phoneticPr fontId="3" type="noConversion"/>
  <pageMargins left="0.75" right="0.75" top="1" bottom="0.74" header="0.5" footer="0.5"/>
  <pageSetup paperSize="9" scale="65"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
  <sheetViews>
    <sheetView view="pageBreakPreview" topLeftCell="B1" zoomScaleNormal="100" workbookViewId="0">
      <selection activeCell="F9" sqref="F9"/>
    </sheetView>
  </sheetViews>
  <sheetFormatPr defaultColWidth="10.6640625" defaultRowHeight="12.75" x14ac:dyDescent="0.2"/>
  <cols>
    <col min="1" max="1" width="57.83203125" style="413" customWidth="1"/>
    <col min="2" max="2" width="21.33203125" style="413" bestFit="1" customWidth="1"/>
    <col min="3" max="3" width="24" style="413" bestFit="1" customWidth="1"/>
    <col min="4" max="5" width="23.6640625" style="413" bestFit="1" customWidth="1"/>
    <col min="6" max="6" width="23.83203125" style="413" bestFit="1" customWidth="1"/>
    <col min="7" max="8" width="23.83203125" style="413" customWidth="1"/>
    <col min="9" max="16384" width="10.6640625" style="413"/>
  </cols>
  <sheetData>
    <row r="1" spans="1:8" x14ac:dyDescent="0.2">
      <c r="A1" s="405"/>
      <c r="B1" s="406" t="s">
        <v>1096</v>
      </c>
      <c r="C1" s="407" t="s">
        <v>1097</v>
      </c>
      <c r="D1" s="408"/>
      <c r="E1" s="409"/>
      <c r="F1" s="410" t="s">
        <v>1098</v>
      </c>
      <c r="G1" s="411"/>
      <c r="H1" s="412"/>
    </row>
    <row r="2" spans="1:8" x14ac:dyDescent="0.2">
      <c r="A2" s="414" t="s">
        <v>3463</v>
      </c>
      <c r="B2" s="415" t="s">
        <v>1103</v>
      </c>
      <c r="C2" s="416" t="s">
        <v>4093</v>
      </c>
      <c r="D2" s="417"/>
      <c r="E2" s="418"/>
      <c r="F2" s="419" t="s">
        <v>1100</v>
      </c>
      <c r="G2" s="414" t="s">
        <v>1101</v>
      </c>
      <c r="H2" s="414" t="s">
        <v>1102</v>
      </c>
    </row>
    <row r="3" spans="1:8" x14ac:dyDescent="0.2">
      <c r="A3" s="420"/>
      <c r="B3" s="421"/>
      <c r="C3" s="422"/>
      <c r="D3" s="423"/>
      <c r="E3" s="424"/>
      <c r="F3" s="425" t="s">
        <v>4094</v>
      </c>
      <c r="G3" s="425" t="s">
        <v>4095</v>
      </c>
      <c r="H3" s="425" t="s">
        <v>4096</v>
      </c>
    </row>
    <row r="4" spans="1:8" x14ac:dyDescent="0.2">
      <c r="A4" s="414" t="s">
        <v>3464</v>
      </c>
      <c r="B4" s="427" t="s">
        <v>1104</v>
      </c>
      <c r="C4" s="406" t="s">
        <v>1105</v>
      </c>
      <c r="D4" s="406" t="s">
        <v>1106</v>
      </c>
      <c r="E4" s="428" t="s">
        <v>1107</v>
      </c>
      <c r="F4" s="428" t="s">
        <v>1108</v>
      </c>
      <c r="G4" s="428" t="s">
        <v>1108</v>
      </c>
      <c r="H4" s="428" t="s">
        <v>1108</v>
      </c>
    </row>
    <row r="5" spans="1:8" x14ac:dyDescent="0.2">
      <c r="A5" s="414"/>
      <c r="B5" s="426" t="s">
        <v>1109</v>
      </c>
      <c r="C5" s="414" t="s">
        <v>1109</v>
      </c>
      <c r="D5" s="414" t="s">
        <v>1109</v>
      </c>
      <c r="E5" s="414" t="s">
        <v>1109</v>
      </c>
      <c r="F5" s="414" t="s">
        <v>1109</v>
      </c>
      <c r="G5" s="414" t="s">
        <v>1109</v>
      </c>
      <c r="H5" s="414" t="s">
        <v>1109</v>
      </c>
    </row>
    <row r="6" spans="1:8" x14ac:dyDescent="0.2">
      <c r="A6" s="451"/>
      <c r="B6" s="432" t="s">
        <v>1110</v>
      </c>
      <c r="C6" s="433" t="s">
        <v>1111</v>
      </c>
      <c r="D6" s="433" t="s">
        <v>1112</v>
      </c>
      <c r="E6" s="433" t="s">
        <v>1113</v>
      </c>
      <c r="F6" s="433" t="s">
        <v>1114</v>
      </c>
      <c r="G6" s="434" t="s">
        <v>1115</v>
      </c>
      <c r="H6" s="434" t="s">
        <v>1116</v>
      </c>
    </row>
    <row r="7" spans="1:8" x14ac:dyDescent="0.2">
      <c r="A7" s="420"/>
      <c r="B7" s="509"/>
      <c r="C7" s="509"/>
      <c r="D7" s="509"/>
      <c r="E7" s="509"/>
      <c r="F7" s="509"/>
      <c r="G7" s="509"/>
      <c r="H7" s="509"/>
    </row>
    <row r="8" spans="1:8" x14ac:dyDescent="0.2">
      <c r="A8" s="476" t="s">
        <v>3465</v>
      </c>
      <c r="B8" s="388">
        <f>SUM(B9:B19)</f>
        <v>5543309</v>
      </c>
      <c r="C8" s="388">
        <f t="shared" ref="C8:H8" si="0">SUM(C9:C19)</f>
        <v>24196225</v>
      </c>
      <c r="D8" s="388">
        <f t="shared" si="0"/>
        <v>27029875</v>
      </c>
      <c r="E8" s="388">
        <f t="shared" si="0"/>
        <v>11067464</v>
      </c>
      <c r="F8" s="388">
        <f t="shared" si="0"/>
        <v>27983188</v>
      </c>
      <c r="G8" s="388">
        <f t="shared" si="0"/>
        <v>17831000</v>
      </c>
      <c r="H8" s="388">
        <f t="shared" si="0"/>
        <v>19384000</v>
      </c>
    </row>
    <row r="9" spans="1:8" x14ac:dyDescent="0.2">
      <c r="A9" s="510" t="s">
        <v>3466</v>
      </c>
      <c r="B9" s="444">
        <v>0</v>
      </c>
      <c r="C9" s="243">
        <f>'Table 3 - Capex by Vote'!C10</f>
        <v>2220000</v>
      </c>
      <c r="D9" s="243">
        <f>'Table 3 - Capex by Vote'!D10</f>
        <v>2220000</v>
      </c>
      <c r="E9" s="243">
        <v>0</v>
      </c>
      <c r="F9" s="243">
        <f>'Table 3 - Capex by Vote'!F10</f>
        <v>2220000</v>
      </c>
      <c r="G9" s="243">
        <f>'Table 3 - Capex by Vote'!G10</f>
        <v>0</v>
      </c>
      <c r="H9" s="243">
        <f>'Table 3 - Capex by Vote'!H10</f>
        <v>0</v>
      </c>
    </row>
    <row r="10" spans="1:8" x14ac:dyDescent="0.2">
      <c r="A10" s="437" t="s">
        <v>3467</v>
      </c>
      <c r="B10" s="243">
        <f>'Table 3 - Capex by Vote'!B18</f>
        <v>43827</v>
      </c>
      <c r="C10" s="444">
        <v>0</v>
      </c>
      <c r="D10" s="444">
        <v>0</v>
      </c>
      <c r="E10" s="444">
        <v>0</v>
      </c>
      <c r="F10" s="444">
        <v>0</v>
      </c>
      <c r="G10" s="444">
        <v>0</v>
      </c>
      <c r="H10" s="444">
        <v>0</v>
      </c>
    </row>
    <row r="11" spans="1:8" x14ac:dyDescent="0.2">
      <c r="A11" s="510" t="s">
        <v>3468</v>
      </c>
      <c r="B11" s="243">
        <f>'Table 3 - Capex by Vote'!B19</f>
        <v>1722004</v>
      </c>
      <c r="C11" s="243">
        <f>'Table 3 - Capex by Vote'!C8+'Table 3 - Capex by Vote'!C19</f>
        <v>13815039</v>
      </c>
      <c r="D11" s="243">
        <f>'Table 3 - Capex by Vote'!D8+'Table 3 - Capex by Vote'!D19</f>
        <v>16648689</v>
      </c>
      <c r="E11" s="243">
        <f>'Table 3 - Capex by Vote'!E8+'Table 3 - Capex by Vote'!E19</f>
        <v>1365718</v>
      </c>
      <c r="F11" s="243">
        <f>'Table 3 - Capex by Vote'!F8+'Table 3 - Capex by Vote'!F19</f>
        <v>14546870</v>
      </c>
      <c r="G11" s="243">
        <f>'Table 3 - Capex by Vote'!G8+'Table 3 - Capex by Vote'!G19</f>
        <v>15531000</v>
      </c>
      <c r="H11" s="243">
        <f>'Table 3 - Capex by Vote'!H8+'Table 3 - Capex by Vote'!H19</f>
        <v>18884000</v>
      </c>
    </row>
    <row r="12" spans="1:8" x14ac:dyDescent="0.2">
      <c r="A12" s="510" t="s">
        <v>3561</v>
      </c>
      <c r="B12" s="444">
        <v>0</v>
      </c>
      <c r="C12" s="444">
        <v>0</v>
      </c>
      <c r="D12" s="444">
        <v>0</v>
      </c>
      <c r="E12" s="444">
        <v>0</v>
      </c>
      <c r="F12" s="449">
        <v>0</v>
      </c>
      <c r="G12" s="449">
        <v>0</v>
      </c>
      <c r="H12" s="449">
        <v>0</v>
      </c>
    </row>
    <row r="13" spans="1:8" x14ac:dyDescent="0.2">
      <c r="A13" s="510" t="s">
        <v>3469</v>
      </c>
      <c r="B13" s="444">
        <v>0</v>
      </c>
      <c r="C13" s="243">
        <f>'Table 3 - Capex by Vote'!C20</f>
        <v>3859915</v>
      </c>
      <c r="D13" s="243">
        <f>'Table 3 - Capex by Vote'!D20</f>
        <v>3859915</v>
      </c>
      <c r="E13" s="243">
        <f>'Table 3 - Capex by Vote'!E20</f>
        <v>1035845</v>
      </c>
      <c r="F13" s="243">
        <f>'Table 3 - Capex by Vote'!F20</f>
        <v>2824071</v>
      </c>
      <c r="G13" s="243">
        <f>'Table 3 - Capex by Vote'!G20</f>
        <v>300000</v>
      </c>
      <c r="H13" s="243">
        <f>'Table 3 - Capex by Vote'!H20</f>
        <v>500000</v>
      </c>
    </row>
    <row r="14" spans="1:8" x14ac:dyDescent="0.2">
      <c r="A14" s="510" t="s">
        <v>3470</v>
      </c>
      <c r="B14" s="243">
        <f>'Table 3 - Capex by Vote'!B17</f>
        <v>3777478</v>
      </c>
      <c r="C14" s="243">
        <f>'Table 3 - Capex by Vote'!C17</f>
        <v>4301271</v>
      </c>
      <c r="D14" s="243">
        <f>'Table 3 - Capex by Vote'!D17</f>
        <v>4301271</v>
      </c>
      <c r="E14" s="243">
        <f>'Table 3 - Capex by Vote'!E17</f>
        <v>8665901</v>
      </c>
      <c r="F14" s="243">
        <f>'Table 3 - Capex by Vote'!F17</f>
        <v>6892247</v>
      </c>
      <c r="G14" s="243">
        <f>'Table 3 - Capex by Vote'!G17</f>
        <v>0</v>
      </c>
      <c r="H14" s="243">
        <f>'Table 3 - Capex by Vote'!H17</f>
        <v>0</v>
      </c>
    </row>
    <row r="15" spans="1:8" x14ac:dyDescent="0.2">
      <c r="A15" s="510" t="s">
        <v>4376</v>
      </c>
      <c r="B15" s="444">
        <v>0</v>
      </c>
      <c r="C15" s="444">
        <v>0</v>
      </c>
      <c r="D15" s="444">
        <v>0</v>
      </c>
      <c r="E15" s="444">
        <v>0</v>
      </c>
      <c r="F15" s="243">
        <v>0</v>
      </c>
      <c r="G15" s="243">
        <v>0</v>
      </c>
      <c r="H15" s="243">
        <v>0</v>
      </c>
    </row>
    <row r="16" spans="1:8" x14ac:dyDescent="0.2">
      <c r="A16" s="510" t="s">
        <v>3471</v>
      </c>
      <c r="B16" s="444">
        <v>0</v>
      </c>
      <c r="C16" s="444">
        <v>0</v>
      </c>
      <c r="D16" s="444">
        <v>0</v>
      </c>
      <c r="E16" s="444">
        <v>0</v>
      </c>
      <c r="F16" s="444">
        <v>0</v>
      </c>
      <c r="G16" s="444">
        <v>0</v>
      </c>
      <c r="H16" s="444">
        <v>0</v>
      </c>
    </row>
    <row r="17" spans="1:8" x14ac:dyDescent="0.2">
      <c r="A17" s="510" t="s">
        <v>3472</v>
      </c>
      <c r="B17" s="444">
        <v>0</v>
      </c>
      <c r="C17" s="444">
        <v>0</v>
      </c>
      <c r="D17" s="444">
        <v>0</v>
      </c>
      <c r="E17" s="444">
        <v>0</v>
      </c>
      <c r="F17" s="243">
        <f>'Table 3 - Capex by Vote'!F11</f>
        <v>1500000</v>
      </c>
      <c r="G17" s="243">
        <f>'Table 3 - Capex by Vote'!G11</f>
        <v>2000000</v>
      </c>
      <c r="H17" s="243">
        <f>'Table 3 - Capex by Vote'!H11</f>
        <v>0</v>
      </c>
    </row>
    <row r="18" spans="1:8" x14ac:dyDescent="0.2">
      <c r="A18" s="510" t="s">
        <v>3473</v>
      </c>
      <c r="B18" s="444">
        <v>0</v>
      </c>
      <c r="C18" s="444">
        <v>0</v>
      </c>
      <c r="D18" s="444">
        <v>0</v>
      </c>
      <c r="E18" s="444">
        <v>0</v>
      </c>
      <c r="F18" s="444">
        <v>0</v>
      </c>
      <c r="G18" s="444">
        <v>0</v>
      </c>
      <c r="H18" s="444">
        <v>0</v>
      </c>
    </row>
    <row r="19" spans="1:8" x14ac:dyDescent="0.2">
      <c r="A19" s="510" t="s">
        <v>3977</v>
      </c>
      <c r="B19" s="444">
        <v>0</v>
      </c>
      <c r="C19" s="444">
        <v>0</v>
      </c>
      <c r="D19" s="444">
        <v>0</v>
      </c>
      <c r="E19" s="444">
        <v>0</v>
      </c>
      <c r="F19" s="444">
        <v>0</v>
      </c>
      <c r="G19" s="444">
        <v>0</v>
      </c>
      <c r="H19" s="444">
        <v>0</v>
      </c>
    </row>
    <row r="20" spans="1:8" x14ac:dyDescent="0.2">
      <c r="A20" s="437"/>
      <c r="B20" s="509"/>
      <c r="C20" s="509"/>
      <c r="D20" s="509"/>
      <c r="E20" s="509"/>
      <c r="F20" s="509"/>
      <c r="G20" s="509"/>
      <c r="H20" s="509"/>
    </row>
    <row r="21" spans="1:8" x14ac:dyDescent="0.2">
      <c r="A21" s="476" t="s">
        <v>3474</v>
      </c>
      <c r="B21" s="509">
        <f>SUM(B22:B29)</f>
        <v>0</v>
      </c>
      <c r="C21" s="509">
        <f t="shared" ref="C21:H21" si="1">SUM(C22:C29)</f>
        <v>0</v>
      </c>
      <c r="D21" s="509">
        <f t="shared" si="1"/>
        <v>0</v>
      </c>
      <c r="E21" s="509">
        <f t="shared" si="1"/>
        <v>0</v>
      </c>
      <c r="F21" s="509">
        <f t="shared" si="1"/>
        <v>0</v>
      </c>
      <c r="G21" s="509">
        <f t="shared" si="1"/>
        <v>0</v>
      </c>
      <c r="H21" s="509">
        <f t="shared" si="1"/>
        <v>0</v>
      </c>
    </row>
    <row r="22" spans="1:8" x14ac:dyDescent="0.2">
      <c r="A22" s="510" t="s">
        <v>3475</v>
      </c>
      <c r="B22" s="444">
        <v>0</v>
      </c>
      <c r="C22" s="444">
        <v>0</v>
      </c>
      <c r="D22" s="444">
        <v>0</v>
      </c>
      <c r="E22" s="444">
        <v>0</v>
      </c>
      <c r="F22" s="444">
        <v>0</v>
      </c>
      <c r="G22" s="444">
        <v>0</v>
      </c>
      <c r="H22" s="444">
        <v>0</v>
      </c>
    </row>
    <row r="23" spans="1:8" x14ac:dyDescent="0.2">
      <c r="A23" s="510" t="s">
        <v>3476</v>
      </c>
      <c r="B23" s="444">
        <v>0</v>
      </c>
      <c r="C23" s="444">
        <v>0</v>
      </c>
      <c r="D23" s="444">
        <v>0</v>
      </c>
      <c r="E23" s="444">
        <v>0</v>
      </c>
      <c r="F23" s="444">
        <v>0</v>
      </c>
      <c r="G23" s="444">
        <v>0</v>
      </c>
      <c r="H23" s="444">
        <v>0</v>
      </c>
    </row>
    <row r="24" spans="1:8" x14ac:dyDescent="0.2">
      <c r="A24" s="510" t="s">
        <v>3477</v>
      </c>
      <c r="B24" s="444">
        <v>0</v>
      </c>
      <c r="C24" s="444">
        <v>0</v>
      </c>
      <c r="D24" s="444">
        <v>0</v>
      </c>
      <c r="E24" s="444">
        <v>0</v>
      </c>
      <c r="F24" s="444">
        <v>0</v>
      </c>
      <c r="G24" s="444">
        <v>0</v>
      </c>
      <c r="H24" s="444">
        <v>0</v>
      </c>
    </row>
    <row r="25" spans="1:8" x14ac:dyDescent="0.2">
      <c r="A25" s="510" t="s">
        <v>3564</v>
      </c>
      <c r="B25" s="444">
        <v>0</v>
      </c>
      <c r="C25" s="444">
        <v>0</v>
      </c>
      <c r="D25" s="444">
        <v>0</v>
      </c>
      <c r="E25" s="444">
        <v>0</v>
      </c>
      <c r="F25" s="444">
        <v>0</v>
      </c>
      <c r="G25" s="444">
        <v>0</v>
      </c>
      <c r="H25" s="444">
        <v>0</v>
      </c>
    </row>
    <row r="26" spans="1:8" x14ac:dyDescent="0.2">
      <c r="A26" s="510" t="s">
        <v>3478</v>
      </c>
      <c r="B26" s="444">
        <v>0</v>
      </c>
      <c r="C26" s="444">
        <v>0</v>
      </c>
      <c r="D26" s="444">
        <v>0</v>
      </c>
      <c r="E26" s="444">
        <v>0</v>
      </c>
      <c r="F26" s="444">
        <v>0</v>
      </c>
      <c r="G26" s="444">
        <v>0</v>
      </c>
      <c r="H26" s="444">
        <v>0</v>
      </c>
    </row>
    <row r="27" spans="1:8" x14ac:dyDescent="0.2">
      <c r="A27" s="510" t="s">
        <v>3479</v>
      </c>
      <c r="B27" s="444">
        <v>0</v>
      </c>
      <c r="C27" s="444">
        <v>0</v>
      </c>
      <c r="D27" s="444">
        <v>0</v>
      </c>
      <c r="E27" s="444">
        <v>0</v>
      </c>
      <c r="F27" s="444">
        <v>0</v>
      </c>
      <c r="G27" s="444">
        <v>0</v>
      </c>
      <c r="H27" s="444">
        <v>0</v>
      </c>
    </row>
    <row r="28" spans="1:8" x14ac:dyDescent="0.2">
      <c r="A28" s="510" t="s">
        <v>3480</v>
      </c>
      <c r="B28" s="444">
        <v>0</v>
      </c>
      <c r="C28" s="444">
        <v>0</v>
      </c>
      <c r="D28" s="444">
        <v>0</v>
      </c>
      <c r="E28" s="444">
        <v>0</v>
      </c>
      <c r="F28" s="444">
        <v>0</v>
      </c>
      <c r="G28" s="444">
        <v>0</v>
      </c>
      <c r="H28" s="444">
        <v>0</v>
      </c>
    </row>
    <row r="29" spans="1:8" x14ac:dyDescent="0.2">
      <c r="A29" s="510" t="s">
        <v>3977</v>
      </c>
      <c r="B29" s="444">
        <v>0</v>
      </c>
      <c r="C29" s="444">
        <v>0</v>
      </c>
      <c r="D29" s="444">
        <v>0</v>
      </c>
      <c r="E29" s="444">
        <v>0</v>
      </c>
      <c r="F29" s="444">
        <v>0</v>
      </c>
      <c r="G29" s="444">
        <v>0</v>
      </c>
      <c r="H29" s="444">
        <v>0</v>
      </c>
    </row>
    <row r="30" spans="1:8" x14ac:dyDescent="0.2">
      <c r="A30" s="510"/>
      <c r="B30" s="509"/>
      <c r="C30" s="509"/>
      <c r="D30" s="509"/>
      <c r="E30" s="509"/>
      <c r="F30" s="509"/>
      <c r="G30" s="509"/>
      <c r="H30" s="509"/>
    </row>
    <row r="31" spans="1:8" x14ac:dyDescent="0.2">
      <c r="A31" s="476" t="s">
        <v>3481</v>
      </c>
      <c r="B31" s="509">
        <v>0</v>
      </c>
      <c r="C31" s="509">
        <v>0</v>
      </c>
      <c r="D31" s="509">
        <v>0</v>
      </c>
      <c r="E31" s="509">
        <v>0</v>
      </c>
      <c r="F31" s="509">
        <v>0</v>
      </c>
      <c r="G31" s="509">
        <v>0</v>
      </c>
      <c r="H31" s="509">
        <v>0</v>
      </c>
    </row>
    <row r="32" spans="1:8" x14ac:dyDescent="0.2">
      <c r="A32" s="510"/>
      <c r="B32" s="509"/>
      <c r="C32" s="509"/>
      <c r="D32" s="509"/>
      <c r="E32" s="509"/>
      <c r="F32" s="509"/>
      <c r="G32" s="509"/>
      <c r="H32" s="509"/>
    </row>
    <row r="33" spans="1:9" x14ac:dyDescent="0.2">
      <c r="A33" s="476" t="s">
        <v>3482</v>
      </c>
      <c r="B33" s="509">
        <v>0</v>
      </c>
      <c r="C33" s="509">
        <v>0</v>
      </c>
      <c r="D33" s="509">
        <v>0</v>
      </c>
      <c r="E33" s="509">
        <v>0</v>
      </c>
      <c r="F33" s="509">
        <v>0</v>
      </c>
      <c r="G33" s="509">
        <v>0</v>
      </c>
      <c r="H33" s="509">
        <v>0</v>
      </c>
    </row>
    <row r="34" spans="1:9" x14ac:dyDescent="0.2">
      <c r="A34" s="510"/>
      <c r="B34" s="509"/>
      <c r="C34" s="509"/>
      <c r="D34" s="509"/>
      <c r="E34" s="509"/>
      <c r="F34" s="509"/>
      <c r="G34" s="509"/>
      <c r="H34" s="509"/>
    </row>
    <row r="35" spans="1:9" x14ac:dyDescent="0.2">
      <c r="A35" s="476" t="s">
        <v>3483</v>
      </c>
      <c r="B35" s="388">
        <f>SUM(B36:B43)</f>
        <v>395686</v>
      </c>
      <c r="C35" s="388">
        <f t="shared" ref="C35:H35" si="2">SUM(C36:C43)</f>
        <v>0</v>
      </c>
      <c r="D35" s="388">
        <f t="shared" si="2"/>
        <v>2798000</v>
      </c>
      <c r="E35" s="388">
        <f t="shared" si="2"/>
        <v>798000</v>
      </c>
      <c r="F35" s="388">
        <f t="shared" si="2"/>
        <v>47000000</v>
      </c>
      <c r="G35" s="509">
        <f t="shared" si="2"/>
        <v>0</v>
      </c>
      <c r="H35" s="509">
        <f t="shared" si="2"/>
        <v>0</v>
      </c>
      <c r="I35" s="509"/>
    </row>
    <row r="36" spans="1:9" x14ac:dyDescent="0.2">
      <c r="A36" s="510" t="s">
        <v>3484</v>
      </c>
      <c r="B36" s="462">
        <v>0</v>
      </c>
      <c r="C36" s="444">
        <v>0</v>
      </c>
      <c r="D36" s="243">
        <v>798000</v>
      </c>
      <c r="E36" s="243">
        <v>798000</v>
      </c>
      <c r="F36" s="444">
        <v>0</v>
      </c>
      <c r="G36" s="444">
        <v>0</v>
      </c>
      <c r="H36" s="444">
        <v>0</v>
      </c>
    </row>
    <row r="37" spans="1:9" x14ac:dyDescent="0.2">
      <c r="A37" s="510" t="s">
        <v>447</v>
      </c>
      <c r="B37" s="444">
        <v>0</v>
      </c>
      <c r="C37" s="444">
        <v>0</v>
      </c>
      <c r="D37" s="444">
        <v>0</v>
      </c>
      <c r="E37" s="444">
        <v>0</v>
      </c>
      <c r="F37" s="444">
        <v>0</v>
      </c>
      <c r="G37" s="444">
        <v>0</v>
      </c>
      <c r="H37" s="444">
        <v>0</v>
      </c>
    </row>
    <row r="38" spans="1:9" x14ac:dyDescent="0.2">
      <c r="A38" s="510" t="s">
        <v>3485</v>
      </c>
      <c r="B38" s="243">
        <f>'Table 3 - Capex by Vote'!B8+'Table 3 - Capex by Vote'!B9</f>
        <v>395686</v>
      </c>
      <c r="C38" s="243">
        <v>0</v>
      </c>
      <c r="D38" s="444">
        <v>0</v>
      </c>
      <c r="E38" s="444">
        <v>0</v>
      </c>
      <c r="F38" s="444">
        <v>0</v>
      </c>
      <c r="G38" s="444">
        <v>0</v>
      </c>
      <c r="H38" s="444">
        <v>0</v>
      </c>
    </row>
    <row r="39" spans="1:9" x14ac:dyDescent="0.2">
      <c r="A39" s="510" t="s">
        <v>3486</v>
      </c>
      <c r="B39" s="444">
        <v>0</v>
      </c>
      <c r="C39" s="444">
        <v>0</v>
      </c>
      <c r="D39" s="444">
        <v>0</v>
      </c>
      <c r="E39" s="444">
        <v>0</v>
      </c>
      <c r="F39" s="444">
        <v>0</v>
      </c>
      <c r="G39" s="444">
        <v>0</v>
      </c>
      <c r="H39" s="444">
        <v>0</v>
      </c>
    </row>
    <row r="40" spans="1:9" x14ac:dyDescent="0.2">
      <c r="A40" s="510" t="s">
        <v>3487</v>
      </c>
      <c r="B40" s="444">
        <v>0</v>
      </c>
      <c r="C40" s="444">
        <v>0</v>
      </c>
      <c r="D40" s="444">
        <v>0</v>
      </c>
      <c r="E40" s="444">
        <v>0</v>
      </c>
      <c r="F40" s="444">
        <v>0</v>
      </c>
      <c r="G40" s="444">
        <v>0</v>
      </c>
      <c r="H40" s="444">
        <v>0</v>
      </c>
    </row>
    <row r="41" spans="1:9" x14ac:dyDescent="0.2">
      <c r="A41" s="510" t="s">
        <v>3488</v>
      </c>
      <c r="B41" s="444">
        <v>0</v>
      </c>
      <c r="C41" s="444">
        <v>0</v>
      </c>
      <c r="D41" s="444">
        <v>0</v>
      </c>
      <c r="E41" s="444">
        <v>0</v>
      </c>
      <c r="F41" s="444">
        <v>0</v>
      </c>
      <c r="G41" s="444">
        <v>0</v>
      </c>
      <c r="H41" s="444">
        <v>0</v>
      </c>
    </row>
    <row r="42" spans="1:9" x14ac:dyDescent="0.2">
      <c r="A42" s="510" t="s">
        <v>3489</v>
      </c>
      <c r="B42" s="444">
        <v>0</v>
      </c>
      <c r="C42" s="444">
        <v>0</v>
      </c>
      <c r="D42" s="444">
        <v>0</v>
      </c>
      <c r="E42" s="444">
        <v>0</v>
      </c>
      <c r="F42" s="444">
        <v>0</v>
      </c>
      <c r="G42" s="444">
        <v>0</v>
      </c>
      <c r="H42" s="444">
        <v>0</v>
      </c>
    </row>
    <row r="43" spans="1:9" x14ac:dyDescent="0.2">
      <c r="A43" s="510" t="s">
        <v>3562</v>
      </c>
      <c r="B43" s="444">
        <v>0</v>
      </c>
      <c r="C43" s="243">
        <v>0</v>
      </c>
      <c r="D43" s="243">
        <v>2000000</v>
      </c>
      <c r="E43" s="444">
        <v>0</v>
      </c>
      <c r="F43" s="243">
        <f>'Table 3 - Capex by Vote'!F9</f>
        <v>47000000</v>
      </c>
      <c r="G43" s="243">
        <f>'Table 3 - Capex by Vote'!G9</f>
        <v>0</v>
      </c>
      <c r="H43" s="243">
        <f>'Table 3 - Capex by Vote'!H9</f>
        <v>0</v>
      </c>
    </row>
    <row r="44" spans="1:9" x14ac:dyDescent="0.2">
      <c r="A44" s="510"/>
      <c r="B44" s="444"/>
      <c r="C44" s="444"/>
      <c r="D44" s="444"/>
      <c r="E44" s="444"/>
      <c r="F44" s="444"/>
      <c r="G44" s="444"/>
      <c r="H44" s="444"/>
    </row>
    <row r="45" spans="1:9" x14ac:dyDescent="0.2">
      <c r="A45" s="476" t="s">
        <v>3490</v>
      </c>
      <c r="B45" s="509">
        <f>SUM(B46:B50)</f>
        <v>0</v>
      </c>
      <c r="C45" s="509">
        <f t="shared" ref="C45:H45" si="3">SUM(C46:C50)</f>
        <v>0</v>
      </c>
      <c r="D45" s="509">
        <f t="shared" si="3"/>
        <v>0</v>
      </c>
      <c r="E45" s="509">
        <f t="shared" si="3"/>
        <v>0</v>
      </c>
      <c r="F45" s="509">
        <f t="shared" si="3"/>
        <v>0</v>
      </c>
      <c r="G45" s="509">
        <f t="shared" si="3"/>
        <v>0</v>
      </c>
      <c r="H45" s="509">
        <f t="shared" si="3"/>
        <v>0</v>
      </c>
    </row>
    <row r="46" spans="1:9" x14ac:dyDescent="0.2">
      <c r="A46" s="510" t="s">
        <v>3491</v>
      </c>
      <c r="B46" s="444">
        <v>0</v>
      </c>
      <c r="C46" s="444">
        <v>0</v>
      </c>
      <c r="D46" s="444">
        <v>0</v>
      </c>
      <c r="E46" s="444">
        <v>0</v>
      </c>
      <c r="F46" s="444">
        <v>0</v>
      </c>
      <c r="G46" s="444">
        <v>0</v>
      </c>
      <c r="H46" s="444">
        <v>0</v>
      </c>
    </row>
    <row r="47" spans="1:9" x14ac:dyDescent="0.2">
      <c r="A47" s="510" t="s">
        <v>3492</v>
      </c>
      <c r="B47" s="444">
        <v>0</v>
      </c>
      <c r="C47" s="444">
        <v>0</v>
      </c>
      <c r="D47" s="444">
        <v>0</v>
      </c>
      <c r="E47" s="444">
        <v>0</v>
      </c>
      <c r="F47" s="444">
        <v>0</v>
      </c>
      <c r="G47" s="444">
        <v>0</v>
      </c>
      <c r="H47" s="444">
        <v>0</v>
      </c>
    </row>
    <row r="48" spans="1:9" x14ac:dyDescent="0.2">
      <c r="A48" s="495" t="s">
        <v>3493</v>
      </c>
      <c r="B48" s="444">
        <v>0</v>
      </c>
      <c r="C48" s="444">
        <v>0</v>
      </c>
      <c r="D48" s="444">
        <v>0</v>
      </c>
      <c r="E48" s="444">
        <v>0</v>
      </c>
      <c r="F48" s="444">
        <v>0</v>
      </c>
      <c r="G48" s="444">
        <v>0</v>
      </c>
      <c r="H48" s="444">
        <v>0</v>
      </c>
    </row>
    <row r="49" spans="1:8" x14ac:dyDescent="0.2">
      <c r="A49" s="495" t="s">
        <v>3494</v>
      </c>
      <c r="B49" s="444">
        <v>0</v>
      </c>
      <c r="C49" s="444">
        <v>0</v>
      </c>
      <c r="D49" s="444">
        <v>0</v>
      </c>
      <c r="E49" s="444">
        <v>0</v>
      </c>
      <c r="F49" s="444">
        <v>0</v>
      </c>
      <c r="G49" s="444">
        <v>0</v>
      </c>
      <c r="H49" s="444">
        <v>0</v>
      </c>
    </row>
    <row r="50" spans="1:8" x14ac:dyDescent="0.2">
      <c r="A50" s="495" t="s">
        <v>3495</v>
      </c>
      <c r="B50" s="444">
        <v>0</v>
      </c>
      <c r="C50" s="444">
        <v>0</v>
      </c>
      <c r="D50" s="444">
        <v>0</v>
      </c>
      <c r="E50" s="444">
        <v>0</v>
      </c>
      <c r="F50" s="444">
        <v>0</v>
      </c>
      <c r="G50" s="444">
        <v>0</v>
      </c>
      <c r="H50" s="444">
        <v>0</v>
      </c>
    </row>
    <row r="51" spans="1:8" x14ac:dyDescent="0.2">
      <c r="A51" s="449"/>
      <c r="B51" s="444"/>
      <c r="C51" s="444"/>
      <c r="D51" s="444"/>
      <c r="E51" s="444"/>
      <c r="F51" s="444"/>
      <c r="G51" s="444"/>
      <c r="H51" s="444"/>
    </row>
    <row r="52" spans="1:8" ht="14.25" x14ac:dyDescent="0.2">
      <c r="A52" s="438" t="s">
        <v>3498</v>
      </c>
      <c r="B52" s="325">
        <f>B8+B21+B31+B33+B35+B45</f>
        <v>5938995</v>
      </c>
      <c r="C52" s="325">
        <f t="shared" ref="C52:H52" si="4">C8+C21+C31+C33+C35+C45</f>
        <v>24196225</v>
      </c>
      <c r="D52" s="325">
        <f t="shared" si="4"/>
        <v>29827875</v>
      </c>
      <c r="E52" s="325">
        <f t="shared" si="4"/>
        <v>11865464</v>
      </c>
      <c r="F52" s="325">
        <f t="shared" si="4"/>
        <v>74983188</v>
      </c>
      <c r="G52" s="325">
        <f t="shared" si="4"/>
        <v>17831000</v>
      </c>
      <c r="H52" s="325">
        <f t="shared" si="4"/>
        <v>19384000</v>
      </c>
    </row>
    <row r="53" spans="1:8" x14ac:dyDescent="0.2">
      <c r="A53" s="511"/>
      <c r="B53" s="512"/>
      <c r="C53" s="512"/>
      <c r="D53" s="512"/>
      <c r="E53" s="512"/>
      <c r="F53" s="512"/>
    </row>
    <row r="54" spans="1:8" x14ac:dyDescent="0.2">
      <c r="A54" s="441" t="s">
        <v>1131</v>
      </c>
      <c r="B54" s="512"/>
      <c r="C54" s="512"/>
      <c r="D54" s="512"/>
      <c r="E54" s="512"/>
      <c r="F54" s="512"/>
    </row>
    <row r="55" spans="1:8" x14ac:dyDescent="0.2">
      <c r="A55" s="304" t="s">
        <v>4099</v>
      </c>
      <c r="B55" s="512"/>
      <c r="C55" s="512"/>
      <c r="D55" s="512"/>
      <c r="E55" s="512"/>
      <c r="F55" s="512"/>
    </row>
    <row r="56" spans="1:8" x14ac:dyDescent="0.2">
      <c r="A56" s="304" t="s">
        <v>4100</v>
      </c>
      <c r="B56" s="512"/>
      <c r="C56" s="512"/>
      <c r="D56" s="512"/>
      <c r="E56" s="512"/>
      <c r="F56" s="512"/>
    </row>
    <row r="57" spans="1:8" x14ac:dyDescent="0.2">
      <c r="A57" s="304" t="s">
        <v>4101</v>
      </c>
      <c r="B57" s="512"/>
      <c r="C57" s="512"/>
      <c r="D57" s="512"/>
      <c r="E57" s="512"/>
      <c r="F57" s="512"/>
    </row>
    <row r="58" spans="1:8" x14ac:dyDescent="0.2">
      <c r="A58" s="304" t="s">
        <v>4102</v>
      </c>
      <c r="B58" s="512"/>
      <c r="C58" s="512"/>
      <c r="D58" s="512"/>
      <c r="E58" s="512"/>
      <c r="F58" s="512"/>
    </row>
    <row r="59" spans="1:8" x14ac:dyDescent="0.2">
      <c r="A59" s="304" t="s">
        <v>4103</v>
      </c>
      <c r="B59" s="512"/>
      <c r="C59" s="512"/>
      <c r="D59" s="512"/>
      <c r="E59" s="512"/>
      <c r="F59" s="512"/>
    </row>
    <row r="60" spans="1:8" x14ac:dyDescent="0.2">
      <c r="A60" s="304" t="s">
        <v>4104</v>
      </c>
      <c r="B60" s="512"/>
      <c r="C60" s="512"/>
      <c r="D60" s="512"/>
      <c r="E60" s="512"/>
      <c r="F60" s="512"/>
    </row>
    <row r="61" spans="1:8" x14ac:dyDescent="0.2">
      <c r="A61" s="304" t="s">
        <v>4359</v>
      </c>
      <c r="B61" s="512"/>
      <c r="C61" s="512"/>
      <c r="D61" s="512"/>
      <c r="E61" s="512"/>
      <c r="F61" s="512"/>
    </row>
    <row r="62" spans="1:8" x14ac:dyDescent="0.2">
      <c r="A62" s="511"/>
      <c r="B62" s="512"/>
      <c r="C62" s="512"/>
      <c r="D62" s="512"/>
      <c r="E62" s="512"/>
      <c r="F62" s="512"/>
    </row>
    <row r="63" spans="1:8" x14ac:dyDescent="0.2">
      <c r="A63" s="441" t="s">
        <v>1132</v>
      </c>
      <c r="B63" s="512"/>
      <c r="C63" s="512"/>
      <c r="D63" s="512"/>
      <c r="E63" s="512"/>
      <c r="F63" s="512"/>
    </row>
    <row r="64" spans="1:8" x14ac:dyDescent="0.2">
      <c r="A64" s="413" t="s">
        <v>3496</v>
      </c>
    </row>
    <row r="65" spans="1:1" x14ac:dyDescent="0.2">
      <c r="A65" s="413" t="s">
        <v>3497</v>
      </c>
    </row>
    <row r="66" spans="1:1" x14ac:dyDescent="0.2">
      <c r="A66" s="413" t="s">
        <v>2670</v>
      </c>
    </row>
  </sheetData>
  <phoneticPr fontId="3" type="noConversion"/>
  <pageMargins left="0.76" right="0.17" top="0.23" bottom="0.37" header="0.2" footer="0.28000000000000003"/>
  <pageSetup paperSize="9" scale="6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9"/>
  <sheetViews>
    <sheetView view="pageBreakPreview" zoomScaleNormal="100" workbookViewId="0">
      <selection activeCell="B22" sqref="B22"/>
    </sheetView>
  </sheetViews>
  <sheetFormatPr defaultColWidth="10.6640625" defaultRowHeight="12.75" x14ac:dyDescent="0.2"/>
  <cols>
    <col min="1" max="1" width="57.83203125" style="264" customWidth="1"/>
    <col min="2" max="2" width="21.33203125" style="264" bestFit="1" customWidth="1"/>
    <col min="3" max="3" width="24" style="264" bestFit="1" customWidth="1"/>
    <col min="4" max="5" width="23.6640625" style="264" bestFit="1" customWidth="1"/>
    <col min="6" max="6" width="23.83203125" style="264" bestFit="1" customWidth="1"/>
    <col min="7" max="8" width="23.83203125" style="264" customWidth="1"/>
    <col min="9" max="9" width="10.6640625" style="264" customWidth="1"/>
    <col min="10" max="10" width="59" style="264" bestFit="1" customWidth="1"/>
    <col min="11" max="16" width="12.5" style="265" customWidth="1"/>
    <col min="17" max="17" width="13" style="265" customWidth="1"/>
    <col min="18" max="16384" width="10.6640625" style="264"/>
  </cols>
  <sheetData>
    <row r="1" spans="1:18" x14ac:dyDescent="0.2">
      <c r="A1" s="257"/>
      <c r="B1" s="257" t="s">
        <v>1096</v>
      </c>
      <c r="C1" s="258" t="s">
        <v>1097</v>
      </c>
      <c r="D1" s="259"/>
      <c r="E1" s="260"/>
      <c r="F1" s="261" t="s">
        <v>1098</v>
      </c>
      <c r="G1" s="262"/>
      <c r="H1" s="263"/>
    </row>
    <row r="2" spans="1:18" x14ac:dyDescent="0.2">
      <c r="A2" s="266" t="s">
        <v>619</v>
      </c>
      <c r="B2" s="267" t="s">
        <v>1103</v>
      </c>
      <c r="C2" s="268" t="s">
        <v>4093</v>
      </c>
      <c r="D2" s="269"/>
      <c r="E2" s="270"/>
      <c r="F2" s="271" t="s">
        <v>1100</v>
      </c>
      <c r="G2" s="266" t="s">
        <v>1101</v>
      </c>
      <c r="H2" s="266" t="s">
        <v>1102</v>
      </c>
      <c r="J2" s="272" t="s">
        <v>620</v>
      </c>
    </row>
    <row r="3" spans="1:18" x14ac:dyDescent="0.2">
      <c r="A3" s="266"/>
      <c r="B3" s="273"/>
      <c r="C3" s="274"/>
      <c r="D3" s="275"/>
      <c r="E3" s="276"/>
      <c r="F3" s="277" t="s">
        <v>4094</v>
      </c>
      <c r="G3" s="277" t="s">
        <v>4095</v>
      </c>
      <c r="H3" s="277" t="s">
        <v>4096</v>
      </c>
    </row>
    <row r="4" spans="1:18" x14ac:dyDescent="0.2">
      <c r="A4" s="266" t="s">
        <v>4136</v>
      </c>
      <c r="B4" s="278" t="s">
        <v>1104</v>
      </c>
      <c r="C4" s="257" t="s">
        <v>1105</v>
      </c>
      <c r="D4" s="257" t="s">
        <v>1106</v>
      </c>
      <c r="E4" s="279" t="s">
        <v>1107</v>
      </c>
      <c r="F4" s="279" t="s">
        <v>1108</v>
      </c>
      <c r="G4" s="279" t="s">
        <v>1108</v>
      </c>
      <c r="H4" s="279" t="s">
        <v>1108</v>
      </c>
    </row>
    <row r="5" spans="1:18" x14ac:dyDescent="0.2">
      <c r="A5" s="266"/>
      <c r="B5" s="280" t="s">
        <v>1109</v>
      </c>
      <c r="C5" s="266" t="s">
        <v>1109</v>
      </c>
      <c r="D5" s="266" t="s">
        <v>1109</v>
      </c>
      <c r="E5" s="266" t="s">
        <v>1109</v>
      </c>
      <c r="F5" s="266" t="s">
        <v>1109</v>
      </c>
      <c r="G5" s="266" t="s">
        <v>1109</v>
      </c>
      <c r="H5" s="266" t="s">
        <v>1109</v>
      </c>
    </row>
    <row r="6" spans="1:18" x14ac:dyDescent="0.2">
      <c r="A6" s="281"/>
      <c r="B6" s="282" t="s">
        <v>1110</v>
      </c>
      <c r="C6" s="283" t="s">
        <v>1111</v>
      </c>
      <c r="D6" s="283" t="s">
        <v>1112</v>
      </c>
      <c r="E6" s="283" t="s">
        <v>1113</v>
      </c>
      <c r="F6" s="283" t="s">
        <v>1114</v>
      </c>
      <c r="G6" s="284" t="s">
        <v>1115</v>
      </c>
      <c r="H6" s="284" t="s">
        <v>1116</v>
      </c>
    </row>
    <row r="7" spans="1:18" x14ac:dyDescent="0.2">
      <c r="A7" s="285" t="s">
        <v>621</v>
      </c>
      <c r="B7" s="266"/>
      <c r="C7" s="266"/>
      <c r="D7" s="266"/>
      <c r="E7" s="266"/>
      <c r="F7" s="266"/>
      <c r="G7" s="266"/>
      <c r="H7" s="266"/>
      <c r="J7" s="272" t="s">
        <v>622</v>
      </c>
      <c r="R7" s="264" t="s">
        <v>623</v>
      </c>
    </row>
    <row r="8" spans="1:18" x14ac:dyDescent="0.2">
      <c r="A8" s="286"/>
      <c r="B8" s="266"/>
      <c r="C8" s="266"/>
      <c r="D8" s="266"/>
      <c r="E8" s="266"/>
      <c r="F8" s="266"/>
      <c r="G8" s="266"/>
      <c r="H8" s="266"/>
      <c r="K8" s="287" t="s">
        <v>3994</v>
      </c>
      <c r="L8" s="288" t="s">
        <v>3995</v>
      </c>
      <c r="M8" s="288" t="s">
        <v>3996</v>
      </c>
      <c r="N8" s="287" t="s">
        <v>3997</v>
      </c>
      <c r="O8" s="287" t="s">
        <v>3998</v>
      </c>
      <c r="P8" s="287" t="s">
        <v>3999</v>
      </c>
      <c r="Q8" s="287" t="s">
        <v>4000</v>
      </c>
    </row>
    <row r="9" spans="1:18" x14ac:dyDescent="0.2">
      <c r="A9" s="289" t="s">
        <v>1118</v>
      </c>
      <c r="B9" s="208">
        <f>'Schedule 1 - Rev by Source_5'!B9</f>
        <v>5319008</v>
      </c>
      <c r="C9" s="208">
        <f>'Schedule 1 - Rev by Source_5'!C9</f>
        <v>6246480</v>
      </c>
      <c r="D9" s="208">
        <f>'Schedule 1 - Rev by Source_5'!D9</f>
        <v>6246480</v>
      </c>
      <c r="E9" s="208">
        <f>'Schedule 1 - Rev by Source_5'!E9</f>
        <v>7955958.1600000001</v>
      </c>
      <c r="F9" s="208">
        <f>'Schedule 1 - Rev by Source_5'!F9</f>
        <v>10383648</v>
      </c>
      <c r="G9" s="208">
        <f>'Schedule 1 - Rev by Source_5'!G9</f>
        <v>11006667</v>
      </c>
      <c r="H9" s="208">
        <f>'Schedule 1 - Rev by Source_5'!H9</f>
        <v>11667065</v>
      </c>
      <c r="J9" s="264" t="s">
        <v>624</v>
      </c>
      <c r="K9" s="265">
        <f>B11</f>
        <v>0</v>
      </c>
      <c r="L9" s="265">
        <f t="shared" ref="L9:Q9" si="0">C11</f>
        <v>0</v>
      </c>
      <c r="M9" s="265">
        <f t="shared" si="0"/>
        <v>0</v>
      </c>
      <c r="N9" s="265">
        <f t="shared" si="0"/>
        <v>0</v>
      </c>
      <c r="O9" s="265">
        <f t="shared" si="0"/>
        <v>15465206</v>
      </c>
      <c r="P9" s="265">
        <f t="shared" si="0"/>
        <v>19455229</v>
      </c>
      <c r="Q9" s="265">
        <f t="shared" si="0"/>
        <v>24494134</v>
      </c>
    </row>
    <row r="10" spans="1:18" x14ac:dyDescent="0.2">
      <c r="A10" s="289" t="s">
        <v>1119</v>
      </c>
      <c r="B10" s="208">
        <f>'Schedule 1 - Rev by Source_5'!B10</f>
        <v>175821</v>
      </c>
      <c r="C10" s="208">
        <f>'Schedule 1 - Rev by Source_5'!C10</f>
        <v>170100</v>
      </c>
      <c r="D10" s="208">
        <f>'Schedule 1 - Rev by Source_5'!D10</f>
        <v>170100</v>
      </c>
      <c r="E10" s="208">
        <f>'Schedule 1 - Rev by Source_5'!E10</f>
        <v>223906.80000000002</v>
      </c>
      <c r="F10" s="208">
        <f>'Schedule 1 - Rev by Source_5'!F10</f>
        <v>311509</v>
      </c>
      <c r="G10" s="208">
        <f>'Schedule 1 - Rev by Source_5'!G10</f>
        <v>330200</v>
      </c>
      <c r="H10" s="208">
        <f>'Schedule 1 - Rev by Source_5'!H10</f>
        <v>350012</v>
      </c>
      <c r="J10" s="264" t="s">
        <v>1118</v>
      </c>
      <c r="K10" s="265">
        <f>B9+B10</f>
        <v>5494829</v>
      </c>
      <c r="L10" s="265">
        <f t="shared" ref="L10:Q10" si="1">C9+C10</f>
        <v>6416580</v>
      </c>
      <c r="M10" s="265">
        <f t="shared" si="1"/>
        <v>6416580</v>
      </c>
      <c r="N10" s="265">
        <f t="shared" si="1"/>
        <v>8179864.96</v>
      </c>
      <c r="O10" s="265">
        <f t="shared" si="1"/>
        <v>10695157</v>
      </c>
      <c r="P10" s="265">
        <f t="shared" si="1"/>
        <v>11336867</v>
      </c>
      <c r="Q10" s="265">
        <f t="shared" si="1"/>
        <v>12017077</v>
      </c>
      <c r="R10" s="264" t="s">
        <v>625</v>
      </c>
    </row>
    <row r="11" spans="1:18" x14ac:dyDescent="0.2">
      <c r="A11" s="291" t="s">
        <v>1120</v>
      </c>
      <c r="B11" s="208">
        <f>'Schedule 1 - Rev by Source_5'!B11</f>
        <v>0</v>
      </c>
      <c r="C11" s="208">
        <f>'Schedule 1 - Rev by Source_5'!C11</f>
        <v>0</v>
      </c>
      <c r="D11" s="208">
        <f>'Schedule 1 - Rev by Source_5'!D11</f>
        <v>0</v>
      </c>
      <c r="E11" s="208">
        <f>'Schedule 1 - Rev by Source_5'!E11</f>
        <v>0</v>
      </c>
      <c r="F11" s="208">
        <f>'Schedule 1 - Rev by Source_5'!F11</f>
        <v>15465206</v>
      </c>
      <c r="G11" s="208">
        <f>'Schedule 1 - Rev by Source_5'!G11</f>
        <v>19455229</v>
      </c>
      <c r="H11" s="208">
        <f>'Schedule 1 - Rev by Source_5'!H11</f>
        <v>24494134</v>
      </c>
      <c r="J11" s="264" t="s">
        <v>3974</v>
      </c>
      <c r="K11" s="265">
        <f>B22</f>
        <v>26184476</v>
      </c>
      <c r="L11" s="265">
        <f t="shared" ref="L11:Q11" si="2">C22</f>
        <v>36202000</v>
      </c>
      <c r="M11" s="265">
        <f t="shared" si="2"/>
        <v>37099350</v>
      </c>
      <c r="N11" s="265">
        <f t="shared" si="2"/>
        <v>36462500</v>
      </c>
      <c r="O11" s="265">
        <f t="shared" si="2"/>
        <v>46949155</v>
      </c>
      <c r="P11" s="265">
        <f t="shared" si="2"/>
        <v>49926685</v>
      </c>
      <c r="Q11" s="265">
        <f t="shared" si="2"/>
        <v>54674270</v>
      </c>
      <c r="R11" s="264" t="s">
        <v>3975</v>
      </c>
    </row>
    <row r="12" spans="1:18" x14ac:dyDescent="0.2">
      <c r="A12" s="291" t="s">
        <v>1121</v>
      </c>
      <c r="B12" s="208">
        <f>'Schedule 1 - Rev by Source_5'!B12</f>
        <v>3529338</v>
      </c>
      <c r="C12" s="208">
        <f>'Schedule 1 - Rev by Source_5'!C12</f>
        <v>9633667</v>
      </c>
      <c r="D12" s="208">
        <f>'Schedule 1 - Rev by Source_5'!D12</f>
        <v>9633667</v>
      </c>
      <c r="E12" s="208">
        <f>'Schedule 1 - Rev by Source_5'!E12</f>
        <v>5457608.4000000004</v>
      </c>
      <c r="F12" s="208">
        <f>'Schedule 1 - Rev by Source_5'!F12</f>
        <v>8814684</v>
      </c>
      <c r="G12" s="208">
        <f>'Schedule 1 - Rev by Source_5'!G12</f>
        <v>10136887</v>
      </c>
      <c r="H12" s="208">
        <f>'Schedule 1 - Rev by Source_5'!H12</f>
        <v>11657420</v>
      </c>
      <c r="J12" s="264" t="s">
        <v>3976</v>
      </c>
      <c r="K12" s="265">
        <f>B12</f>
        <v>3529338</v>
      </c>
      <c r="L12" s="265">
        <f t="shared" ref="L12:Q12" si="3">C12</f>
        <v>9633667</v>
      </c>
      <c r="M12" s="265">
        <f t="shared" si="3"/>
        <v>9633667</v>
      </c>
      <c r="N12" s="265">
        <f t="shared" si="3"/>
        <v>5457608.4000000004</v>
      </c>
      <c r="O12" s="265">
        <f t="shared" si="3"/>
        <v>8814684</v>
      </c>
      <c r="P12" s="265">
        <f t="shared" si="3"/>
        <v>10136887</v>
      </c>
      <c r="Q12" s="265">
        <f t="shared" si="3"/>
        <v>11657420</v>
      </c>
    </row>
    <row r="13" spans="1:18" x14ac:dyDescent="0.2">
      <c r="A13" s="291" t="s">
        <v>1122</v>
      </c>
      <c r="B13" s="208">
        <f>'Schedule 1 - Rev by Source_5'!B13</f>
        <v>3471379</v>
      </c>
      <c r="C13" s="208">
        <f>'Schedule 1 - Rev by Source_5'!C13</f>
        <v>4737202</v>
      </c>
      <c r="D13" s="208">
        <f>'Schedule 1 - Rev by Source_5'!D13</f>
        <v>4737202</v>
      </c>
      <c r="E13" s="208">
        <f>'Schedule 1 - Rev by Source_5'!E13</f>
        <v>4677733.1999999993</v>
      </c>
      <c r="F13" s="208">
        <f>'Schedule 1 - Rev by Source_5'!F13</f>
        <v>5128704</v>
      </c>
      <c r="G13" s="208">
        <f>'Schedule 1 - Rev by Source_5'!G13</f>
        <v>5898010</v>
      </c>
      <c r="H13" s="208">
        <f>'Schedule 1 - Rev by Source_5'!H13</f>
        <v>7233408</v>
      </c>
      <c r="J13" s="264" t="s">
        <v>3977</v>
      </c>
      <c r="K13" s="265">
        <f>B13+B14+B15+B17+B18+B20+B16</f>
        <v>8653329</v>
      </c>
      <c r="L13" s="265">
        <f t="shared" ref="L13:Q13" si="4">C13+C14+C15+C17+C18+C20+C16</f>
        <v>10052787</v>
      </c>
      <c r="M13" s="265">
        <f t="shared" si="4"/>
        <v>10627387</v>
      </c>
      <c r="N13" s="265">
        <f t="shared" si="4"/>
        <v>10203761.6</v>
      </c>
      <c r="O13" s="265">
        <f t="shared" si="4"/>
        <v>10603846</v>
      </c>
      <c r="P13" s="265">
        <f t="shared" si="4"/>
        <v>12009482</v>
      </c>
      <c r="Q13" s="265">
        <f t="shared" si="4"/>
        <v>14066152</v>
      </c>
      <c r="R13" s="264" t="s">
        <v>3978</v>
      </c>
    </row>
    <row r="14" spans="1:18" x14ac:dyDescent="0.2">
      <c r="A14" s="291" t="s">
        <v>1123</v>
      </c>
      <c r="B14" s="208">
        <f>'Schedule 1 - Rev by Source_5'!B14</f>
        <v>3014546</v>
      </c>
      <c r="C14" s="208">
        <f>'Schedule 1 - Rev by Source_5'!C14</f>
        <v>3120604</v>
      </c>
      <c r="D14" s="208">
        <f>'Schedule 1 - Rev by Source_5'!D14</f>
        <v>3120604</v>
      </c>
      <c r="E14" s="208">
        <f>'Schedule 1 - Rev by Source_5'!E14</f>
        <v>3124473.5999999996</v>
      </c>
      <c r="F14" s="208">
        <f>'Schedule 1 - Rev by Source_5'!F14</f>
        <v>3458160</v>
      </c>
      <c r="G14" s="208">
        <f>'Schedule 1 - Rev by Source_5'!G14</f>
        <v>3976884</v>
      </c>
      <c r="H14" s="208">
        <f>'Schedule 1 - Rev by Source_5'!H14</f>
        <v>4573417</v>
      </c>
      <c r="J14" s="272" t="s">
        <v>4137</v>
      </c>
      <c r="K14" s="292">
        <f t="shared" ref="K14:Q14" si="5">SUM(K9:K13)</f>
        <v>43861972</v>
      </c>
      <c r="L14" s="292">
        <f t="shared" si="5"/>
        <v>62305034</v>
      </c>
      <c r="M14" s="292">
        <f t="shared" si="5"/>
        <v>63776984</v>
      </c>
      <c r="N14" s="292">
        <f t="shared" si="5"/>
        <v>60303734.960000001</v>
      </c>
      <c r="O14" s="292">
        <f t="shared" si="5"/>
        <v>92528048</v>
      </c>
      <c r="P14" s="292">
        <f t="shared" si="5"/>
        <v>102865150</v>
      </c>
      <c r="Q14" s="292">
        <f t="shared" si="5"/>
        <v>116909053</v>
      </c>
    </row>
    <row r="15" spans="1:18" x14ac:dyDescent="0.2">
      <c r="A15" s="303" t="s">
        <v>4360</v>
      </c>
      <c r="B15" s="208">
        <f>'Schedule 1 - Rev by Source_5'!B15</f>
        <v>632163</v>
      </c>
      <c r="C15" s="208">
        <f>'Schedule 1 - Rev by Source_5'!C15</f>
        <v>460917</v>
      </c>
      <c r="D15" s="208">
        <f>'Schedule 1 - Rev by Source_5'!D15</f>
        <v>1035517</v>
      </c>
      <c r="E15" s="208">
        <f>'Schedule 1 - Rev by Source_5'!E15</f>
        <v>800322</v>
      </c>
      <c r="F15" s="208">
        <f>'Schedule 1 - Rev by Source_5'!F15</f>
        <v>330511</v>
      </c>
      <c r="G15" s="208">
        <f>'Schedule 1 - Rev by Source_5'!G15</f>
        <v>350342</v>
      </c>
      <c r="H15" s="208">
        <f>'Schedule 1 - Rev by Source_5'!H15</f>
        <v>371361</v>
      </c>
    </row>
    <row r="16" spans="1:18" x14ac:dyDescent="0.2">
      <c r="A16" s="303" t="s">
        <v>3992</v>
      </c>
      <c r="B16" s="208">
        <f>'Schedule 1 - Rev by Source_5'!B19</f>
        <v>3158</v>
      </c>
      <c r="C16" s="208">
        <f>'Schedule 1 - Rev by Source_5'!C19</f>
        <v>4211</v>
      </c>
      <c r="D16" s="208">
        <f>'Schedule 1 - Rev by Source_5'!D19</f>
        <v>4211</v>
      </c>
      <c r="E16" s="208">
        <f>'Schedule 1 - Rev by Source_5'!E19</f>
        <v>5204</v>
      </c>
      <c r="F16" s="208">
        <f>'Schedule 1 - Rev by Source_5'!F19</f>
        <v>0</v>
      </c>
      <c r="G16" s="208">
        <f>'Schedule 1 - Rev by Source_5'!G19</f>
        <v>0</v>
      </c>
      <c r="H16" s="208">
        <f>'Schedule 1 - Rev by Source_5'!H19</f>
        <v>0</v>
      </c>
    </row>
    <row r="17" spans="1:17" x14ac:dyDescent="0.2">
      <c r="A17" s="291" t="s">
        <v>1124</v>
      </c>
      <c r="B17" s="208">
        <f>'Schedule 1 - Rev by Source_5'!B16</f>
        <v>421958</v>
      </c>
      <c r="C17" s="208">
        <f>'Schedule 1 - Rev by Source_5'!C16</f>
        <v>332868</v>
      </c>
      <c r="D17" s="208">
        <f>'Schedule 1 - Rev by Source_5'!D16</f>
        <v>332868</v>
      </c>
      <c r="E17" s="208">
        <f>'Schedule 1 - Rev by Source_5'!E16</f>
        <v>463792.79999999993</v>
      </c>
      <c r="F17" s="208">
        <f>'Schedule 1 - Rev by Source_5'!F16</f>
        <v>511171</v>
      </c>
      <c r="G17" s="208">
        <f>'Schedule 1 - Rev by Source_5'!G16</f>
        <v>542416</v>
      </c>
      <c r="H17" s="208">
        <f>'Schedule 1 - Rev by Source_5'!H16</f>
        <v>575593</v>
      </c>
      <c r="J17" s="272" t="s">
        <v>3979</v>
      </c>
    </row>
    <row r="18" spans="1:17" x14ac:dyDescent="0.2">
      <c r="A18" s="291" t="s">
        <v>1125</v>
      </c>
      <c r="B18" s="208">
        <f>'Schedule 1 - Rev by Source_5'!B17</f>
        <v>76165</v>
      </c>
      <c r="C18" s="208">
        <f>'Schedule 1 - Rev by Source_5'!C17</f>
        <v>36100</v>
      </c>
      <c r="D18" s="208">
        <f>'Schedule 1 - Rev by Source_5'!D17</f>
        <v>36100</v>
      </c>
      <c r="E18" s="208">
        <f>'Schedule 1 - Rev by Source_5'!E17</f>
        <v>50349.599999999999</v>
      </c>
      <c r="F18" s="208">
        <f>'Schedule 1 - Rev by Source_5'!F17</f>
        <v>75300</v>
      </c>
      <c r="G18" s="208">
        <f>'Schedule 1 - Rev by Source_5'!G17</f>
        <v>75830</v>
      </c>
      <c r="H18" s="208">
        <f>'Schedule 1 - Rev by Source_5'!H17</f>
        <v>76413</v>
      </c>
      <c r="K18" s="287" t="s">
        <v>3994</v>
      </c>
      <c r="L18" s="288" t="s">
        <v>3995</v>
      </c>
      <c r="M18" s="288" t="s">
        <v>3996</v>
      </c>
      <c r="N18" s="287" t="s">
        <v>3997</v>
      </c>
      <c r="O18" s="287" t="s">
        <v>3998</v>
      </c>
      <c r="P18" s="287" t="s">
        <v>3999</v>
      </c>
      <c r="Q18" s="287" t="s">
        <v>4000</v>
      </c>
    </row>
    <row r="19" spans="1:17" x14ac:dyDescent="0.2">
      <c r="A19" s="291" t="s">
        <v>1126</v>
      </c>
      <c r="B19" s="208">
        <v>0</v>
      </c>
      <c r="C19" s="208">
        <v>1</v>
      </c>
      <c r="D19" s="208">
        <v>2</v>
      </c>
      <c r="E19" s="208">
        <v>3</v>
      </c>
      <c r="F19" s="208">
        <v>4</v>
      </c>
      <c r="G19" s="208">
        <v>5</v>
      </c>
      <c r="H19" s="208">
        <v>6</v>
      </c>
      <c r="J19" s="304" t="s">
        <v>3992</v>
      </c>
      <c r="K19" s="265">
        <f>B16</f>
        <v>3158</v>
      </c>
      <c r="L19" s="265">
        <f t="shared" ref="L19:Q19" si="6">C16</f>
        <v>4211</v>
      </c>
      <c r="M19" s="265">
        <f t="shared" si="6"/>
        <v>4211</v>
      </c>
      <c r="N19" s="265">
        <f t="shared" si="6"/>
        <v>5204</v>
      </c>
      <c r="O19" s="265">
        <f t="shared" si="6"/>
        <v>0</v>
      </c>
      <c r="P19" s="265">
        <f t="shared" si="6"/>
        <v>0</v>
      </c>
      <c r="Q19" s="265">
        <f t="shared" si="6"/>
        <v>0</v>
      </c>
    </row>
    <row r="20" spans="1:17" x14ac:dyDescent="0.2">
      <c r="A20" s="291" t="s">
        <v>1128</v>
      </c>
      <c r="B20" s="208">
        <f>'Schedule 1 - Rev by Source_5'!B20</f>
        <v>1033960</v>
      </c>
      <c r="C20" s="208">
        <f>'Schedule 1 - Rev by Source_5'!C20</f>
        <v>1360885</v>
      </c>
      <c r="D20" s="208">
        <f>'Schedule 1 - Rev by Source_5'!D20</f>
        <v>1360885</v>
      </c>
      <c r="E20" s="208">
        <f>'Schedule 1 - Rev by Source_5'!E20</f>
        <v>1081886.3999999999</v>
      </c>
      <c r="F20" s="208">
        <f>'Schedule 1 - Rev by Source_5'!F20</f>
        <v>1100000</v>
      </c>
      <c r="G20" s="208">
        <f>'Schedule 1 - Rev by Source_5'!G20</f>
        <v>1166000</v>
      </c>
      <c r="H20" s="208">
        <f>'Schedule 1 - Rev by Source_5'!H20</f>
        <v>1235960</v>
      </c>
      <c r="J20" s="264" t="s">
        <v>1128</v>
      </c>
      <c r="K20" s="265">
        <f>B20</f>
        <v>1033960</v>
      </c>
      <c r="L20" s="265">
        <f t="shared" ref="L20:Q20" si="7">C20</f>
        <v>1360885</v>
      </c>
      <c r="M20" s="265">
        <f t="shared" si="7"/>
        <v>1360885</v>
      </c>
      <c r="N20" s="265">
        <f t="shared" si="7"/>
        <v>1081886.3999999999</v>
      </c>
      <c r="O20" s="265">
        <f t="shared" si="7"/>
        <v>1100000</v>
      </c>
      <c r="P20" s="265">
        <f t="shared" si="7"/>
        <v>1166000</v>
      </c>
      <c r="Q20" s="265">
        <f t="shared" si="7"/>
        <v>1235960</v>
      </c>
    </row>
    <row r="21" spans="1:17" x14ac:dyDescent="0.2">
      <c r="A21" s="303" t="s">
        <v>3993</v>
      </c>
      <c r="B21" s="208">
        <f>'Schedule 1 - Rev by Source_5'!B24</f>
        <v>-1992535</v>
      </c>
      <c r="C21" s="208">
        <f>'Schedule 1 - Rev by Source_5'!C24</f>
        <v>-4865086</v>
      </c>
      <c r="D21" s="208">
        <f>'Schedule 1 - Rev by Source_5'!D24</f>
        <v>-5721544</v>
      </c>
      <c r="E21" s="208">
        <f>'Schedule 1 - Rev by Source_5'!E24</f>
        <v>-2369424</v>
      </c>
      <c r="F21" s="208">
        <f>'Schedule 1 - Rev by Source_5'!F24</f>
        <v>-6130907</v>
      </c>
      <c r="G21" s="208">
        <f>'Schedule 1 - Rev by Source_5'!G24</f>
        <v>-7704489</v>
      </c>
      <c r="H21" s="208">
        <f>'Schedule 1 - Rev by Source_5'!H24</f>
        <v>-6700973</v>
      </c>
      <c r="J21" s="264" t="s">
        <v>1124</v>
      </c>
      <c r="K21" s="265">
        <f>B17</f>
        <v>421958</v>
      </c>
      <c r="L21" s="265">
        <f t="shared" ref="L21:Q21" si="8">C17</f>
        <v>332868</v>
      </c>
      <c r="M21" s="265">
        <f t="shared" si="8"/>
        <v>332868</v>
      </c>
      <c r="N21" s="265">
        <f t="shared" si="8"/>
        <v>463792.79999999993</v>
      </c>
      <c r="O21" s="265">
        <f t="shared" si="8"/>
        <v>511171</v>
      </c>
      <c r="P21" s="265">
        <f t="shared" si="8"/>
        <v>542416</v>
      </c>
      <c r="Q21" s="265">
        <f t="shared" si="8"/>
        <v>575593</v>
      </c>
    </row>
    <row r="22" spans="1:17" x14ac:dyDescent="0.2">
      <c r="A22" s="291" t="s">
        <v>3980</v>
      </c>
      <c r="B22" s="208">
        <f>'Schedule 1 - Rev by Source_5'!B21+'Schedule 1 - Rev by Source_5'!B22</f>
        <v>26184476</v>
      </c>
      <c r="C22" s="208">
        <f>'Schedule 1 - Rev by Source_5'!C21+'Schedule 1 - Rev by Source_5'!C22</f>
        <v>36202000</v>
      </c>
      <c r="D22" s="208">
        <f>'Schedule 1 - Rev by Source_5'!D21+'Schedule 1 - Rev by Source_5'!D22</f>
        <v>37099350</v>
      </c>
      <c r="E22" s="208">
        <f>'Schedule 1 - Rev by Source_5'!E21+'Schedule 1 - Rev by Source_5'!E22</f>
        <v>36462500</v>
      </c>
      <c r="F22" s="208">
        <f>'Schedule 1 - Rev by Source_5'!F21+'Schedule 1 - Rev by Source_5'!F22</f>
        <v>46949155</v>
      </c>
      <c r="G22" s="208">
        <f>'Schedule 1 - Rev by Source_5'!G21+'Schedule 1 - Rev by Source_5'!G22</f>
        <v>49926685</v>
      </c>
      <c r="H22" s="208">
        <f>'Schedule 1 - Rev by Source_5'!H21+'Schedule 1 - Rev by Source_5'!H22</f>
        <v>54674270</v>
      </c>
      <c r="J22" s="264" t="s">
        <v>1125</v>
      </c>
      <c r="K22" s="265">
        <f>B18</f>
        <v>76165</v>
      </c>
      <c r="L22" s="265">
        <f t="shared" ref="L22:Q22" si="9">C18</f>
        <v>36100</v>
      </c>
      <c r="M22" s="265">
        <f t="shared" si="9"/>
        <v>36100</v>
      </c>
      <c r="N22" s="265">
        <f t="shared" si="9"/>
        <v>50349.599999999999</v>
      </c>
      <c r="O22" s="265">
        <f t="shared" si="9"/>
        <v>75300</v>
      </c>
      <c r="P22" s="265">
        <f t="shared" si="9"/>
        <v>75830</v>
      </c>
      <c r="Q22" s="265">
        <f t="shared" si="9"/>
        <v>76413</v>
      </c>
    </row>
    <row r="23" spans="1:17" x14ac:dyDescent="0.2">
      <c r="A23" s="291"/>
      <c r="B23" s="293"/>
      <c r="C23" s="293"/>
      <c r="D23" s="293"/>
      <c r="E23" s="293"/>
      <c r="F23" s="293"/>
      <c r="G23" s="293"/>
      <c r="H23" s="293"/>
      <c r="J23" s="264" t="s">
        <v>3981</v>
      </c>
      <c r="K23" s="265">
        <f>B14</f>
        <v>3014546</v>
      </c>
      <c r="L23" s="265">
        <f t="shared" ref="L23:Q23" si="10">C14</f>
        <v>3120604</v>
      </c>
      <c r="M23" s="265">
        <f t="shared" si="10"/>
        <v>3120604</v>
      </c>
      <c r="N23" s="265">
        <f t="shared" si="10"/>
        <v>3124473.5999999996</v>
      </c>
      <c r="O23" s="265">
        <f t="shared" si="10"/>
        <v>3458160</v>
      </c>
      <c r="P23" s="265">
        <f t="shared" si="10"/>
        <v>3976884</v>
      </c>
      <c r="Q23" s="265">
        <f t="shared" si="10"/>
        <v>4573417</v>
      </c>
    </row>
    <row r="24" spans="1:17" x14ac:dyDescent="0.2">
      <c r="A24" s="291"/>
      <c r="B24" s="293"/>
      <c r="C24" s="293"/>
      <c r="D24" s="293"/>
      <c r="E24" s="293"/>
      <c r="F24" s="290"/>
      <c r="G24" s="290"/>
      <c r="H24" s="290"/>
      <c r="J24" s="264" t="s">
        <v>3982</v>
      </c>
      <c r="K24" s="265">
        <f>B13</f>
        <v>3471379</v>
      </c>
      <c r="L24" s="265">
        <f t="shared" ref="L24:Q24" si="11">C13</f>
        <v>4737202</v>
      </c>
      <c r="M24" s="265">
        <f t="shared" si="11"/>
        <v>4737202</v>
      </c>
      <c r="N24" s="265">
        <f t="shared" si="11"/>
        <v>4677733.1999999993</v>
      </c>
      <c r="O24" s="265">
        <f t="shared" si="11"/>
        <v>5128704</v>
      </c>
      <c r="P24" s="265">
        <f t="shared" si="11"/>
        <v>5898010</v>
      </c>
      <c r="Q24" s="265">
        <f t="shared" si="11"/>
        <v>7233408</v>
      </c>
    </row>
    <row r="25" spans="1:17" x14ac:dyDescent="0.2">
      <c r="A25" s="291"/>
      <c r="B25" s="290"/>
      <c r="C25" s="290"/>
      <c r="D25" s="290"/>
      <c r="E25" s="290"/>
      <c r="F25" s="290"/>
      <c r="G25" s="290"/>
      <c r="H25" s="290"/>
      <c r="J25" s="264" t="s">
        <v>3983</v>
      </c>
      <c r="K25" s="265">
        <f>B15</f>
        <v>632163</v>
      </c>
      <c r="L25" s="265">
        <f t="shared" ref="L25:Q25" si="12">C15</f>
        <v>460917</v>
      </c>
      <c r="M25" s="265">
        <f t="shared" si="12"/>
        <v>1035517</v>
      </c>
      <c r="N25" s="265">
        <f t="shared" si="12"/>
        <v>800322</v>
      </c>
      <c r="O25" s="265">
        <f t="shared" si="12"/>
        <v>330511</v>
      </c>
      <c r="P25" s="265">
        <f t="shared" si="12"/>
        <v>350342</v>
      </c>
      <c r="Q25" s="265">
        <f t="shared" si="12"/>
        <v>371361</v>
      </c>
    </row>
    <row r="26" spans="1:17" x14ac:dyDescent="0.2">
      <c r="A26" s="294"/>
      <c r="B26" s="290"/>
      <c r="C26" s="290"/>
      <c r="D26" s="293"/>
      <c r="E26" s="290"/>
      <c r="F26" s="290"/>
      <c r="G26" s="290"/>
      <c r="H26" s="290"/>
      <c r="J26" s="272" t="s">
        <v>4137</v>
      </c>
      <c r="K26" s="292">
        <f>SUM(K19:K25)</f>
        <v>8653329</v>
      </c>
      <c r="L26" s="292">
        <f t="shared" ref="L26:Q26" si="13">SUM(L19:L25)</f>
        <v>10052787</v>
      </c>
      <c r="M26" s="292">
        <f t="shared" si="13"/>
        <v>10627387</v>
      </c>
      <c r="N26" s="292">
        <f t="shared" si="13"/>
        <v>10203761.599999998</v>
      </c>
      <c r="O26" s="292">
        <f t="shared" si="13"/>
        <v>10603846</v>
      </c>
      <c r="P26" s="292">
        <f t="shared" si="13"/>
        <v>12009482</v>
      </c>
      <c r="Q26" s="292">
        <f t="shared" si="13"/>
        <v>14066152</v>
      </c>
    </row>
    <row r="27" spans="1:17" x14ac:dyDescent="0.2">
      <c r="A27" s="294"/>
      <c r="B27" s="295"/>
      <c r="C27" s="295"/>
      <c r="D27" s="295"/>
      <c r="E27" s="295"/>
      <c r="F27" s="295"/>
      <c r="G27" s="296"/>
      <c r="H27" s="296"/>
      <c r="J27" s="304"/>
    </row>
    <row r="28" spans="1:17" x14ac:dyDescent="0.2">
      <c r="A28" s="291"/>
      <c r="B28" s="295"/>
      <c r="C28" s="295"/>
      <c r="D28" s="295"/>
      <c r="E28" s="295"/>
      <c r="F28" s="295"/>
      <c r="G28" s="296"/>
      <c r="H28" s="296"/>
    </row>
    <row r="29" spans="1:17" x14ac:dyDescent="0.2">
      <c r="A29" s="297"/>
      <c r="B29" s="298"/>
      <c r="C29" s="298"/>
      <c r="D29" s="298"/>
      <c r="E29" s="298"/>
      <c r="F29" s="298"/>
      <c r="G29" s="298"/>
      <c r="H29" s="298"/>
    </row>
    <row r="30" spans="1:17" x14ac:dyDescent="0.2">
      <c r="A30" s="299" t="s">
        <v>1130</v>
      </c>
      <c r="B30" s="209">
        <f t="shared" ref="B30:H30" si="14">SUM(B9:B28)</f>
        <v>41869437</v>
      </c>
      <c r="C30" s="209">
        <f t="shared" si="14"/>
        <v>57439949</v>
      </c>
      <c r="D30" s="209">
        <f t="shared" si="14"/>
        <v>58055442</v>
      </c>
      <c r="E30" s="209">
        <f t="shared" si="14"/>
        <v>57934313.959999993</v>
      </c>
      <c r="F30" s="209">
        <f t="shared" si="14"/>
        <v>86397145</v>
      </c>
      <c r="G30" s="209">
        <f t="shared" si="14"/>
        <v>95160666</v>
      </c>
      <c r="H30" s="209">
        <f t="shared" si="14"/>
        <v>110208086</v>
      </c>
    </row>
    <row r="31" spans="1:17" x14ac:dyDescent="0.2">
      <c r="B31" s="300"/>
      <c r="C31" s="300"/>
      <c r="D31" s="300"/>
      <c r="E31" s="300"/>
      <c r="F31" s="300"/>
      <c r="G31" s="300"/>
      <c r="H31" s="300"/>
    </row>
    <row r="32" spans="1:17" x14ac:dyDescent="0.2">
      <c r="A32" s="301" t="s">
        <v>1131</v>
      </c>
    </row>
    <row r="33" spans="1:8" x14ac:dyDescent="0.2">
      <c r="A33" s="304" t="s">
        <v>4099</v>
      </c>
    </row>
    <row r="34" spans="1:8" x14ac:dyDescent="0.2">
      <c r="A34" s="304" t="s">
        <v>4100</v>
      </c>
      <c r="E34" s="300"/>
      <c r="F34" s="300"/>
      <c r="G34" s="300"/>
      <c r="H34" s="300"/>
    </row>
    <row r="35" spans="1:8" x14ac:dyDescent="0.2">
      <c r="A35" s="304" t="s">
        <v>4101</v>
      </c>
    </row>
    <row r="36" spans="1:8" x14ac:dyDescent="0.2">
      <c r="A36" s="304" t="s">
        <v>4102</v>
      </c>
    </row>
    <row r="37" spans="1:8" x14ac:dyDescent="0.2">
      <c r="A37" s="304" t="s">
        <v>4103</v>
      </c>
    </row>
    <row r="38" spans="1:8" x14ac:dyDescent="0.2">
      <c r="A38" s="304" t="s">
        <v>4104</v>
      </c>
    </row>
    <row r="39" spans="1:8" x14ac:dyDescent="0.2">
      <c r="A39" s="304" t="s">
        <v>4359</v>
      </c>
    </row>
    <row r="41" spans="1:8" x14ac:dyDescent="0.2">
      <c r="A41" s="301" t="s">
        <v>1132</v>
      </c>
    </row>
    <row r="42" spans="1:8" x14ac:dyDescent="0.2">
      <c r="A42" s="302" t="s">
        <v>3984</v>
      </c>
    </row>
    <row r="43" spans="1:8" x14ac:dyDescent="0.2">
      <c r="A43" s="264" t="s">
        <v>3985</v>
      </c>
    </row>
    <row r="44" spans="1:8" x14ac:dyDescent="0.2">
      <c r="A44" s="302" t="s">
        <v>3991</v>
      </c>
    </row>
    <row r="45" spans="1:8" x14ac:dyDescent="0.2">
      <c r="A45" s="302" t="s">
        <v>3986</v>
      </c>
    </row>
    <row r="46" spans="1:8" x14ac:dyDescent="0.2">
      <c r="A46" s="302" t="s">
        <v>3987</v>
      </c>
    </row>
    <row r="47" spans="1:8" x14ac:dyDescent="0.2">
      <c r="A47" s="264" t="s">
        <v>3988</v>
      </c>
    </row>
    <row r="48" spans="1:8" x14ac:dyDescent="0.2">
      <c r="A48" s="264" t="s">
        <v>3989</v>
      </c>
    </row>
    <row r="49" spans="1:1" x14ac:dyDescent="0.2">
      <c r="A49" s="264" t="s">
        <v>3990</v>
      </c>
    </row>
  </sheetData>
  <phoneticPr fontId="3" type="noConversion"/>
  <pageMargins left="0.75" right="0.75" top="1" bottom="1" header="0.5" footer="0.5"/>
  <pageSetup paperSize="9" scale="72"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0"/>
  <sheetViews>
    <sheetView view="pageBreakPreview" topLeftCell="F3" zoomScaleNormal="100" workbookViewId="0">
      <selection activeCell="O11" sqref="O11"/>
    </sheetView>
  </sheetViews>
  <sheetFormatPr defaultColWidth="10.6640625" defaultRowHeight="12.75" x14ac:dyDescent="0.2"/>
  <cols>
    <col min="1" max="1" width="57.83203125" style="264" customWidth="1"/>
    <col min="2" max="2" width="21.33203125" style="265" bestFit="1" customWidth="1"/>
    <col min="3" max="3" width="24" style="265" bestFit="1" customWidth="1"/>
    <col min="4" max="5" width="23.6640625" style="265" bestFit="1" customWidth="1"/>
    <col min="6" max="6" width="23.83203125" style="265" bestFit="1" customWidth="1"/>
    <col min="7" max="8" width="23.83203125" style="265" customWidth="1"/>
    <col min="9" max="9" width="10.6640625" style="264" customWidth="1"/>
    <col min="10" max="10" width="30.5" style="264" bestFit="1" customWidth="1"/>
    <col min="11" max="16" width="12.5" style="265" customWidth="1"/>
    <col min="17" max="17" width="13.5" style="265" customWidth="1"/>
    <col min="18" max="16384" width="10.6640625" style="264"/>
  </cols>
  <sheetData>
    <row r="1" spans="1:17" x14ac:dyDescent="0.2">
      <c r="A1" s="305"/>
      <c r="B1" s="257" t="s">
        <v>1096</v>
      </c>
      <c r="C1" s="258" t="s">
        <v>1097</v>
      </c>
      <c r="D1" s="259"/>
      <c r="E1" s="260"/>
      <c r="F1" s="261" t="s">
        <v>1098</v>
      </c>
      <c r="G1" s="262"/>
      <c r="H1" s="263"/>
    </row>
    <row r="2" spans="1:17" x14ac:dyDescent="0.2">
      <c r="A2" s="266" t="s">
        <v>4001</v>
      </c>
      <c r="B2" s="267" t="s">
        <v>1103</v>
      </c>
      <c r="C2" s="268" t="s">
        <v>4093</v>
      </c>
      <c r="D2" s="269"/>
      <c r="E2" s="270"/>
      <c r="F2" s="271" t="s">
        <v>1100</v>
      </c>
      <c r="G2" s="266" t="s">
        <v>1101</v>
      </c>
      <c r="H2" s="266" t="s">
        <v>1102</v>
      </c>
    </row>
    <row r="3" spans="1:17" x14ac:dyDescent="0.2">
      <c r="A3" s="286"/>
      <c r="B3" s="273"/>
      <c r="C3" s="274"/>
      <c r="D3" s="275"/>
      <c r="E3" s="276"/>
      <c r="F3" s="277" t="s">
        <v>4094</v>
      </c>
      <c r="G3" s="277" t="s">
        <v>4095</v>
      </c>
      <c r="H3" s="277" t="s">
        <v>4096</v>
      </c>
    </row>
    <row r="4" spans="1:17" x14ac:dyDescent="0.2">
      <c r="A4" s="266" t="s">
        <v>4363</v>
      </c>
      <c r="B4" s="278" t="s">
        <v>1104</v>
      </c>
      <c r="C4" s="257" t="s">
        <v>1105</v>
      </c>
      <c r="D4" s="257" t="s">
        <v>1106</v>
      </c>
      <c r="E4" s="279" t="s">
        <v>1107</v>
      </c>
      <c r="F4" s="279" t="s">
        <v>1108</v>
      </c>
      <c r="G4" s="279" t="s">
        <v>1108</v>
      </c>
      <c r="H4" s="279" t="s">
        <v>1108</v>
      </c>
    </row>
    <row r="5" spans="1:17" x14ac:dyDescent="0.2">
      <c r="A5" s="286"/>
      <c r="B5" s="280" t="s">
        <v>1109</v>
      </c>
      <c r="C5" s="266" t="s">
        <v>1109</v>
      </c>
      <c r="D5" s="266" t="s">
        <v>1109</v>
      </c>
      <c r="E5" s="266" t="s">
        <v>1109</v>
      </c>
      <c r="F5" s="266" t="s">
        <v>1109</v>
      </c>
      <c r="G5" s="266" t="s">
        <v>1109</v>
      </c>
      <c r="H5" s="266" t="s">
        <v>1109</v>
      </c>
    </row>
    <row r="6" spans="1:17" x14ac:dyDescent="0.2">
      <c r="A6" s="281"/>
      <c r="B6" s="282" t="s">
        <v>1110</v>
      </c>
      <c r="C6" s="283" t="s">
        <v>1111</v>
      </c>
      <c r="D6" s="283" t="s">
        <v>1112</v>
      </c>
      <c r="E6" s="283" t="s">
        <v>1113</v>
      </c>
      <c r="F6" s="266" t="s">
        <v>1114</v>
      </c>
      <c r="G6" s="284" t="s">
        <v>1115</v>
      </c>
      <c r="H6" s="284" t="s">
        <v>1116</v>
      </c>
      <c r="J6" s="309" t="s">
        <v>4002</v>
      </c>
    </row>
    <row r="7" spans="1:17" x14ac:dyDescent="0.2">
      <c r="A7" s="286"/>
      <c r="B7" s="324"/>
      <c r="C7" s="317"/>
      <c r="D7" s="324"/>
      <c r="E7" s="317"/>
      <c r="F7" s="324"/>
      <c r="G7" s="317"/>
      <c r="H7" s="324"/>
      <c r="K7" s="287" t="s">
        <v>3994</v>
      </c>
      <c r="L7" s="288" t="s">
        <v>3995</v>
      </c>
      <c r="M7" s="288" t="s">
        <v>3996</v>
      </c>
      <c r="N7" s="287" t="s">
        <v>3997</v>
      </c>
      <c r="O7" s="287" t="s">
        <v>3998</v>
      </c>
      <c r="P7" s="287" t="s">
        <v>3999</v>
      </c>
      <c r="Q7" s="287" t="s">
        <v>4000</v>
      </c>
    </row>
    <row r="8" spans="1:17" x14ac:dyDescent="0.2">
      <c r="A8" s="307" t="s">
        <v>4371</v>
      </c>
      <c r="B8" s="243">
        <f>'Schedule 2 -Opex by Vote_6'!B8</f>
        <v>4157649.76</v>
      </c>
      <c r="C8" s="243">
        <f>'Schedule 2 -Opex by Vote_6'!C8</f>
        <v>7025016</v>
      </c>
      <c r="D8" s="243">
        <f>'Schedule 2 -Opex by Vote_6'!D8</f>
        <v>7475016</v>
      </c>
      <c r="E8" s="243">
        <f>'Schedule 2 -Opex by Vote_6'!E8</f>
        <v>5598481.9000000013</v>
      </c>
      <c r="F8" s="243">
        <f>'Schedule 2 -Opex by Vote_6'!F8</f>
        <v>8941513</v>
      </c>
      <c r="G8" s="243">
        <f>'Schedule 2 -Opex by Vote_6'!G8</f>
        <v>9591984</v>
      </c>
      <c r="H8" s="243">
        <f>'Schedule 2 -Opex by Vote_6'!H8</f>
        <v>10318335</v>
      </c>
      <c r="J8" s="264" t="s">
        <v>4382</v>
      </c>
      <c r="K8" s="265">
        <f>B20</f>
        <v>44064</v>
      </c>
      <c r="L8" s="265">
        <f t="shared" ref="L8:Q8" si="0">C20</f>
        <v>340418</v>
      </c>
      <c r="M8" s="265">
        <f t="shared" si="0"/>
        <v>340418</v>
      </c>
      <c r="N8" s="265">
        <f t="shared" si="0"/>
        <v>337134</v>
      </c>
      <c r="O8" s="265">
        <f t="shared" si="0"/>
        <v>11114918</v>
      </c>
      <c r="P8" s="265">
        <f t="shared" si="0"/>
        <v>13626884</v>
      </c>
      <c r="Q8" s="265">
        <f t="shared" si="0"/>
        <v>16758796</v>
      </c>
    </row>
    <row r="9" spans="1:17" x14ac:dyDescent="0.2">
      <c r="A9" s="289" t="s">
        <v>4372</v>
      </c>
      <c r="B9" s="243">
        <f>'Schedule 2 -Opex by Vote_6'!B9</f>
        <v>15555672</v>
      </c>
      <c r="C9" s="243">
        <f>'Schedule 2 -Opex by Vote_6'!C9</f>
        <v>15049532</v>
      </c>
      <c r="D9" s="243">
        <f>'Schedule 2 -Opex by Vote_6'!D9</f>
        <v>15901532</v>
      </c>
      <c r="E9" s="243">
        <f>'Schedule 2 -Opex by Vote_6'!E9</f>
        <v>17312548.799999997</v>
      </c>
      <c r="F9" s="243">
        <f>'Schedule 2 -Opex by Vote_6'!F9</f>
        <v>21068441</v>
      </c>
      <c r="G9" s="243">
        <f>'Schedule 2 -Opex by Vote_6'!G9</f>
        <v>21449825</v>
      </c>
      <c r="H9" s="243">
        <f>'Schedule 2 -Opex by Vote_6'!H9</f>
        <v>22732583</v>
      </c>
      <c r="J9" s="264" t="s">
        <v>444</v>
      </c>
      <c r="K9" s="265">
        <f>B19</f>
        <v>7094443</v>
      </c>
      <c r="L9" s="265">
        <f t="shared" ref="L9:Q9" si="1">C19</f>
        <v>6930726</v>
      </c>
      <c r="M9" s="265">
        <f t="shared" si="1"/>
        <v>6930726</v>
      </c>
      <c r="N9" s="265">
        <f t="shared" si="1"/>
        <v>5338705.2000000011</v>
      </c>
      <c r="O9" s="265">
        <f t="shared" si="1"/>
        <v>8562718</v>
      </c>
      <c r="P9" s="265">
        <f t="shared" si="1"/>
        <v>9006002</v>
      </c>
      <c r="Q9" s="265">
        <f t="shared" si="1"/>
        <v>9734985</v>
      </c>
    </row>
    <row r="10" spans="1:17" x14ac:dyDescent="0.2">
      <c r="A10" s="307" t="s">
        <v>4373</v>
      </c>
      <c r="B10" s="243">
        <f>'Schedule 2 -Opex by Vote_6'!B10</f>
        <v>467343</v>
      </c>
      <c r="C10" s="243">
        <f>'Schedule 2 -Opex by Vote_6'!C10</f>
        <v>936532</v>
      </c>
      <c r="D10" s="243">
        <f>'Schedule 2 -Opex by Vote_6'!D10</f>
        <v>1036532</v>
      </c>
      <c r="E10" s="243">
        <f>'Schedule 2 -Opex by Vote_6'!E10</f>
        <v>526707.6</v>
      </c>
      <c r="F10" s="243">
        <f>'Schedule 2 -Opex by Vote_6'!F10</f>
        <v>1966028</v>
      </c>
      <c r="G10" s="243">
        <f>'Schedule 2 -Opex by Vote_6'!G10</f>
        <v>2587468</v>
      </c>
      <c r="H10" s="243">
        <f>'Schedule 2 -Opex by Vote_6'!H10</f>
        <v>2739372</v>
      </c>
      <c r="J10" s="264" t="s">
        <v>4375</v>
      </c>
      <c r="K10" s="265">
        <f>B12</f>
        <v>1720513</v>
      </c>
      <c r="L10" s="265">
        <f t="shared" ref="L10:Q10" si="2">C12</f>
        <v>3667555</v>
      </c>
      <c r="M10" s="265">
        <f t="shared" si="2"/>
        <v>3067555</v>
      </c>
      <c r="N10" s="265">
        <f t="shared" si="2"/>
        <v>2305503.6</v>
      </c>
      <c r="O10" s="265">
        <f t="shared" si="2"/>
        <v>2951771</v>
      </c>
      <c r="P10" s="265">
        <f t="shared" si="2"/>
        <v>3164735</v>
      </c>
      <c r="Q10" s="265">
        <f t="shared" si="2"/>
        <v>3393254</v>
      </c>
    </row>
    <row r="11" spans="1:17" x14ac:dyDescent="0.2">
      <c r="A11" s="307" t="s">
        <v>4374</v>
      </c>
      <c r="B11" s="243">
        <f>'Schedule 2 -Opex by Vote_6'!B11</f>
        <v>0</v>
      </c>
      <c r="C11" s="243">
        <f>'Schedule 2 -Opex by Vote_6'!C11</f>
        <v>0</v>
      </c>
      <c r="D11" s="243">
        <f>'Schedule 2 -Opex by Vote_6'!D11</f>
        <v>0</v>
      </c>
      <c r="E11" s="243">
        <f>'Schedule 2 -Opex by Vote_6'!E11</f>
        <v>67014</v>
      </c>
      <c r="F11" s="243">
        <f>'Schedule 2 -Opex by Vote_6'!F11</f>
        <v>216573</v>
      </c>
      <c r="G11" s="243">
        <f>'Schedule 2 -Opex by Vote_6'!G11</f>
        <v>233542</v>
      </c>
      <c r="H11" s="243">
        <f>'Schedule 2 -Opex by Vote_6'!H11</f>
        <v>251849</v>
      </c>
      <c r="J11" s="264" t="s">
        <v>4372</v>
      </c>
      <c r="K11" s="265">
        <f>B9</f>
        <v>15555672</v>
      </c>
      <c r="L11" s="265">
        <f t="shared" ref="L11:Q11" si="3">C9</f>
        <v>15049532</v>
      </c>
      <c r="M11" s="265">
        <f t="shared" si="3"/>
        <v>15901532</v>
      </c>
      <c r="N11" s="265">
        <f t="shared" si="3"/>
        <v>17312548.799999997</v>
      </c>
      <c r="O11" s="265">
        <f t="shared" si="3"/>
        <v>21068441</v>
      </c>
      <c r="P11" s="265">
        <f t="shared" si="3"/>
        <v>21449825</v>
      </c>
      <c r="Q11" s="265">
        <f t="shared" si="3"/>
        <v>22732583</v>
      </c>
    </row>
    <row r="12" spans="1:17" x14ac:dyDescent="0.2">
      <c r="A12" s="307" t="s">
        <v>4375</v>
      </c>
      <c r="B12" s="243">
        <f>'Schedule 2 -Opex by Vote_6'!B12</f>
        <v>1720513</v>
      </c>
      <c r="C12" s="243">
        <f>'Schedule 2 -Opex by Vote_6'!C12</f>
        <v>3667555</v>
      </c>
      <c r="D12" s="243">
        <f>'Schedule 2 -Opex by Vote_6'!D12</f>
        <v>3067555</v>
      </c>
      <c r="E12" s="243">
        <f>'Schedule 2 -Opex by Vote_6'!E12</f>
        <v>2305503.6</v>
      </c>
      <c r="F12" s="243">
        <f>'Schedule 2 -Opex by Vote_6'!F12</f>
        <v>2951771</v>
      </c>
      <c r="G12" s="243">
        <f>'Schedule 2 -Opex by Vote_6'!G12</f>
        <v>3164735</v>
      </c>
      <c r="H12" s="243">
        <f>'Schedule 2 -Opex by Vote_6'!H12</f>
        <v>3393254</v>
      </c>
      <c r="J12" s="264" t="s">
        <v>4377</v>
      </c>
      <c r="K12" s="265">
        <f>B14</f>
        <v>2806713</v>
      </c>
      <c r="L12" s="265">
        <f t="shared" ref="L12:Q12" si="4">C14</f>
        <v>2485440</v>
      </c>
      <c r="M12" s="265">
        <f t="shared" si="4"/>
        <v>2335440</v>
      </c>
      <c r="N12" s="265">
        <f t="shared" si="4"/>
        <v>6564259.1999999993</v>
      </c>
      <c r="O12" s="265">
        <f t="shared" si="4"/>
        <v>2635680</v>
      </c>
      <c r="P12" s="265">
        <f t="shared" si="4"/>
        <v>2811797</v>
      </c>
      <c r="Q12" s="265">
        <f t="shared" si="4"/>
        <v>2999965</v>
      </c>
    </row>
    <row r="13" spans="1:17" x14ac:dyDescent="0.2">
      <c r="A13" s="307" t="s">
        <v>4376</v>
      </c>
      <c r="B13" s="243">
        <f>'Schedule 2 -Opex by Vote_6'!B13</f>
        <v>538459</v>
      </c>
      <c r="C13" s="243">
        <f>'Schedule 2 -Opex by Vote_6'!C13</f>
        <v>546450</v>
      </c>
      <c r="D13" s="243">
        <f>'Schedule 2 -Opex by Vote_6'!D13</f>
        <v>550765</v>
      </c>
      <c r="E13" s="243">
        <f>'Schedule 2 -Opex by Vote_6'!E13</f>
        <v>454564.8000000001</v>
      </c>
      <c r="F13" s="243">
        <f>'Schedule 2 -Opex by Vote_6'!F13</f>
        <v>864992</v>
      </c>
      <c r="G13" s="243">
        <f>'Schedule 2 -Opex by Vote_6'!G13</f>
        <v>933759</v>
      </c>
      <c r="H13" s="243">
        <f>'Schedule 2 -Opex by Vote_6'!H13</f>
        <v>1008000</v>
      </c>
      <c r="J13" s="264" t="s">
        <v>3977</v>
      </c>
      <c r="K13" s="265">
        <f>K30</f>
        <v>15145226</v>
      </c>
      <c r="L13" s="265">
        <f t="shared" ref="L13:Q13" si="5">L30</f>
        <v>15923635</v>
      </c>
      <c r="M13" s="265">
        <f t="shared" si="5"/>
        <v>15769943</v>
      </c>
      <c r="N13" s="265">
        <f t="shared" si="5"/>
        <v>11681745.599999998</v>
      </c>
      <c r="O13" s="265">
        <f t="shared" si="5"/>
        <v>26122190</v>
      </c>
      <c r="P13" s="265">
        <f t="shared" si="5"/>
        <v>28600808</v>
      </c>
      <c r="Q13" s="265">
        <f t="shared" si="5"/>
        <v>30932569</v>
      </c>
    </row>
    <row r="14" spans="1:17" x14ac:dyDescent="0.2">
      <c r="A14" s="289" t="s">
        <v>4377</v>
      </c>
      <c r="B14" s="243">
        <f>'Schedule 2 -Opex by Vote_6'!B14</f>
        <v>2806713</v>
      </c>
      <c r="C14" s="243">
        <f>'Schedule 2 -Opex by Vote_6'!C14</f>
        <v>2485440</v>
      </c>
      <c r="D14" s="243">
        <f>'Schedule 2 -Opex by Vote_6'!D14</f>
        <v>2335440</v>
      </c>
      <c r="E14" s="243">
        <f>'Schedule 2 -Opex by Vote_6'!E14</f>
        <v>6564259.1999999993</v>
      </c>
      <c r="F14" s="243">
        <f>'Schedule 2 -Opex by Vote_6'!F14</f>
        <v>2635680</v>
      </c>
      <c r="G14" s="243">
        <f>'Schedule 2 -Opex by Vote_6'!G14</f>
        <v>2811797</v>
      </c>
      <c r="H14" s="243">
        <f>'Schedule 2 -Opex by Vote_6'!H14</f>
        <v>2999965</v>
      </c>
      <c r="J14" s="264" t="s">
        <v>4374</v>
      </c>
      <c r="K14" s="265">
        <f>B11</f>
        <v>0</v>
      </c>
      <c r="L14" s="265">
        <f t="shared" ref="L14:Q14" si="6">C11</f>
        <v>0</v>
      </c>
      <c r="M14" s="265">
        <f t="shared" si="6"/>
        <v>0</v>
      </c>
      <c r="N14" s="265">
        <f t="shared" si="6"/>
        <v>67014</v>
      </c>
      <c r="O14" s="265">
        <f t="shared" si="6"/>
        <v>216573</v>
      </c>
      <c r="P14" s="265">
        <f t="shared" si="6"/>
        <v>233542</v>
      </c>
      <c r="Q14" s="265">
        <f t="shared" si="6"/>
        <v>251849</v>
      </c>
    </row>
    <row r="15" spans="1:17" x14ac:dyDescent="0.2">
      <c r="A15" s="289" t="s">
        <v>4378</v>
      </c>
      <c r="B15" s="243">
        <f>'Schedule 2 -Opex by Vote_6'!B15</f>
        <v>1202942</v>
      </c>
      <c r="C15" s="243">
        <f>'Schedule 2 -Opex by Vote_6'!C15</f>
        <v>2240946</v>
      </c>
      <c r="D15" s="243">
        <f>'Schedule 2 -Opex by Vote_6'!D15</f>
        <v>2240946</v>
      </c>
      <c r="E15" s="243">
        <f>'Schedule 2 -Opex by Vote_6'!E15</f>
        <v>1359164.4000000001</v>
      </c>
      <c r="F15" s="243">
        <f>'Schedule 2 -Opex by Vote_6'!F15</f>
        <v>3064690</v>
      </c>
      <c r="G15" s="243">
        <f>'Schedule 2 -Opex by Vote_6'!G15</f>
        <v>3317579</v>
      </c>
      <c r="H15" s="243">
        <f>'Schedule 2 -Opex by Vote_6'!H15</f>
        <v>3593454</v>
      </c>
      <c r="J15" s="264" t="s">
        <v>4371</v>
      </c>
      <c r="K15" s="265">
        <f>B8</f>
        <v>4157649.76</v>
      </c>
      <c r="L15" s="265">
        <f t="shared" ref="L15:Q15" si="7">C8</f>
        <v>7025016</v>
      </c>
      <c r="M15" s="265">
        <f t="shared" si="7"/>
        <v>7475016</v>
      </c>
      <c r="N15" s="265">
        <f t="shared" si="7"/>
        <v>5598481.9000000013</v>
      </c>
      <c r="O15" s="265">
        <f t="shared" si="7"/>
        <v>8941513</v>
      </c>
      <c r="P15" s="265">
        <f t="shared" si="7"/>
        <v>9591984</v>
      </c>
      <c r="Q15" s="265">
        <f t="shared" si="7"/>
        <v>10318335</v>
      </c>
    </row>
    <row r="16" spans="1:17" x14ac:dyDescent="0.2">
      <c r="A16" s="307" t="s">
        <v>4379</v>
      </c>
      <c r="B16" s="243">
        <f>'Schedule 2 -Opex by Vote_6'!B16</f>
        <v>5178613</v>
      </c>
      <c r="C16" s="243">
        <f>'Schedule 2 -Opex by Vote_6'!C16</f>
        <v>4761043</v>
      </c>
      <c r="D16" s="243">
        <f>'Schedule 2 -Opex by Vote_6'!D16</f>
        <v>4761043</v>
      </c>
      <c r="E16" s="243">
        <f>'Schedule 2 -Opex by Vote_6'!E16</f>
        <v>2717603.9999999995</v>
      </c>
      <c r="F16" s="243">
        <f>'Schedule 2 -Opex by Vote_6'!F16</f>
        <v>7923143</v>
      </c>
      <c r="G16" s="243">
        <f>'Schedule 2 -Opex by Vote_6'!G16</f>
        <v>8593247</v>
      </c>
      <c r="H16" s="243">
        <f>'Schedule 2 -Opex by Vote_6'!H16</f>
        <v>9313912</v>
      </c>
      <c r="J16" s="264" t="s">
        <v>4378</v>
      </c>
      <c r="K16" s="265">
        <f t="shared" ref="K16:Q16" si="8">B15</f>
        <v>1202942</v>
      </c>
      <c r="L16" s="265">
        <f t="shared" si="8"/>
        <v>2240946</v>
      </c>
      <c r="M16" s="265">
        <f t="shared" si="8"/>
        <v>2240946</v>
      </c>
      <c r="N16" s="265">
        <f t="shared" si="8"/>
        <v>1359164.4000000001</v>
      </c>
      <c r="O16" s="265">
        <f t="shared" si="8"/>
        <v>3064690</v>
      </c>
      <c r="P16" s="265">
        <f t="shared" si="8"/>
        <v>3317579</v>
      </c>
      <c r="Q16" s="265">
        <f t="shared" si="8"/>
        <v>3593454</v>
      </c>
    </row>
    <row r="17" spans="1:17" x14ac:dyDescent="0.2">
      <c r="A17" s="307" t="s">
        <v>4380</v>
      </c>
      <c r="B17" s="243">
        <f>'Schedule 2 -Opex by Vote_6'!B17</f>
        <v>7474715</v>
      </c>
      <c r="C17" s="243">
        <f>'Schedule 2 -Opex by Vote_6'!C17</f>
        <v>7391984</v>
      </c>
      <c r="D17" s="243">
        <f>'Schedule 2 -Opex by Vote_6'!D17</f>
        <v>7291984</v>
      </c>
      <c r="E17" s="243">
        <f>'Schedule 2 -Opex by Vote_6'!E17</f>
        <v>5509267.1999999993</v>
      </c>
      <c r="F17" s="243">
        <f>'Schedule 2 -Opex by Vote_6'!F17</f>
        <v>8272033</v>
      </c>
      <c r="G17" s="243">
        <f>'Schedule 2 -Opex by Vote_6'!G17</f>
        <v>8937360</v>
      </c>
      <c r="H17" s="243">
        <f>'Schedule 2 -Opex by Vote_6'!H17</f>
        <v>9682213</v>
      </c>
      <c r="J17" s="264" t="s">
        <v>4376</v>
      </c>
      <c r="K17" s="265">
        <f>B13</f>
        <v>538459</v>
      </c>
      <c r="L17" s="265">
        <f t="shared" ref="L17:Q17" si="9">C13</f>
        <v>546450</v>
      </c>
      <c r="M17" s="265">
        <f t="shared" si="9"/>
        <v>550765</v>
      </c>
      <c r="N17" s="265">
        <f t="shared" si="9"/>
        <v>454564.8000000001</v>
      </c>
      <c r="O17" s="265">
        <f t="shared" si="9"/>
        <v>864992</v>
      </c>
      <c r="P17" s="265">
        <f t="shared" si="9"/>
        <v>933759</v>
      </c>
      <c r="Q17" s="265">
        <f t="shared" si="9"/>
        <v>1008000</v>
      </c>
    </row>
    <row r="18" spans="1:17" x14ac:dyDescent="0.2">
      <c r="A18" s="307" t="s">
        <v>4381</v>
      </c>
      <c r="B18" s="243">
        <f>'Schedule 2 -Opex by Vote_6'!B18</f>
        <v>1994731</v>
      </c>
      <c r="C18" s="243">
        <f>'Schedule 2 -Opex by Vote_6'!C18</f>
        <v>2686026</v>
      </c>
      <c r="D18" s="243">
        <f>'Schedule 2 -Opex by Vote_6'!D18</f>
        <v>2532334</v>
      </c>
      <c r="E18" s="243">
        <f>'Schedule 2 -Opex by Vote_6'!E18</f>
        <v>2921811.6</v>
      </c>
      <c r="F18" s="243">
        <f>'Schedule 2 -Opex by Vote_6'!F18</f>
        <v>7805533</v>
      </c>
      <c r="G18" s="243">
        <f>'Schedule 2 -Opex by Vote_6'!G18</f>
        <v>8317953</v>
      </c>
      <c r="H18" s="243">
        <f>'Schedule 2 -Opex by Vote_6'!H18</f>
        <v>9022406</v>
      </c>
      <c r="J18" s="309" t="s">
        <v>4137</v>
      </c>
      <c r="K18" s="292">
        <f>SUM(K8:K17)</f>
        <v>48265681.759999998</v>
      </c>
      <c r="L18" s="292">
        <f t="shared" ref="L18:Q18" si="10">SUM(L8:L17)</f>
        <v>54209718</v>
      </c>
      <c r="M18" s="292">
        <f t="shared" si="10"/>
        <v>54612341</v>
      </c>
      <c r="N18" s="292">
        <f t="shared" si="10"/>
        <v>51019121.499999985</v>
      </c>
      <c r="O18" s="292">
        <f t="shared" si="10"/>
        <v>85543486</v>
      </c>
      <c r="P18" s="292">
        <f t="shared" si="10"/>
        <v>92736915</v>
      </c>
      <c r="Q18" s="292">
        <f t="shared" si="10"/>
        <v>101723790</v>
      </c>
    </row>
    <row r="19" spans="1:17" x14ac:dyDescent="0.2">
      <c r="A19" s="307" t="s">
        <v>444</v>
      </c>
      <c r="B19" s="243">
        <f>'Schedule 2 -Opex by Vote_6'!B19</f>
        <v>7094443</v>
      </c>
      <c r="C19" s="243">
        <f>'Schedule 2 -Opex by Vote_6'!C19</f>
        <v>6930726</v>
      </c>
      <c r="D19" s="243">
        <f>'Schedule 2 -Opex by Vote_6'!D19</f>
        <v>6930726</v>
      </c>
      <c r="E19" s="243">
        <f>'Schedule 2 -Opex by Vote_6'!E19</f>
        <v>5338705.2000000011</v>
      </c>
      <c r="F19" s="243">
        <f>'Schedule 2 -Opex by Vote_6'!F19</f>
        <v>8562718</v>
      </c>
      <c r="G19" s="243">
        <f>'Schedule 2 -Opex by Vote_6'!G19</f>
        <v>9006002</v>
      </c>
      <c r="H19" s="243">
        <f>'Schedule 2 -Opex by Vote_6'!H19</f>
        <v>9734985</v>
      </c>
    </row>
    <row r="20" spans="1:17" x14ac:dyDescent="0.2">
      <c r="A20" s="307" t="s">
        <v>4382</v>
      </c>
      <c r="B20" s="243">
        <f>'Schedule 2 -Opex by Vote_6'!B20</f>
        <v>44064</v>
      </c>
      <c r="C20" s="243">
        <f>'Schedule 2 -Opex by Vote_6'!C20</f>
        <v>340418</v>
      </c>
      <c r="D20" s="243">
        <f>'Schedule 2 -Opex by Vote_6'!D20</f>
        <v>340418</v>
      </c>
      <c r="E20" s="243">
        <f>'Schedule 2 -Opex by Vote_6'!E20</f>
        <v>337134</v>
      </c>
      <c r="F20" s="243">
        <f>'Schedule 2 -Opex by Vote_6'!F20</f>
        <v>11114918</v>
      </c>
      <c r="G20" s="243">
        <f>'Schedule 2 -Opex by Vote_6'!G20</f>
        <v>13626884</v>
      </c>
      <c r="H20" s="243">
        <f>'Schedule 2 -Opex by Vote_6'!H20</f>
        <v>16758796</v>
      </c>
    </row>
    <row r="21" spans="1:17" x14ac:dyDescent="0.2">
      <c r="A21" s="329" t="s">
        <v>716</v>
      </c>
      <c r="B21" s="243">
        <f>'Schedule 2 -Opex by Vote_6'!B21</f>
        <v>29824</v>
      </c>
      <c r="C21" s="243">
        <f>'Schedule 2 -Opex by Vote_6'!C21</f>
        <v>148050</v>
      </c>
      <c r="D21" s="243">
        <f>'Schedule 2 -Opex by Vote_6'!D21</f>
        <v>148050</v>
      </c>
      <c r="E21" s="243">
        <f>'Schedule 2 -Opex by Vote_6'!E21</f>
        <v>6355.2000000000007</v>
      </c>
      <c r="F21" s="243">
        <f>'Schedule 2 -Opex by Vote_6'!F21</f>
        <v>155453</v>
      </c>
      <c r="G21" s="243">
        <f>'Schedule 2 -Opex by Vote_6'!G21</f>
        <v>164780</v>
      </c>
      <c r="H21" s="243">
        <f>'Schedule 2 -Opex by Vote_6'!H21</f>
        <v>174666</v>
      </c>
    </row>
    <row r="22" spans="1:17" x14ac:dyDescent="0.2">
      <c r="A22" s="307"/>
      <c r="B22" s="243"/>
      <c r="C22" s="320"/>
      <c r="D22" s="308"/>
      <c r="E22" s="320"/>
      <c r="F22" s="308"/>
      <c r="G22" s="320"/>
      <c r="H22" s="308"/>
    </row>
    <row r="23" spans="1:17" x14ac:dyDescent="0.2">
      <c r="A23" s="297"/>
      <c r="B23" s="310"/>
      <c r="C23" s="322"/>
      <c r="D23" s="310"/>
      <c r="E23" s="322"/>
      <c r="F23" s="310"/>
      <c r="G23" s="322"/>
      <c r="H23" s="310"/>
      <c r="J23" s="272" t="s">
        <v>4003</v>
      </c>
    </row>
    <row r="24" spans="1:17" x14ac:dyDescent="0.2">
      <c r="A24" s="311" t="s">
        <v>4363</v>
      </c>
      <c r="B24" s="325">
        <f>SUM(B8:B23)</f>
        <v>48265681.759999998</v>
      </c>
      <c r="C24" s="326">
        <f t="shared" ref="C24:H24" si="11">SUM(C8:C23)</f>
        <v>54209718</v>
      </c>
      <c r="D24" s="325">
        <f t="shared" si="11"/>
        <v>54612341</v>
      </c>
      <c r="E24" s="326">
        <f t="shared" si="11"/>
        <v>51019121.500000007</v>
      </c>
      <c r="F24" s="325">
        <f t="shared" si="11"/>
        <v>85543486</v>
      </c>
      <c r="G24" s="326">
        <f t="shared" si="11"/>
        <v>92736915</v>
      </c>
      <c r="H24" s="325">
        <f t="shared" si="11"/>
        <v>101723790</v>
      </c>
      <c r="K24" s="287" t="s">
        <v>3994</v>
      </c>
      <c r="L24" s="288" t="s">
        <v>3995</v>
      </c>
      <c r="M24" s="288" t="s">
        <v>3996</v>
      </c>
      <c r="N24" s="287" t="s">
        <v>3997</v>
      </c>
      <c r="O24" s="287" t="s">
        <v>3998</v>
      </c>
      <c r="P24" s="287" t="s">
        <v>3999</v>
      </c>
      <c r="Q24" s="287" t="s">
        <v>4000</v>
      </c>
    </row>
    <row r="25" spans="1:17" x14ac:dyDescent="0.2">
      <c r="J25" s="264" t="s">
        <v>4379</v>
      </c>
      <c r="K25" s="265">
        <f>B16</f>
        <v>5178613</v>
      </c>
      <c r="L25" s="265">
        <f t="shared" ref="L25:Q25" si="12">C16</f>
        <v>4761043</v>
      </c>
      <c r="M25" s="265">
        <f t="shared" si="12"/>
        <v>4761043</v>
      </c>
      <c r="N25" s="265">
        <f t="shared" si="12"/>
        <v>2717603.9999999995</v>
      </c>
      <c r="O25" s="265">
        <f t="shared" si="12"/>
        <v>7923143</v>
      </c>
      <c r="P25" s="265">
        <f t="shared" si="12"/>
        <v>8593247</v>
      </c>
      <c r="Q25" s="265">
        <f t="shared" si="12"/>
        <v>9313912</v>
      </c>
    </row>
    <row r="26" spans="1:17" x14ac:dyDescent="0.2">
      <c r="J26" s="264" t="s">
        <v>4380</v>
      </c>
      <c r="K26" s="265">
        <f>B17</f>
        <v>7474715</v>
      </c>
      <c r="L26" s="265">
        <f t="shared" ref="L26:Q27" si="13">C17</f>
        <v>7391984</v>
      </c>
      <c r="M26" s="265">
        <f t="shared" si="13"/>
        <v>7291984</v>
      </c>
      <c r="N26" s="265">
        <f t="shared" si="13"/>
        <v>5509267.1999999993</v>
      </c>
      <c r="O26" s="265">
        <f t="shared" si="13"/>
        <v>8272033</v>
      </c>
      <c r="P26" s="265">
        <f t="shared" si="13"/>
        <v>8937360</v>
      </c>
      <c r="Q26" s="265">
        <f t="shared" si="13"/>
        <v>9682213</v>
      </c>
    </row>
    <row r="27" spans="1:17" x14ac:dyDescent="0.2">
      <c r="A27" s="301" t="s">
        <v>1131</v>
      </c>
      <c r="J27" s="264" t="s">
        <v>4381</v>
      </c>
      <c r="K27" s="265">
        <f>B18</f>
        <v>1994731</v>
      </c>
      <c r="L27" s="265">
        <f t="shared" si="13"/>
        <v>2686026</v>
      </c>
      <c r="M27" s="265">
        <f t="shared" si="13"/>
        <v>2532334</v>
      </c>
      <c r="N27" s="265">
        <f t="shared" si="13"/>
        <v>2921811.6</v>
      </c>
      <c r="O27" s="265">
        <f t="shared" si="13"/>
        <v>7805533</v>
      </c>
      <c r="P27" s="265">
        <f t="shared" si="13"/>
        <v>8317953</v>
      </c>
      <c r="Q27" s="265">
        <f t="shared" si="13"/>
        <v>9022406</v>
      </c>
    </row>
    <row r="28" spans="1:17" x14ac:dyDescent="0.2">
      <c r="A28" s="304" t="s">
        <v>4099</v>
      </c>
      <c r="J28" s="264" t="s">
        <v>4373</v>
      </c>
      <c r="K28" s="265">
        <f t="shared" ref="K28:Q28" si="14">B10</f>
        <v>467343</v>
      </c>
      <c r="L28" s="265">
        <f t="shared" si="14"/>
        <v>936532</v>
      </c>
      <c r="M28" s="265">
        <f t="shared" si="14"/>
        <v>1036532</v>
      </c>
      <c r="N28" s="265">
        <f t="shared" si="14"/>
        <v>526707.6</v>
      </c>
      <c r="O28" s="265">
        <f t="shared" si="14"/>
        <v>1966028</v>
      </c>
      <c r="P28" s="265">
        <f t="shared" si="14"/>
        <v>2587468</v>
      </c>
      <c r="Q28" s="265">
        <f t="shared" si="14"/>
        <v>2739372</v>
      </c>
    </row>
    <row r="29" spans="1:17" x14ac:dyDescent="0.2">
      <c r="A29" s="304" t="s">
        <v>4100</v>
      </c>
      <c r="J29" s="304" t="s">
        <v>1825</v>
      </c>
      <c r="K29" s="265">
        <f>B21</f>
        <v>29824</v>
      </c>
      <c r="L29" s="265">
        <f t="shared" ref="L29:Q29" si="15">C21</f>
        <v>148050</v>
      </c>
      <c r="M29" s="265">
        <f t="shared" si="15"/>
        <v>148050</v>
      </c>
      <c r="N29" s="265">
        <f t="shared" si="15"/>
        <v>6355.2000000000007</v>
      </c>
      <c r="O29" s="265">
        <f t="shared" si="15"/>
        <v>155453</v>
      </c>
      <c r="P29" s="265">
        <f t="shared" si="15"/>
        <v>164780</v>
      </c>
      <c r="Q29" s="265">
        <f t="shared" si="15"/>
        <v>174666</v>
      </c>
    </row>
    <row r="30" spans="1:17" x14ac:dyDescent="0.2">
      <c r="A30" s="304" t="s">
        <v>4101</v>
      </c>
      <c r="B30" s="312"/>
      <c r="C30" s="313"/>
      <c r="D30" s="313"/>
      <c r="E30" s="313"/>
      <c r="F30" s="313"/>
      <c r="G30" s="312"/>
      <c r="H30" s="312"/>
      <c r="J30" s="309" t="s">
        <v>4137</v>
      </c>
      <c r="K30" s="292">
        <f>SUM(K25:K29)</f>
        <v>15145226</v>
      </c>
      <c r="L30" s="292">
        <f t="shared" ref="L30:Q30" si="16">SUM(L25:L29)</f>
        <v>15923635</v>
      </c>
      <c r="M30" s="292">
        <f t="shared" si="16"/>
        <v>15769943</v>
      </c>
      <c r="N30" s="292">
        <f t="shared" si="16"/>
        <v>11681745.599999998</v>
      </c>
      <c r="O30" s="292">
        <f t="shared" si="16"/>
        <v>26122190</v>
      </c>
      <c r="P30" s="292">
        <f t="shared" si="16"/>
        <v>28600808</v>
      </c>
      <c r="Q30" s="292">
        <f t="shared" si="16"/>
        <v>30932569</v>
      </c>
    </row>
    <row r="31" spans="1:17" x14ac:dyDescent="0.2">
      <c r="A31" s="304" t="s">
        <v>4102</v>
      </c>
      <c r="B31" s="314"/>
      <c r="C31" s="315"/>
      <c r="D31" s="313"/>
      <c r="E31" s="313"/>
      <c r="F31" s="314"/>
      <c r="G31" s="314"/>
      <c r="H31" s="314"/>
    </row>
    <row r="32" spans="1:17" x14ac:dyDescent="0.2">
      <c r="A32" s="304" t="s">
        <v>4103</v>
      </c>
      <c r="B32" s="313"/>
      <c r="C32" s="312"/>
      <c r="D32" s="312"/>
      <c r="E32" s="313"/>
      <c r="F32" s="313"/>
      <c r="G32" s="313"/>
      <c r="H32" s="313"/>
    </row>
    <row r="33" spans="1:8" x14ac:dyDescent="0.2">
      <c r="A33" s="304" t="s">
        <v>4104</v>
      </c>
      <c r="B33" s="312"/>
      <c r="C33" s="312"/>
      <c r="D33" s="312"/>
      <c r="E33" s="312"/>
      <c r="F33" s="312"/>
      <c r="G33" s="312"/>
      <c r="H33" s="312"/>
    </row>
    <row r="34" spans="1:8" x14ac:dyDescent="0.2">
      <c r="A34" s="304" t="s">
        <v>4359</v>
      </c>
      <c r="B34" s="316"/>
      <c r="C34" s="312"/>
      <c r="D34" s="312"/>
      <c r="E34" s="312"/>
      <c r="F34" s="312"/>
      <c r="G34" s="316"/>
      <c r="H34" s="316"/>
    </row>
    <row r="35" spans="1:8" x14ac:dyDescent="0.2">
      <c r="B35" s="317"/>
      <c r="C35" s="317"/>
      <c r="D35" s="317"/>
      <c r="E35" s="317"/>
      <c r="F35" s="317"/>
      <c r="G35" s="317"/>
      <c r="H35" s="317"/>
    </row>
    <row r="36" spans="1:8" x14ac:dyDescent="0.2">
      <c r="A36" s="318"/>
      <c r="B36" s="319"/>
      <c r="C36" s="320"/>
      <c r="D36" s="320"/>
      <c r="E36" s="320"/>
      <c r="F36" s="320"/>
      <c r="G36" s="320"/>
      <c r="H36" s="320"/>
    </row>
    <row r="37" spans="1:8" x14ac:dyDescent="0.2">
      <c r="A37" s="301" t="s">
        <v>1132</v>
      </c>
    </row>
    <row r="38" spans="1:8" x14ac:dyDescent="0.2">
      <c r="A38" s="302" t="s">
        <v>3984</v>
      </c>
    </row>
    <row r="39" spans="1:8" x14ac:dyDescent="0.2">
      <c r="A39" s="264" t="s">
        <v>4004</v>
      </c>
    </row>
    <row r="40" spans="1:8" x14ac:dyDescent="0.2">
      <c r="A40" s="302" t="s">
        <v>715</v>
      </c>
    </row>
    <row r="41" spans="1:8" x14ac:dyDescent="0.2">
      <c r="A41" s="264" t="s">
        <v>1055</v>
      </c>
      <c r="B41" s="320"/>
      <c r="C41" s="320"/>
      <c r="D41" s="320"/>
      <c r="E41" s="320"/>
      <c r="F41" s="320"/>
      <c r="G41" s="320"/>
      <c r="H41" s="320"/>
    </row>
    <row r="42" spans="1:8" x14ac:dyDescent="0.2">
      <c r="A42" s="264" t="s">
        <v>1056</v>
      </c>
      <c r="B42" s="320"/>
      <c r="C42" s="320"/>
      <c r="D42" s="320"/>
      <c r="E42" s="320"/>
      <c r="F42" s="320"/>
      <c r="G42" s="320"/>
      <c r="H42" s="320"/>
    </row>
    <row r="43" spans="1:8" x14ac:dyDescent="0.2">
      <c r="A43" s="264" t="s">
        <v>714</v>
      </c>
      <c r="B43" s="320"/>
      <c r="C43" s="320"/>
      <c r="D43" s="320"/>
      <c r="E43" s="320"/>
      <c r="F43" s="320"/>
      <c r="G43" s="320"/>
      <c r="H43" s="320"/>
    </row>
    <row r="44" spans="1:8" x14ac:dyDescent="0.2">
      <c r="B44" s="320"/>
      <c r="C44" s="320"/>
      <c r="D44" s="320"/>
      <c r="E44" s="320"/>
      <c r="F44" s="320"/>
      <c r="G44" s="320"/>
      <c r="H44" s="320"/>
    </row>
    <row r="45" spans="1:8" x14ac:dyDescent="0.2">
      <c r="A45" s="318"/>
      <c r="B45" s="320"/>
      <c r="C45" s="320"/>
      <c r="D45" s="320"/>
      <c r="E45" s="320"/>
      <c r="F45" s="320"/>
      <c r="G45" s="320"/>
      <c r="H45" s="320"/>
    </row>
    <row r="46" spans="1:8" x14ac:dyDescent="0.2">
      <c r="A46" s="318"/>
      <c r="B46" s="320"/>
      <c r="C46" s="320"/>
      <c r="D46" s="320"/>
      <c r="E46" s="320"/>
      <c r="F46" s="320"/>
      <c r="G46" s="320"/>
      <c r="H46" s="320"/>
    </row>
    <row r="47" spans="1:8" x14ac:dyDescent="0.2">
      <c r="A47" s="318"/>
      <c r="B47" s="320"/>
      <c r="C47" s="320"/>
      <c r="D47" s="320"/>
      <c r="E47" s="320"/>
      <c r="F47" s="320"/>
      <c r="G47" s="320"/>
      <c r="H47" s="320"/>
    </row>
    <row r="48" spans="1:8" x14ac:dyDescent="0.2">
      <c r="A48" s="318"/>
      <c r="B48" s="320"/>
      <c r="C48" s="320"/>
      <c r="D48" s="320"/>
      <c r="E48" s="320"/>
      <c r="F48" s="320"/>
      <c r="G48" s="320"/>
      <c r="H48" s="320"/>
    </row>
    <row r="49" spans="1:8" x14ac:dyDescent="0.2">
      <c r="A49" s="321"/>
      <c r="B49" s="322"/>
      <c r="C49" s="322"/>
      <c r="D49" s="322"/>
      <c r="E49" s="322"/>
      <c r="F49" s="322"/>
      <c r="G49" s="322"/>
      <c r="H49" s="322"/>
    </row>
    <row r="50" spans="1:8" x14ac:dyDescent="0.2">
      <c r="A50" s="323"/>
      <c r="B50" s="317"/>
      <c r="C50" s="317"/>
      <c r="D50" s="317"/>
      <c r="E50" s="317"/>
      <c r="F50" s="317"/>
      <c r="G50" s="317"/>
      <c r="H50" s="317"/>
    </row>
  </sheetData>
  <phoneticPr fontId="3" type="noConversion"/>
  <pageMargins left="0.75" right="0.75" top="1" bottom="1" header="0.5" footer="0.5"/>
  <pageSetup paperSize="9" scale="72"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1"/>
  <sheetViews>
    <sheetView view="pageBreakPreview" zoomScaleNormal="100" workbookViewId="0">
      <selection activeCell="F9" sqref="F9"/>
    </sheetView>
  </sheetViews>
  <sheetFormatPr defaultColWidth="10.6640625" defaultRowHeight="12.75" x14ac:dyDescent="0.2"/>
  <cols>
    <col min="1" max="1" width="57.83203125" style="264" customWidth="1"/>
    <col min="2" max="2" width="21.33203125" style="265" bestFit="1" customWidth="1"/>
    <col min="3" max="3" width="24" style="265" bestFit="1" customWidth="1"/>
    <col min="4" max="5" width="23.6640625" style="265" bestFit="1" customWidth="1"/>
    <col min="6" max="6" width="23.83203125" style="265" bestFit="1" customWidth="1"/>
    <col min="7" max="8" width="23.83203125" style="265" customWidth="1"/>
    <col min="9" max="9" width="10.6640625" style="264" customWidth="1"/>
    <col min="10" max="10" width="30.5" style="264" bestFit="1" customWidth="1"/>
    <col min="11" max="17" width="12.5" style="265" customWidth="1"/>
    <col min="18" max="16384" width="10.6640625" style="264"/>
  </cols>
  <sheetData>
    <row r="1" spans="1:17" x14ac:dyDescent="0.2">
      <c r="A1" s="305"/>
      <c r="B1" s="257" t="s">
        <v>1096</v>
      </c>
      <c r="C1" s="258" t="s">
        <v>1097</v>
      </c>
      <c r="D1" s="259"/>
      <c r="E1" s="260"/>
      <c r="F1" s="261" t="s">
        <v>1098</v>
      </c>
      <c r="G1" s="262"/>
      <c r="H1" s="263"/>
    </row>
    <row r="2" spans="1:17" x14ac:dyDescent="0.2">
      <c r="A2" s="266" t="s">
        <v>717</v>
      </c>
      <c r="B2" s="267" t="s">
        <v>1103</v>
      </c>
      <c r="C2" s="268" t="s">
        <v>4093</v>
      </c>
      <c r="D2" s="269"/>
      <c r="E2" s="270"/>
      <c r="F2" s="271" t="s">
        <v>1100</v>
      </c>
      <c r="G2" s="266" t="s">
        <v>1101</v>
      </c>
      <c r="H2" s="266" t="s">
        <v>1102</v>
      </c>
    </row>
    <row r="3" spans="1:17" x14ac:dyDescent="0.2">
      <c r="A3" s="286"/>
      <c r="B3" s="273"/>
      <c r="C3" s="274"/>
      <c r="D3" s="275"/>
      <c r="E3" s="276"/>
      <c r="F3" s="277" t="s">
        <v>4094</v>
      </c>
      <c r="G3" s="277" t="s">
        <v>4095</v>
      </c>
      <c r="H3" s="277" t="s">
        <v>4096</v>
      </c>
      <c r="J3" s="309"/>
      <c r="K3" s="292"/>
      <c r="L3" s="292"/>
      <c r="M3" s="292"/>
      <c r="N3" s="292"/>
      <c r="O3" s="292"/>
      <c r="P3" s="292"/>
      <c r="Q3" s="292"/>
    </row>
    <row r="4" spans="1:17" x14ac:dyDescent="0.2">
      <c r="A4" s="266" t="s">
        <v>4383</v>
      </c>
      <c r="B4" s="278" t="s">
        <v>1104</v>
      </c>
      <c r="C4" s="257" t="s">
        <v>1105</v>
      </c>
      <c r="D4" s="257" t="s">
        <v>1106</v>
      </c>
      <c r="E4" s="279" t="s">
        <v>1107</v>
      </c>
      <c r="F4" s="279" t="s">
        <v>1108</v>
      </c>
      <c r="G4" s="279" t="s">
        <v>1108</v>
      </c>
      <c r="H4" s="279" t="s">
        <v>1108</v>
      </c>
    </row>
    <row r="5" spans="1:17" x14ac:dyDescent="0.2">
      <c r="A5" s="286"/>
      <c r="B5" s="280" t="s">
        <v>1109</v>
      </c>
      <c r="C5" s="266" t="s">
        <v>1109</v>
      </c>
      <c r="D5" s="266" t="s">
        <v>1109</v>
      </c>
      <c r="E5" s="266" t="s">
        <v>1109</v>
      </c>
      <c r="F5" s="266" t="s">
        <v>1109</v>
      </c>
      <c r="G5" s="266" t="s">
        <v>1109</v>
      </c>
      <c r="H5" s="266" t="s">
        <v>1109</v>
      </c>
    </row>
    <row r="6" spans="1:17" x14ac:dyDescent="0.2">
      <c r="A6" s="281"/>
      <c r="B6" s="282" t="s">
        <v>1110</v>
      </c>
      <c r="C6" s="283" t="s">
        <v>1111</v>
      </c>
      <c r="D6" s="283" t="s">
        <v>1112</v>
      </c>
      <c r="E6" s="283" t="s">
        <v>1113</v>
      </c>
      <c r="F6" s="283" t="s">
        <v>1114</v>
      </c>
      <c r="G6" s="284" t="s">
        <v>1115</v>
      </c>
      <c r="H6" s="284" t="s">
        <v>1116</v>
      </c>
      <c r="J6" s="316" t="s">
        <v>718</v>
      </c>
    </row>
    <row r="7" spans="1:17" x14ac:dyDescent="0.2">
      <c r="A7" s="286"/>
      <c r="B7" s="306"/>
      <c r="C7" s="306"/>
      <c r="D7" s="306"/>
      <c r="E7" s="306"/>
      <c r="F7" s="306"/>
      <c r="G7" s="306"/>
      <c r="H7" s="306"/>
      <c r="K7" s="287" t="s">
        <v>3994</v>
      </c>
      <c r="L7" s="288" t="s">
        <v>3995</v>
      </c>
      <c r="M7" s="288" t="s">
        <v>3996</v>
      </c>
      <c r="N7" s="287" t="s">
        <v>3997</v>
      </c>
      <c r="O7" s="287" t="s">
        <v>3998</v>
      </c>
      <c r="P7" s="287" t="s">
        <v>3999</v>
      </c>
      <c r="Q7" s="287" t="s">
        <v>4000</v>
      </c>
    </row>
    <row r="8" spans="1:17" x14ac:dyDescent="0.2">
      <c r="A8" s="307" t="s">
        <v>4371</v>
      </c>
      <c r="B8" s="243">
        <f>'Schedule 3(a) - Capex by GFS_7'!B8</f>
        <v>103070</v>
      </c>
      <c r="C8" s="243">
        <f>'Schedule 3(a) - Capex by GFS_7'!C8</f>
        <v>2093221</v>
      </c>
      <c r="D8" s="243">
        <f>'Schedule 3(a) - Capex by GFS_7'!D8</f>
        <v>2093221</v>
      </c>
      <c r="E8" s="243">
        <f>'Schedule 3(a) - Capex by GFS_7'!E8</f>
        <v>459351</v>
      </c>
      <c r="F8" s="243">
        <f>'Schedule 3(a) - Capex by GFS_7'!F8</f>
        <v>1633870</v>
      </c>
      <c r="G8" s="243">
        <f>'Schedule 3(a) - Capex by GFS_7'!G8</f>
        <v>0</v>
      </c>
      <c r="H8" s="243">
        <f>'Schedule 3(a) - Capex by GFS_7'!H8</f>
        <v>0</v>
      </c>
      <c r="J8" s="264" t="s">
        <v>4380</v>
      </c>
      <c r="K8" s="265">
        <f t="shared" ref="K8:Q8" si="0">B17</f>
        <v>3777478</v>
      </c>
      <c r="L8" s="265">
        <f t="shared" si="0"/>
        <v>4301271</v>
      </c>
      <c r="M8" s="265">
        <f t="shared" si="0"/>
        <v>4301271</v>
      </c>
      <c r="N8" s="265">
        <f t="shared" si="0"/>
        <v>8665901</v>
      </c>
      <c r="O8" s="265">
        <f t="shared" si="0"/>
        <v>6892247</v>
      </c>
      <c r="P8" s="265">
        <f t="shared" si="0"/>
        <v>0</v>
      </c>
      <c r="Q8" s="265">
        <f t="shared" si="0"/>
        <v>0</v>
      </c>
    </row>
    <row r="9" spans="1:17" x14ac:dyDescent="0.2">
      <c r="A9" s="289" t="s">
        <v>4372</v>
      </c>
      <c r="B9" s="243">
        <f>'Schedule 3(a) - Capex by GFS_7'!B9</f>
        <v>292616</v>
      </c>
      <c r="C9" s="243">
        <f>'Schedule 3(a) - Capex by GFS_7'!C9</f>
        <v>0</v>
      </c>
      <c r="D9" s="243">
        <f>'Schedule 3(a) - Capex by GFS_7'!D9</f>
        <v>2000000</v>
      </c>
      <c r="E9" s="243">
        <f>'Schedule 3(a) - Capex by GFS_7'!E9</f>
        <v>0</v>
      </c>
      <c r="F9" s="243">
        <f>'Schedule 3(a) - Capex by GFS_7'!F9</f>
        <v>47000000</v>
      </c>
      <c r="G9" s="243">
        <f>'Schedule 3(a) - Capex by GFS_7'!G9</f>
        <v>0</v>
      </c>
      <c r="H9" s="243">
        <f>'Schedule 3(a) - Capex by GFS_7'!H9</f>
        <v>0</v>
      </c>
      <c r="J9" s="264" t="s">
        <v>4382</v>
      </c>
      <c r="K9" s="265">
        <f t="shared" ref="K9:Q9" si="1">B20</f>
        <v>0</v>
      </c>
      <c r="L9" s="265">
        <f t="shared" si="1"/>
        <v>3859915</v>
      </c>
      <c r="M9" s="265">
        <f t="shared" si="1"/>
        <v>3859915</v>
      </c>
      <c r="N9" s="265">
        <f t="shared" si="1"/>
        <v>1035845</v>
      </c>
      <c r="O9" s="265">
        <f t="shared" si="1"/>
        <v>2824071</v>
      </c>
      <c r="P9" s="265">
        <f t="shared" si="1"/>
        <v>300000</v>
      </c>
      <c r="Q9" s="265">
        <f t="shared" si="1"/>
        <v>500000</v>
      </c>
    </row>
    <row r="10" spans="1:17" x14ac:dyDescent="0.2">
      <c r="A10" s="307" t="s">
        <v>4373</v>
      </c>
      <c r="B10" s="243">
        <f>'Schedule 3(a) - Capex by GFS_7'!B10</f>
        <v>0</v>
      </c>
      <c r="C10" s="243">
        <f>'Schedule 3(a) - Capex by GFS_7'!C10</f>
        <v>2220000</v>
      </c>
      <c r="D10" s="243">
        <f>'Schedule 3(a) - Capex by GFS_7'!D10</f>
        <v>2220000</v>
      </c>
      <c r="E10" s="243">
        <f>'Schedule 3(a) - Capex by GFS_7'!E10</f>
        <v>0</v>
      </c>
      <c r="F10" s="243">
        <f>'Schedule 3(a) - Capex by GFS_7'!F10</f>
        <v>2220000</v>
      </c>
      <c r="G10" s="243">
        <f>'Schedule 3(a) - Capex by GFS_7'!G10</f>
        <v>0</v>
      </c>
      <c r="H10" s="243">
        <f>'Schedule 3(a) - Capex by GFS_7'!H10</f>
        <v>0</v>
      </c>
      <c r="J10" s="264" t="s">
        <v>4381</v>
      </c>
      <c r="K10" s="265">
        <f t="shared" ref="K10:Q11" si="2">B18</f>
        <v>43827</v>
      </c>
      <c r="L10" s="265">
        <f t="shared" si="2"/>
        <v>0</v>
      </c>
      <c r="M10" s="265">
        <f t="shared" si="2"/>
        <v>797884</v>
      </c>
      <c r="N10" s="265">
        <f t="shared" si="2"/>
        <v>797884</v>
      </c>
      <c r="O10" s="265">
        <f t="shared" si="2"/>
        <v>0</v>
      </c>
      <c r="P10" s="265">
        <f t="shared" si="2"/>
        <v>0</v>
      </c>
      <c r="Q10" s="265">
        <f t="shared" si="2"/>
        <v>0</v>
      </c>
    </row>
    <row r="11" spans="1:17" x14ac:dyDescent="0.2">
      <c r="A11" s="307" t="s">
        <v>4374</v>
      </c>
      <c r="B11" s="243">
        <f>'Schedule 3(a) - Capex by GFS_7'!B11</f>
        <v>0</v>
      </c>
      <c r="C11" s="243">
        <f>'Schedule 3(a) - Capex by GFS_7'!C11</f>
        <v>0</v>
      </c>
      <c r="D11" s="243">
        <f>'Schedule 3(a) - Capex by GFS_7'!D11</f>
        <v>0</v>
      </c>
      <c r="E11" s="243">
        <f>'Schedule 3(a) - Capex by GFS_7'!E11</f>
        <v>0</v>
      </c>
      <c r="F11" s="243">
        <f>'Schedule 3(a) - Capex by GFS_7'!F11</f>
        <v>1500000</v>
      </c>
      <c r="G11" s="243">
        <f>'Schedule 3(a) - Capex by GFS_7'!G11</f>
        <v>2000000</v>
      </c>
      <c r="H11" s="243">
        <f>'Schedule 3(a) - Capex by GFS_7'!H11</f>
        <v>0</v>
      </c>
      <c r="J11" s="264" t="s">
        <v>444</v>
      </c>
      <c r="K11" s="265">
        <f t="shared" si="2"/>
        <v>1722004</v>
      </c>
      <c r="L11" s="265">
        <f t="shared" si="2"/>
        <v>11721818</v>
      </c>
      <c r="M11" s="265">
        <f t="shared" si="2"/>
        <v>14555468</v>
      </c>
      <c r="N11" s="265">
        <f t="shared" si="2"/>
        <v>906367</v>
      </c>
      <c r="O11" s="265">
        <f t="shared" si="2"/>
        <v>12913000</v>
      </c>
      <c r="P11" s="265">
        <f t="shared" si="2"/>
        <v>15531000</v>
      </c>
      <c r="Q11" s="265">
        <f t="shared" si="2"/>
        <v>18884000</v>
      </c>
    </row>
    <row r="12" spans="1:17" x14ac:dyDescent="0.2">
      <c r="A12" s="307" t="s">
        <v>4375</v>
      </c>
      <c r="B12" s="243">
        <f>'Schedule 3(a) - Capex by GFS_7'!B12</f>
        <v>0</v>
      </c>
      <c r="C12" s="243">
        <f>'Schedule 3(a) - Capex by GFS_7'!C12</f>
        <v>0</v>
      </c>
      <c r="D12" s="243">
        <f>'Schedule 3(a) - Capex by GFS_7'!D12</f>
        <v>0</v>
      </c>
      <c r="E12" s="243">
        <f>'Schedule 3(a) - Capex by GFS_7'!E12</f>
        <v>0</v>
      </c>
      <c r="F12" s="243">
        <f>'Schedule 3(a) - Capex by GFS_7'!F12</f>
        <v>0</v>
      </c>
      <c r="G12" s="243">
        <f>'Schedule 3(a) - Capex by GFS_7'!G12</f>
        <v>0</v>
      </c>
      <c r="H12" s="243">
        <f>'Schedule 3(a) - Capex by GFS_7'!H12</f>
        <v>0</v>
      </c>
      <c r="J12" s="264" t="s">
        <v>4379</v>
      </c>
      <c r="K12" s="265">
        <f t="shared" ref="K12:Q12" si="3">B16</f>
        <v>0</v>
      </c>
      <c r="L12" s="265">
        <f t="shared" si="3"/>
        <v>0</v>
      </c>
      <c r="M12" s="265">
        <f t="shared" si="3"/>
        <v>0</v>
      </c>
      <c r="N12" s="265">
        <f t="shared" si="3"/>
        <v>0</v>
      </c>
      <c r="O12" s="265">
        <f t="shared" si="3"/>
        <v>0</v>
      </c>
      <c r="P12" s="265">
        <f t="shared" si="3"/>
        <v>0</v>
      </c>
      <c r="Q12" s="265">
        <f t="shared" si="3"/>
        <v>0</v>
      </c>
    </row>
    <row r="13" spans="1:17" x14ac:dyDescent="0.2">
      <c r="A13" s="307" t="s">
        <v>4376</v>
      </c>
      <c r="B13" s="243">
        <f>'Schedule 3(a) - Capex by GFS_7'!B13</f>
        <v>0</v>
      </c>
      <c r="C13" s="243">
        <f>'Schedule 3(a) - Capex by GFS_7'!C13</f>
        <v>0</v>
      </c>
      <c r="D13" s="243">
        <f>'Schedule 3(a) - Capex by GFS_7'!D13</f>
        <v>0</v>
      </c>
      <c r="E13" s="243">
        <f>'Schedule 3(a) - Capex by GFS_7'!E13</f>
        <v>0</v>
      </c>
      <c r="F13" s="243">
        <f>'Schedule 3(a) - Capex by GFS_7'!F13</f>
        <v>0</v>
      </c>
      <c r="G13" s="243">
        <f>'Schedule 3(a) - Capex by GFS_7'!G13</f>
        <v>0</v>
      </c>
      <c r="H13" s="243">
        <f>'Schedule 3(a) - Capex by GFS_7'!H13</f>
        <v>0</v>
      </c>
      <c r="J13" s="264" t="s">
        <v>3977</v>
      </c>
      <c r="K13" s="265">
        <f>K31</f>
        <v>395686</v>
      </c>
      <c r="L13" s="265">
        <f t="shared" ref="L13:Q13" si="4">L31</f>
        <v>4313221</v>
      </c>
      <c r="M13" s="265">
        <f t="shared" si="4"/>
        <v>6313221</v>
      </c>
      <c r="N13" s="265">
        <f t="shared" si="4"/>
        <v>459351</v>
      </c>
      <c r="O13" s="265">
        <f t="shared" si="4"/>
        <v>52353870</v>
      </c>
      <c r="P13" s="265">
        <f t="shared" si="4"/>
        <v>2000000</v>
      </c>
      <c r="Q13" s="265">
        <f t="shared" si="4"/>
        <v>0</v>
      </c>
    </row>
    <row r="14" spans="1:17" x14ac:dyDescent="0.2">
      <c r="A14" s="289" t="s">
        <v>4377</v>
      </c>
      <c r="B14" s="243">
        <f>'Schedule 3(a) - Capex by GFS_7'!B14</f>
        <v>0</v>
      </c>
      <c r="C14" s="243">
        <f>'Schedule 3(a) - Capex by GFS_7'!C14</f>
        <v>0</v>
      </c>
      <c r="D14" s="243">
        <f>'Schedule 3(a) - Capex by GFS_7'!D14</f>
        <v>0</v>
      </c>
      <c r="E14" s="243">
        <f>'Schedule 3(a) - Capex by GFS_7'!E14</f>
        <v>0</v>
      </c>
      <c r="F14" s="243">
        <f>'Schedule 3(a) - Capex by GFS_7'!F14</f>
        <v>0</v>
      </c>
      <c r="G14" s="243">
        <f>'Schedule 3(a) - Capex by GFS_7'!G14</f>
        <v>0</v>
      </c>
      <c r="H14" s="243">
        <f>'Schedule 3(a) - Capex by GFS_7'!H14</f>
        <v>0</v>
      </c>
      <c r="J14" s="264" t="s">
        <v>4376</v>
      </c>
      <c r="K14" s="265">
        <f>B13</f>
        <v>0</v>
      </c>
      <c r="L14" s="265">
        <f t="shared" ref="L14:Q16" si="5">C13</f>
        <v>0</v>
      </c>
      <c r="M14" s="265">
        <f t="shared" si="5"/>
        <v>0</v>
      </c>
      <c r="N14" s="265">
        <f t="shared" si="5"/>
        <v>0</v>
      </c>
      <c r="O14" s="265">
        <f t="shared" si="5"/>
        <v>0</v>
      </c>
      <c r="P14" s="265">
        <f t="shared" si="5"/>
        <v>0</v>
      </c>
      <c r="Q14" s="265">
        <f t="shared" si="5"/>
        <v>0</v>
      </c>
    </row>
    <row r="15" spans="1:17" x14ac:dyDescent="0.2">
      <c r="A15" s="289" t="s">
        <v>4378</v>
      </c>
      <c r="B15" s="243">
        <f>'Schedule 3(a) - Capex by GFS_7'!B15</f>
        <v>0</v>
      </c>
      <c r="C15" s="243">
        <f>'Schedule 3(a) - Capex by GFS_7'!C15</f>
        <v>0</v>
      </c>
      <c r="D15" s="243">
        <f>'Schedule 3(a) - Capex by GFS_7'!D15</f>
        <v>0</v>
      </c>
      <c r="E15" s="243">
        <f>'Schedule 3(a) - Capex by GFS_7'!E15</f>
        <v>0</v>
      </c>
      <c r="F15" s="243">
        <f>'Schedule 3(a) - Capex by GFS_7'!F15</f>
        <v>0</v>
      </c>
      <c r="G15" s="243">
        <f>'Schedule 3(a) - Capex by GFS_7'!G15</f>
        <v>0</v>
      </c>
      <c r="H15" s="243">
        <f>'Schedule 3(a) - Capex by GFS_7'!H15</f>
        <v>0</v>
      </c>
      <c r="J15" s="264" t="s">
        <v>4377</v>
      </c>
      <c r="K15" s="265">
        <f>B14</f>
        <v>0</v>
      </c>
      <c r="L15" s="265">
        <f t="shared" si="5"/>
        <v>0</v>
      </c>
      <c r="M15" s="265">
        <f t="shared" si="5"/>
        <v>0</v>
      </c>
      <c r="N15" s="265">
        <f t="shared" si="5"/>
        <v>0</v>
      </c>
      <c r="O15" s="265">
        <f t="shared" si="5"/>
        <v>0</v>
      </c>
      <c r="P15" s="265">
        <f t="shared" si="5"/>
        <v>0</v>
      </c>
      <c r="Q15" s="265">
        <f t="shared" si="5"/>
        <v>0</v>
      </c>
    </row>
    <row r="16" spans="1:17" x14ac:dyDescent="0.2">
      <c r="A16" s="307" t="s">
        <v>4379</v>
      </c>
      <c r="B16" s="243">
        <f>'Schedule 3(a) - Capex by GFS_7'!B16</f>
        <v>0</v>
      </c>
      <c r="C16" s="243">
        <f>'Schedule 3(a) - Capex by GFS_7'!C16</f>
        <v>0</v>
      </c>
      <c r="D16" s="243">
        <f>'Schedule 3(a) - Capex by GFS_7'!D16</f>
        <v>0</v>
      </c>
      <c r="E16" s="243">
        <f>'Schedule 3(a) - Capex by GFS_7'!E16</f>
        <v>0</v>
      </c>
      <c r="F16" s="243">
        <f>'Schedule 3(a) - Capex by GFS_7'!F16</f>
        <v>0</v>
      </c>
      <c r="G16" s="243">
        <f>'Schedule 3(a) - Capex by GFS_7'!G16</f>
        <v>0</v>
      </c>
      <c r="H16" s="243">
        <f>'Schedule 3(a) - Capex by GFS_7'!H16</f>
        <v>0</v>
      </c>
      <c r="J16" s="264" t="s">
        <v>4378</v>
      </c>
      <c r="K16" s="265">
        <f>B15</f>
        <v>0</v>
      </c>
      <c r="L16" s="265">
        <f t="shared" si="5"/>
        <v>0</v>
      </c>
      <c r="M16" s="265">
        <f t="shared" si="5"/>
        <v>0</v>
      </c>
      <c r="N16" s="265">
        <f t="shared" si="5"/>
        <v>0</v>
      </c>
      <c r="O16" s="265">
        <f t="shared" si="5"/>
        <v>0</v>
      </c>
      <c r="P16" s="265">
        <f t="shared" si="5"/>
        <v>0</v>
      </c>
      <c r="Q16" s="265">
        <f t="shared" si="5"/>
        <v>0</v>
      </c>
    </row>
    <row r="17" spans="1:17" x14ac:dyDescent="0.2">
      <c r="A17" s="307" t="s">
        <v>4380</v>
      </c>
      <c r="B17" s="243">
        <f>'Schedule 3(a) - Capex by GFS_7'!B17</f>
        <v>3777478</v>
      </c>
      <c r="C17" s="243">
        <f>'Schedule 3(a) - Capex by GFS_7'!C17</f>
        <v>4301271</v>
      </c>
      <c r="D17" s="243">
        <f>'Schedule 3(a) - Capex by GFS_7'!D17</f>
        <v>4301271</v>
      </c>
      <c r="E17" s="243">
        <f>'Schedule 3(a) - Capex by GFS_7'!E17</f>
        <v>8665901</v>
      </c>
      <c r="F17" s="243">
        <f>'Schedule 3(a) - Capex by GFS_7'!F17</f>
        <v>6892247</v>
      </c>
      <c r="G17" s="243">
        <f>'Schedule 3(a) - Capex by GFS_7'!G17</f>
        <v>0</v>
      </c>
      <c r="H17" s="243">
        <f>'Schedule 3(a) - Capex by GFS_7'!H17</f>
        <v>0</v>
      </c>
      <c r="J17" s="272" t="s">
        <v>4137</v>
      </c>
      <c r="K17" s="292">
        <f t="shared" ref="K17:Q17" si="6">SUM(K8:K16)</f>
        <v>5938995</v>
      </c>
      <c r="L17" s="292">
        <f t="shared" si="6"/>
        <v>24196225</v>
      </c>
      <c r="M17" s="292">
        <f t="shared" si="6"/>
        <v>29827759</v>
      </c>
      <c r="N17" s="292">
        <f t="shared" si="6"/>
        <v>11865348</v>
      </c>
      <c r="O17" s="292">
        <f t="shared" si="6"/>
        <v>74983188</v>
      </c>
      <c r="P17" s="292">
        <f t="shared" si="6"/>
        <v>17831000</v>
      </c>
      <c r="Q17" s="292">
        <f t="shared" si="6"/>
        <v>19384000</v>
      </c>
    </row>
    <row r="18" spans="1:17" x14ac:dyDescent="0.2">
      <c r="A18" s="307" t="s">
        <v>4381</v>
      </c>
      <c r="B18" s="243">
        <f>'Schedule 3(a) - Capex by GFS_7'!B18</f>
        <v>43827</v>
      </c>
      <c r="C18" s="243">
        <f>'Schedule 3(a) - Capex by GFS_7'!C18</f>
        <v>0</v>
      </c>
      <c r="D18" s="243">
        <f>'Schedule 3(a) - Capex by GFS_7'!D18</f>
        <v>797884</v>
      </c>
      <c r="E18" s="243">
        <f>'Schedule 3(a) - Capex by GFS_7'!E18</f>
        <v>797884</v>
      </c>
      <c r="F18" s="243">
        <f>'Schedule 3(a) - Capex by GFS_7'!F18</f>
        <v>0</v>
      </c>
      <c r="G18" s="243">
        <f>'Schedule 3(a) - Capex by GFS_7'!G18</f>
        <v>0</v>
      </c>
      <c r="H18" s="243">
        <f>'Schedule 3(a) - Capex by GFS_7'!H18</f>
        <v>0</v>
      </c>
    </row>
    <row r="19" spans="1:17" x14ac:dyDescent="0.2">
      <c r="A19" s="307" t="s">
        <v>444</v>
      </c>
      <c r="B19" s="243">
        <f>'Schedule 3(a) - Capex by GFS_7'!B19</f>
        <v>1722004</v>
      </c>
      <c r="C19" s="243">
        <f>'Schedule 3(a) - Capex by GFS_7'!C19</f>
        <v>11721818</v>
      </c>
      <c r="D19" s="243">
        <f>'Schedule 3(a) - Capex by GFS_7'!D19</f>
        <v>14555468</v>
      </c>
      <c r="E19" s="243">
        <f>'Schedule 3(a) - Capex by GFS_7'!E19</f>
        <v>906367</v>
      </c>
      <c r="F19" s="243">
        <f>'Schedule 3(a) - Capex by GFS_7'!F19</f>
        <v>12913000</v>
      </c>
      <c r="G19" s="243">
        <f>'Schedule 3(a) - Capex by GFS_7'!G19</f>
        <v>15531000</v>
      </c>
      <c r="H19" s="243">
        <f>'Schedule 3(a) - Capex by GFS_7'!H19</f>
        <v>18884000</v>
      </c>
    </row>
    <row r="20" spans="1:17" x14ac:dyDescent="0.2">
      <c r="A20" s="307" t="s">
        <v>4382</v>
      </c>
      <c r="B20" s="243">
        <f>'Schedule 3(a) - Capex by GFS_7'!B20</f>
        <v>0</v>
      </c>
      <c r="C20" s="243">
        <f>'Schedule 3(a) - Capex by GFS_7'!C20</f>
        <v>3859915</v>
      </c>
      <c r="D20" s="243">
        <f>'Schedule 3(a) - Capex by GFS_7'!D20</f>
        <v>3859915</v>
      </c>
      <c r="E20" s="243">
        <f>'Schedule 3(a) - Capex by GFS_7'!E20</f>
        <v>1035845</v>
      </c>
      <c r="F20" s="243">
        <f>'Schedule 3(a) - Capex by GFS_7'!F20</f>
        <v>2824071</v>
      </c>
      <c r="G20" s="243">
        <f>'Schedule 3(a) - Capex by GFS_7'!G20</f>
        <v>300000</v>
      </c>
      <c r="H20" s="243">
        <f>'Schedule 3(a) - Capex by GFS_7'!H20</f>
        <v>500000</v>
      </c>
    </row>
    <row r="21" spans="1:17" x14ac:dyDescent="0.2">
      <c r="A21" s="307" t="s">
        <v>4172</v>
      </c>
      <c r="B21" s="243">
        <f>'Schedule 3(a) - Capex by GFS_7'!B21</f>
        <v>0</v>
      </c>
      <c r="C21" s="243">
        <f>'Schedule 3(a) - Capex by GFS_7'!C21</f>
        <v>0</v>
      </c>
      <c r="D21" s="243">
        <f>'Schedule 3(a) - Capex by GFS_7'!D21</f>
        <v>0</v>
      </c>
      <c r="E21" s="243">
        <f>'Schedule 3(a) - Capex by GFS_7'!E21</f>
        <v>0</v>
      </c>
      <c r="F21" s="243">
        <f>'Schedule 3(a) - Capex by GFS_7'!F21</f>
        <v>0</v>
      </c>
      <c r="G21" s="243">
        <f>'Schedule 3(a) - Capex by GFS_7'!G21</f>
        <v>0</v>
      </c>
      <c r="H21" s="243">
        <f>'Schedule 3(a) - Capex by GFS_7'!H21</f>
        <v>0</v>
      </c>
    </row>
    <row r="22" spans="1:17" x14ac:dyDescent="0.2">
      <c r="A22" s="297"/>
      <c r="B22" s="328"/>
      <c r="C22" s="328"/>
      <c r="D22" s="328"/>
      <c r="E22" s="328"/>
      <c r="F22" s="328"/>
      <c r="G22" s="393"/>
      <c r="H22" s="328"/>
    </row>
    <row r="23" spans="1:17" x14ac:dyDescent="0.2">
      <c r="A23" s="297"/>
      <c r="B23" s="310"/>
      <c r="C23" s="310"/>
      <c r="D23" s="310"/>
      <c r="E23" s="310"/>
      <c r="F23" s="310"/>
      <c r="G23" s="310"/>
      <c r="H23" s="310"/>
      <c r="J23" s="272" t="s">
        <v>719</v>
      </c>
    </row>
    <row r="24" spans="1:17" x14ac:dyDescent="0.2">
      <c r="A24" s="311" t="s">
        <v>4383</v>
      </c>
      <c r="B24" s="325">
        <f t="shared" ref="B24:H24" si="7">SUM(B8:B23)</f>
        <v>5938995</v>
      </c>
      <c r="C24" s="325">
        <f t="shared" si="7"/>
        <v>24196225</v>
      </c>
      <c r="D24" s="325">
        <f t="shared" si="7"/>
        <v>29827759</v>
      </c>
      <c r="E24" s="325">
        <f t="shared" si="7"/>
        <v>11865348</v>
      </c>
      <c r="F24" s="325">
        <f t="shared" si="7"/>
        <v>74983188</v>
      </c>
      <c r="G24" s="325">
        <f t="shared" si="7"/>
        <v>17831000</v>
      </c>
      <c r="H24" s="325">
        <f t="shared" si="7"/>
        <v>19384000</v>
      </c>
      <c r="K24" s="287" t="s">
        <v>3994</v>
      </c>
      <c r="L24" s="288" t="s">
        <v>3995</v>
      </c>
      <c r="M24" s="288" t="s">
        <v>3996</v>
      </c>
      <c r="N24" s="287" t="s">
        <v>3997</v>
      </c>
      <c r="O24" s="287" t="s">
        <v>3998</v>
      </c>
      <c r="P24" s="287" t="s">
        <v>3999</v>
      </c>
      <c r="Q24" s="287" t="s">
        <v>4000</v>
      </c>
    </row>
    <row r="25" spans="1:17" x14ac:dyDescent="0.2">
      <c r="J25" s="264" t="s">
        <v>4374</v>
      </c>
      <c r="K25" s="265">
        <f>B11</f>
        <v>0</v>
      </c>
      <c r="L25" s="265">
        <f t="shared" ref="L25:Q25" si="8">C11</f>
        <v>0</v>
      </c>
      <c r="M25" s="265">
        <f t="shared" si="8"/>
        <v>0</v>
      </c>
      <c r="N25" s="265">
        <f t="shared" si="8"/>
        <v>0</v>
      </c>
      <c r="O25" s="265">
        <f t="shared" si="8"/>
        <v>1500000</v>
      </c>
      <c r="P25" s="265">
        <f t="shared" si="8"/>
        <v>2000000</v>
      </c>
      <c r="Q25" s="265">
        <f t="shared" si="8"/>
        <v>0</v>
      </c>
    </row>
    <row r="26" spans="1:17" x14ac:dyDescent="0.2">
      <c r="A26" s="301" t="s">
        <v>1131</v>
      </c>
      <c r="J26" s="264" t="s">
        <v>4375</v>
      </c>
      <c r="K26" s="265">
        <f>B12</f>
        <v>0</v>
      </c>
      <c r="L26" s="265">
        <f t="shared" ref="L26:Q26" si="9">C12</f>
        <v>0</v>
      </c>
      <c r="M26" s="265">
        <f t="shared" si="9"/>
        <v>0</v>
      </c>
      <c r="N26" s="265">
        <f t="shared" si="9"/>
        <v>0</v>
      </c>
      <c r="O26" s="265">
        <f t="shared" si="9"/>
        <v>0</v>
      </c>
      <c r="P26" s="265">
        <f t="shared" si="9"/>
        <v>0</v>
      </c>
      <c r="Q26" s="265">
        <f t="shared" si="9"/>
        <v>0</v>
      </c>
    </row>
    <row r="27" spans="1:17" x14ac:dyDescent="0.2">
      <c r="A27" s="304" t="s">
        <v>4099</v>
      </c>
      <c r="J27" s="264" t="s">
        <v>4372</v>
      </c>
      <c r="K27" s="265">
        <f>B9</f>
        <v>292616</v>
      </c>
      <c r="L27" s="265">
        <f t="shared" ref="L27:Q27" si="10">C9</f>
        <v>0</v>
      </c>
      <c r="M27" s="265">
        <f t="shared" si="10"/>
        <v>2000000</v>
      </c>
      <c r="N27" s="265">
        <f t="shared" si="10"/>
        <v>0</v>
      </c>
      <c r="O27" s="265">
        <f t="shared" si="10"/>
        <v>47000000</v>
      </c>
      <c r="P27" s="265">
        <f t="shared" si="10"/>
        <v>0</v>
      </c>
      <c r="Q27" s="265">
        <f t="shared" si="10"/>
        <v>0</v>
      </c>
    </row>
    <row r="28" spans="1:17" x14ac:dyDescent="0.2">
      <c r="A28" s="304" t="s">
        <v>4100</v>
      </c>
      <c r="J28" s="264" t="s">
        <v>4373</v>
      </c>
      <c r="K28" s="265">
        <f>B10</f>
        <v>0</v>
      </c>
      <c r="L28" s="265">
        <f t="shared" ref="L28:Q28" si="11">C10</f>
        <v>2220000</v>
      </c>
      <c r="M28" s="265">
        <f t="shared" si="11"/>
        <v>2220000</v>
      </c>
      <c r="N28" s="265">
        <f t="shared" si="11"/>
        <v>0</v>
      </c>
      <c r="O28" s="265">
        <f t="shared" si="11"/>
        <v>2220000</v>
      </c>
      <c r="P28" s="265">
        <f t="shared" si="11"/>
        <v>0</v>
      </c>
      <c r="Q28" s="265">
        <f t="shared" si="11"/>
        <v>0</v>
      </c>
    </row>
    <row r="29" spans="1:17" x14ac:dyDescent="0.2">
      <c r="A29" s="304" t="s">
        <v>4101</v>
      </c>
      <c r="J29" s="264" t="s">
        <v>4371</v>
      </c>
      <c r="K29" s="265">
        <f>B8</f>
        <v>103070</v>
      </c>
      <c r="L29" s="265">
        <f t="shared" ref="L29:Q29" si="12">C8</f>
        <v>2093221</v>
      </c>
      <c r="M29" s="265">
        <f t="shared" si="12"/>
        <v>2093221</v>
      </c>
      <c r="N29" s="265">
        <f t="shared" si="12"/>
        <v>459351</v>
      </c>
      <c r="O29" s="265">
        <f t="shared" si="12"/>
        <v>1633870</v>
      </c>
      <c r="P29" s="265">
        <f t="shared" si="12"/>
        <v>0</v>
      </c>
      <c r="Q29" s="265">
        <f t="shared" si="12"/>
        <v>0</v>
      </c>
    </row>
    <row r="30" spans="1:17" x14ac:dyDescent="0.2">
      <c r="A30" s="304" t="s">
        <v>4102</v>
      </c>
      <c r="J30" s="304" t="s">
        <v>1825</v>
      </c>
      <c r="K30" s="265">
        <f t="shared" ref="K30:Q30" si="13">B21</f>
        <v>0</v>
      </c>
      <c r="L30" s="265">
        <f t="shared" si="13"/>
        <v>0</v>
      </c>
      <c r="M30" s="265">
        <f t="shared" si="13"/>
        <v>0</v>
      </c>
      <c r="N30" s="265">
        <f t="shared" si="13"/>
        <v>0</v>
      </c>
      <c r="O30" s="265">
        <f t="shared" si="13"/>
        <v>0</v>
      </c>
      <c r="P30" s="265">
        <f t="shared" si="13"/>
        <v>0</v>
      </c>
      <c r="Q30" s="265">
        <f t="shared" si="13"/>
        <v>0</v>
      </c>
    </row>
    <row r="31" spans="1:17" x14ac:dyDescent="0.2">
      <c r="A31" s="304" t="s">
        <v>4103</v>
      </c>
      <c r="J31" s="272" t="s">
        <v>4137</v>
      </c>
      <c r="K31" s="292">
        <f t="shared" ref="K31:Q31" si="14">SUM(K25:K30)</f>
        <v>395686</v>
      </c>
      <c r="L31" s="292">
        <f t="shared" si="14"/>
        <v>4313221</v>
      </c>
      <c r="M31" s="292">
        <f t="shared" si="14"/>
        <v>6313221</v>
      </c>
      <c r="N31" s="292">
        <f t="shared" si="14"/>
        <v>459351</v>
      </c>
      <c r="O31" s="292">
        <f t="shared" si="14"/>
        <v>52353870</v>
      </c>
      <c r="P31" s="292">
        <f t="shared" si="14"/>
        <v>2000000</v>
      </c>
      <c r="Q31" s="292">
        <f t="shared" si="14"/>
        <v>0</v>
      </c>
    </row>
    <row r="32" spans="1:17" x14ac:dyDescent="0.2">
      <c r="A32" s="304" t="s">
        <v>4104</v>
      </c>
    </row>
    <row r="33" spans="1:1" x14ac:dyDescent="0.2">
      <c r="A33" s="304" t="s">
        <v>4359</v>
      </c>
    </row>
    <row r="35" spans="1:1" x14ac:dyDescent="0.2">
      <c r="A35" s="301" t="s">
        <v>1132</v>
      </c>
    </row>
    <row r="36" spans="1:1" x14ac:dyDescent="0.2">
      <c r="A36" s="302" t="s">
        <v>3984</v>
      </c>
    </row>
    <row r="37" spans="1:1" x14ac:dyDescent="0.2">
      <c r="A37" s="264" t="s">
        <v>720</v>
      </c>
    </row>
    <row r="38" spans="1:1" x14ac:dyDescent="0.2">
      <c r="A38" s="302" t="s">
        <v>715</v>
      </c>
    </row>
    <row r="39" spans="1:1" x14ac:dyDescent="0.2">
      <c r="A39" s="264" t="s">
        <v>721</v>
      </c>
    </row>
    <row r="40" spans="1:1" x14ac:dyDescent="0.2">
      <c r="A40" s="264" t="s">
        <v>722</v>
      </c>
    </row>
    <row r="41" spans="1:1" x14ac:dyDescent="0.2">
      <c r="A41" s="264" t="s">
        <v>714</v>
      </c>
    </row>
  </sheetData>
  <phoneticPr fontId="3" type="noConversion"/>
  <pageMargins left="0.75" right="0.75" top="1" bottom="1" header="0.5" footer="0.5"/>
  <pageSetup paperSize="9" scale="72"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5"/>
  <sheetViews>
    <sheetView view="pageBreakPreview" topLeftCell="D1" zoomScaleNormal="100" workbookViewId="0">
      <selection activeCell="F27" sqref="F27"/>
    </sheetView>
  </sheetViews>
  <sheetFormatPr defaultColWidth="10.6640625" defaultRowHeight="12.75" x14ac:dyDescent="0.2"/>
  <cols>
    <col min="1" max="1" width="57.83203125" style="264" customWidth="1"/>
    <col min="2" max="2" width="21.33203125" style="264" bestFit="1" customWidth="1"/>
    <col min="3" max="3" width="24" style="264" bestFit="1" customWidth="1"/>
    <col min="4" max="5" width="23.6640625" style="264" bestFit="1" customWidth="1"/>
    <col min="6" max="6" width="23.83203125" style="264" bestFit="1" customWidth="1"/>
    <col min="7" max="8" width="23.83203125" style="264" customWidth="1"/>
    <col min="9" max="9" width="10.6640625" style="264" customWidth="1"/>
    <col min="10" max="10" width="50" style="264" bestFit="1" customWidth="1"/>
    <col min="11" max="17" width="12.5" style="265" customWidth="1"/>
    <col min="18" max="16384" width="10.6640625" style="264"/>
  </cols>
  <sheetData>
    <row r="1" spans="1:17" x14ac:dyDescent="0.2">
      <c r="A1" s="305"/>
      <c r="B1" s="257" t="s">
        <v>1096</v>
      </c>
      <c r="C1" s="258" t="s">
        <v>1097</v>
      </c>
      <c r="D1" s="259"/>
      <c r="E1" s="260"/>
      <c r="F1" s="261" t="s">
        <v>1098</v>
      </c>
      <c r="G1" s="262"/>
      <c r="H1" s="263"/>
    </row>
    <row r="2" spans="1:17" x14ac:dyDescent="0.2">
      <c r="A2" s="266" t="s">
        <v>723</v>
      </c>
      <c r="B2" s="267" t="s">
        <v>1103</v>
      </c>
      <c r="C2" s="268" t="s">
        <v>4093</v>
      </c>
      <c r="D2" s="269"/>
      <c r="E2" s="270"/>
      <c r="F2" s="271" t="s">
        <v>1100</v>
      </c>
      <c r="G2" s="266" t="s">
        <v>1101</v>
      </c>
      <c r="H2" s="266" t="s">
        <v>1102</v>
      </c>
    </row>
    <row r="3" spans="1:17" x14ac:dyDescent="0.2">
      <c r="A3" s="286"/>
      <c r="B3" s="273"/>
      <c r="C3" s="274"/>
      <c r="D3" s="275"/>
      <c r="E3" s="276"/>
      <c r="F3" s="277" t="s">
        <v>4094</v>
      </c>
      <c r="G3" s="277" t="s">
        <v>4095</v>
      </c>
      <c r="H3" s="277" t="s">
        <v>4096</v>
      </c>
      <c r="J3" s="330" t="s">
        <v>724</v>
      </c>
    </row>
    <row r="4" spans="1:17" x14ac:dyDescent="0.2">
      <c r="A4" s="266" t="s">
        <v>4139</v>
      </c>
      <c r="B4" s="278" t="s">
        <v>1104</v>
      </c>
      <c r="C4" s="257" t="s">
        <v>1105</v>
      </c>
      <c r="D4" s="257" t="s">
        <v>1106</v>
      </c>
      <c r="E4" s="279" t="s">
        <v>1107</v>
      </c>
      <c r="F4" s="279" t="s">
        <v>1108</v>
      </c>
      <c r="G4" s="279" t="s">
        <v>1108</v>
      </c>
      <c r="H4" s="279" t="s">
        <v>1108</v>
      </c>
    </row>
    <row r="5" spans="1:17" x14ac:dyDescent="0.2">
      <c r="A5" s="266"/>
      <c r="B5" s="280" t="s">
        <v>1109</v>
      </c>
      <c r="C5" s="266" t="s">
        <v>1109</v>
      </c>
      <c r="D5" s="266" t="s">
        <v>1109</v>
      </c>
      <c r="E5" s="266" t="s">
        <v>1109</v>
      </c>
      <c r="F5" s="266" t="s">
        <v>1109</v>
      </c>
      <c r="G5" s="266" t="s">
        <v>1109</v>
      </c>
      <c r="H5" s="266" t="s">
        <v>1109</v>
      </c>
    </row>
    <row r="6" spans="1:17" x14ac:dyDescent="0.2">
      <c r="A6" s="331"/>
      <c r="B6" s="282" t="s">
        <v>1110</v>
      </c>
      <c r="C6" s="283" t="s">
        <v>1111</v>
      </c>
      <c r="D6" s="283" t="s">
        <v>1112</v>
      </c>
      <c r="E6" s="283" t="s">
        <v>1113</v>
      </c>
      <c r="F6" s="283" t="s">
        <v>1114</v>
      </c>
      <c r="G6" s="284" t="s">
        <v>1115</v>
      </c>
      <c r="H6" s="284" t="s">
        <v>1116</v>
      </c>
      <c r="J6" s="330" t="s">
        <v>725</v>
      </c>
    </row>
    <row r="7" spans="1:17" x14ac:dyDescent="0.2">
      <c r="A7" s="286"/>
      <c r="B7" s="332"/>
      <c r="C7" s="332"/>
      <c r="D7" s="332"/>
      <c r="E7" s="332"/>
      <c r="F7" s="332"/>
      <c r="G7" s="332"/>
      <c r="H7" s="332"/>
      <c r="K7" s="333" t="s">
        <v>3994</v>
      </c>
      <c r="L7" s="288" t="s">
        <v>3995</v>
      </c>
      <c r="M7" s="288" t="s">
        <v>3996</v>
      </c>
      <c r="N7" s="333" t="s">
        <v>3997</v>
      </c>
      <c r="O7" s="333" t="s">
        <v>3998</v>
      </c>
      <c r="P7" s="333" t="s">
        <v>3999</v>
      </c>
      <c r="Q7" s="333" t="s">
        <v>4000</v>
      </c>
    </row>
    <row r="8" spans="1:17" x14ac:dyDescent="0.2">
      <c r="A8" s="286" t="s">
        <v>602</v>
      </c>
      <c r="B8" s="332"/>
      <c r="C8" s="332"/>
      <c r="D8" s="332"/>
      <c r="E8" s="332"/>
      <c r="F8" s="334"/>
      <c r="G8" s="334"/>
      <c r="H8" s="334"/>
      <c r="J8" s="264" t="s">
        <v>726</v>
      </c>
      <c r="K8" s="265">
        <f>B11</f>
        <v>12524006</v>
      </c>
      <c r="L8" s="265">
        <f t="shared" ref="L8:Q8" si="0">C11</f>
        <v>18880271</v>
      </c>
      <c r="M8" s="265">
        <f t="shared" si="0"/>
        <v>21713921</v>
      </c>
      <c r="N8" s="265">
        <f t="shared" si="0"/>
        <v>10608113</v>
      </c>
      <c r="O8" s="265">
        <f t="shared" si="0"/>
        <v>22629318</v>
      </c>
      <c r="P8" s="265">
        <f t="shared" si="0"/>
        <v>15831000</v>
      </c>
      <c r="Q8" s="265">
        <f t="shared" si="0"/>
        <v>19384000</v>
      </c>
    </row>
    <row r="9" spans="1:17" x14ac:dyDescent="0.2">
      <c r="A9" s="297" t="s">
        <v>603</v>
      </c>
      <c r="B9" s="243">
        <f>'Schedule 4 - Capex Funding_8'!B9</f>
        <v>6670000</v>
      </c>
      <c r="C9" s="243">
        <f>'Schedule 4 - Capex Funding_8'!C9</f>
        <v>14579000</v>
      </c>
      <c r="D9" s="243">
        <f>'Schedule 4 - Capex Funding_8'!D9</f>
        <v>14579000</v>
      </c>
      <c r="E9" s="243">
        <f>'Schedule 4 - Capex Funding_8'!E9</f>
        <v>0</v>
      </c>
      <c r="F9" s="243">
        <f>'Schedule 4 - Capex Funding_8'!F9</f>
        <v>12913000</v>
      </c>
      <c r="G9" s="243">
        <f>'Schedule 4 - Capex Funding_8'!G9</f>
        <v>15831000</v>
      </c>
      <c r="H9" s="243">
        <f>'Schedule 4 - Capex Funding_8'!H9</f>
        <v>19384000</v>
      </c>
      <c r="J9" s="264" t="s">
        <v>727</v>
      </c>
      <c r="K9" s="265">
        <f>B16</f>
        <v>5315954</v>
      </c>
      <c r="L9" s="265">
        <f t="shared" ref="L9:Q9" si="1">C16</f>
        <v>5388969</v>
      </c>
      <c r="M9" s="265">
        <f t="shared" si="1"/>
        <v>5388969</v>
      </c>
      <c r="N9" s="265">
        <f t="shared" si="1"/>
        <v>459351</v>
      </c>
      <c r="O9" s="265">
        <f t="shared" si="1"/>
        <v>3853870</v>
      </c>
      <c r="P9" s="265">
        <f t="shared" si="1"/>
        <v>0</v>
      </c>
      <c r="Q9" s="265">
        <f t="shared" si="1"/>
        <v>0</v>
      </c>
    </row>
    <row r="10" spans="1:17" x14ac:dyDescent="0.2">
      <c r="A10" s="289" t="s">
        <v>604</v>
      </c>
      <c r="B10" s="243">
        <f>'Schedule 4 - Capex Funding_8'!B10</f>
        <v>5854006</v>
      </c>
      <c r="C10" s="243">
        <f>'Schedule 4 - Capex Funding_8'!C10</f>
        <v>4301271</v>
      </c>
      <c r="D10" s="243">
        <f>'Schedule 4 - Capex Funding_8'!D10</f>
        <v>7134921</v>
      </c>
      <c r="E10" s="243">
        <f>'Schedule 4 - Capex Funding_8'!E10</f>
        <v>10608113</v>
      </c>
      <c r="F10" s="243">
        <f>'Schedule 4 - Capex Funding_8'!F10</f>
        <v>9716318</v>
      </c>
      <c r="G10" s="243">
        <f>'Schedule 4 - Capex Funding_8'!G10</f>
        <v>0</v>
      </c>
      <c r="H10" s="243">
        <f>'Schedule 4 - Capex Funding_8'!H10</f>
        <v>0</v>
      </c>
      <c r="J10" s="264" t="s">
        <v>613</v>
      </c>
      <c r="K10" s="265">
        <f>B27</f>
        <v>0</v>
      </c>
      <c r="L10" s="265">
        <f t="shared" ref="L10:Q10" si="2">C27</f>
        <v>0</v>
      </c>
      <c r="M10" s="265">
        <f t="shared" si="2"/>
        <v>1000000</v>
      </c>
      <c r="N10" s="265">
        <f t="shared" si="2"/>
        <v>0</v>
      </c>
      <c r="O10" s="265">
        <f t="shared" si="2"/>
        <v>27003400</v>
      </c>
      <c r="P10" s="265">
        <f t="shared" si="2"/>
        <v>0</v>
      </c>
      <c r="Q10" s="265">
        <f t="shared" si="2"/>
        <v>0</v>
      </c>
    </row>
    <row r="11" spans="1:17" x14ac:dyDescent="0.2">
      <c r="A11" s="311" t="s">
        <v>605</v>
      </c>
      <c r="B11" s="325">
        <f t="shared" ref="B11:H11" si="3">SUM(B9:B10)</f>
        <v>12524006</v>
      </c>
      <c r="C11" s="325">
        <f t="shared" si="3"/>
        <v>18880271</v>
      </c>
      <c r="D11" s="325">
        <f t="shared" si="3"/>
        <v>21713921</v>
      </c>
      <c r="E11" s="325">
        <f t="shared" si="3"/>
        <v>10608113</v>
      </c>
      <c r="F11" s="325">
        <f t="shared" si="3"/>
        <v>22629318</v>
      </c>
      <c r="G11" s="325">
        <f t="shared" si="3"/>
        <v>15831000</v>
      </c>
      <c r="H11" s="325">
        <f t="shared" si="3"/>
        <v>19384000</v>
      </c>
      <c r="J11" s="338" t="s">
        <v>728</v>
      </c>
      <c r="K11" s="320">
        <f>B25</f>
        <v>292616</v>
      </c>
      <c r="L11" s="320">
        <f t="shared" ref="L11:Q11" si="4">C25</f>
        <v>0</v>
      </c>
      <c r="M11" s="320">
        <f t="shared" si="4"/>
        <v>1797884</v>
      </c>
      <c r="N11" s="320">
        <f t="shared" si="4"/>
        <v>797884</v>
      </c>
      <c r="O11" s="320">
        <f t="shared" si="4"/>
        <v>3500000</v>
      </c>
      <c r="P11" s="320">
        <f t="shared" si="4"/>
        <v>2000000</v>
      </c>
      <c r="Q11" s="320">
        <f t="shared" si="4"/>
        <v>0</v>
      </c>
    </row>
    <row r="12" spans="1:17" x14ac:dyDescent="0.2">
      <c r="A12" s="289"/>
      <c r="B12" s="296"/>
      <c r="C12" s="296"/>
      <c r="D12" s="296"/>
      <c r="E12" s="296"/>
      <c r="F12" s="335"/>
      <c r="G12" s="335"/>
      <c r="H12" s="335"/>
      <c r="K12" s="292">
        <f t="shared" ref="K12:Q12" si="5">SUM(K8:K11)</f>
        <v>18132576</v>
      </c>
      <c r="L12" s="292">
        <f t="shared" si="5"/>
        <v>24269240</v>
      </c>
      <c r="M12" s="292">
        <f t="shared" si="5"/>
        <v>29900774</v>
      </c>
      <c r="N12" s="292">
        <f t="shared" si="5"/>
        <v>11865348</v>
      </c>
      <c r="O12" s="292">
        <f t="shared" si="5"/>
        <v>56986588</v>
      </c>
      <c r="P12" s="292">
        <f t="shared" si="5"/>
        <v>17831000</v>
      </c>
      <c r="Q12" s="292">
        <f t="shared" si="5"/>
        <v>19384000</v>
      </c>
    </row>
    <row r="13" spans="1:17" x14ac:dyDescent="0.2">
      <c r="A13" s="286" t="s">
        <v>606</v>
      </c>
      <c r="B13" s="297"/>
      <c r="C13" s="297"/>
      <c r="D13" s="297"/>
      <c r="E13" s="297"/>
      <c r="F13" s="327"/>
      <c r="G13" s="327"/>
      <c r="H13" s="327"/>
    </row>
    <row r="14" spans="1:17" x14ac:dyDescent="0.2">
      <c r="A14" s="297" t="s">
        <v>603</v>
      </c>
      <c r="B14" s="243">
        <f>'Schedule 4 - Capex Funding_8'!B14</f>
        <v>0</v>
      </c>
      <c r="C14" s="243">
        <f>'Schedule 4 - Capex Funding_8'!C14</f>
        <v>0</v>
      </c>
      <c r="D14" s="243">
        <f>'Schedule 4 - Capex Funding_8'!D14</f>
        <v>0</v>
      </c>
      <c r="E14" s="243">
        <f>'Schedule 4 - Capex Funding_8'!E14</f>
        <v>0</v>
      </c>
      <c r="F14" s="243">
        <f>'Schedule 4 - Capex Funding_8'!F14</f>
        <v>0</v>
      </c>
      <c r="G14" s="243">
        <f>'Schedule 4 - Capex Funding_8'!G14</f>
        <v>0</v>
      </c>
      <c r="H14" s="243">
        <f>'Schedule 4 - Capex Funding_8'!H14</f>
        <v>0</v>
      </c>
    </row>
    <row r="15" spans="1:17" x14ac:dyDescent="0.2">
      <c r="A15" s="289" t="s">
        <v>604</v>
      </c>
      <c r="B15" s="243">
        <f>'Schedule 4 - Capex Funding_8'!B15</f>
        <v>5315954</v>
      </c>
      <c r="C15" s="243">
        <f>'Schedule 4 - Capex Funding_8'!C15</f>
        <v>5388969</v>
      </c>
      <c r="D15" s="243">
        <f>'Schedule 4 - Capex Funding_8'!D15</f>
        <v>5388969</v>
      </c>
      <c r="E15" s="243">
        <f>'Schedule 4 - Capex Funding_8'!E15</f>
        <v>459351</v>
      </c>
      <c r="F15" s="243">
        <f>'Schedule 4 - Capex Funding_8'!F15</f>
        <v>3853870</v>
      </c>
      <c r="G15" s="243">
        <f>'Schedule 4 - Capex Funding_8'!G15</f>
        <v>0</v>
      </c>
      <c r="H15" s="243">
        <f>'Schedule 4 - Capex Funding_8'!H15</f>
        <v>0</v>
      </c>
    </row>
    <row r="16" spans="1:17" x14ac:dyDescent="0.2">
      <c r="A16" s="311" t="s">
        <v>607</v>
      </c>
      <c r="B16" s="325">
        <f t="shared" ref="B16:H16" si="6">SUM(B14:B15)</f>
        <v>5315954</v>
      </c>
      <c r="C16" s="325">
        <f t="shared" si="6"/>
        <v>5388969</v>
      </c>
      <c r="D16" s="325">
        <f t="shared" si="6"/>
        <v>5388969</v>
      </c>
      <c r="E16" s="325">
        <f t="shared" si="6"/>
        <v>459351</v>
      </c>
      <c r="F16" s="325">
        <f t="shared" si="6"/>
        <v>3853870</v>
      </c>
      <c r="G16" s="325">
        <f t="shared" si="6"/>
        <v>0</v>
      </c>
      <c r="H16" s="325">
        <f t="shared" si="6"/>
        <v>0</v>
      </c>
    </row>
    <row r="17" spans="1:8" x14ac:dyDescent="0.2">
      <c r="A17" s="289"/>
      <c r="B17" s="296"/>
      <c r="C17" s="296"/>
      <c r="D17" s="296"/>
      <c r="E17" s="296"/>
      <c r="F17" s="335"/>
      <c r="G17" s="335"/>
      <c r="H17" s="335"/>
    </row>
    <row r="18" spans="1:8" x14ac:dyDescent="0.2">
      <c r="A18" s="286" t="s">
        <v>608</v>
      </c>
      <c r="B18" s="297"/>
      <c r="C18" s="297"/>
      <c r="D18" s="297"/>
      <c r="E18" s="297"/>
      <c r="F18" s="327"/>
      <c r="G18" s="327"/>
      <c r="H18" s="327"/>
    </row>
    <row r="19" spans="1:8" x14ac:dyDescent="0.2">
      <c r="A19" s="297" t="s">
        <v>609</v>
      </c>
      <c r="B19" s="243">
        <f>'Schedule 4 - Capex Funding_8'!B19</f>
        <v>0</v>
      </c>
      <c r="C19" s="243">
        <f>'Schedule 4 - Capex Funding_8'!C19</f>
        <v>0</v>
      </c>
      <c r="D19" s="243">
        <f>'Schedule 4 - Capex Funding_8'!D19</f>
        <v>0</v>
      </c>
      <c r="E19" s="243">
        <f>'Schedule 4 - Capex Funding_8'!E19</f>
        <v>0</v>
      </c>
      <c r="F19" s="243">
        <f>'Schedule 4 - Capex Funding_8'!F19</f>
        <v>0</v>
      </c>
      <c r="G19" s="243">
        <f>'Schedule 4 - Capex Funding_8'!G19</f>
        <v>0</v>
      </c>
      <c r="H19" s="243">
        <f>'Schedule 4 - Capex Funding_8'!H19</f>
        <v>0</v>
      </c>
    </row>
    <row r="20" spans="1:8" x14ac:dyDescent="0.2">
      <c r="A20" s="289" t="s">
        <v>604</v>
      </c>
      <c r="B20" s="243">
        <f>'Schedule 4 - Capex Funding_8'!B20</f>
        <v>0</v>
      </c>
      <c r="C20" s="243">
        <f>'Schedule 4 - Capex Funding_8'!C20</f>
        <v>0</v>
      </c>
      <c r="D20" s="243">
        <f>'Schedule 4 - Capex Funding_8'!D20</f>
        <v>0</v>
      </c>
      <c r="E20" s="243">
        <f>'Schedule 4 - Capex Funding_8'!E20</f>
        <v>0</v>
      </c>
      <c r="F20" s="243">
        <f>'Schedule 4 - Capex Funding_8'!F20</f>
        <v>0</v>
      </c>
      <c r="G20" s="243">
        <f>'Schedule 4 - Capex Funding_8'!G20</f>
        <v>0</v>
      </c>
      <c r="H20" s="243">
        <f>'Schedule 4 - Capex Funding_8'!H20</f>
        <v>0</v>
      </c>
    </row>
    <row r="21" spans="1:8" x14ac:dyDescent="0.2">
      <c r="A21" s="311" t="s">
        <v>610</v>
      </c>
      <c r="B21" s="325">
        <f t="shared" ref="B21:H21" si="7">SUM(B19:B20)</f>
        <v>0</v>
      </c>
      <c r="C21" s="336">
        <f t="shared" si="7"/>
        <v>0</v>
      </c>
      <c r="D21" s="336">
        <f t="shared" si="7"/>
        <v>0</v>
      </c>
      <c r="E21" s="336">
        <f t="shared" si="7"/>
        <v>0</v>
      </c>
      <c r="F21" s="337">
        <f t="shared" si="7"/>
        <v>0</v>
      </c>
      <c r="G21" s="337">
        <f t="shared" si="7"/>
        <v>0</v>
      </c>
      <c r="H21" s="337">
        <f t="shared" si="7"/>
        <v>0</v>
      </c>
    </row>
    <row r="22" spans="1:8" x14ac:dyDescent="0.2">
      <c r="A22" s="297"/>
      <c r="B22" s="297"/>
      <c r="C22" s="297"/>
      <c r="D22" s="297"/>
      <c r="E22" s="297"/>
      <c r="F22" s="327"/>
      <c r="G22" s="327"/>
      <c r="H22" s="327"/>
    </row>
    <row r="23" spans="1:8" x14ac:dyDescent="0.2">
      <c r="A23" s="286" t="s">
        <v>611</v>
      </c>
      <c r="B23" s="388">
        <f>'Schedule 4 - Capex Funding_8'!B23</f>
        <v>0</v>
      </c>
      <c r="C23" s="388">
        <f>'Schedule 4 - Capex Funding_8'!C23</f>
        <v>0</v>
      </c>
      <c r="D23" s="388">
        <f>'Schedule 4 - Capex Funding_8'!D23</f>
        <v>0</v>
      </c>
      <c r="E23" s="388">
        <f>'Schedule 4 - Capex Funding_8'!E23</f>
        <v>0</v>
      </c>
      <c r="F23" s="388">
        <f>'Schedule 4 - Capex Funding_8'!F23</f>
        <v>0</v>
      </c>
      <c r="G23" s="388">
        <f>'Schedule 4 - Capex Funding_8'!G23</f>
        <v>0</v>
      </c>
      <c r="H23" s="388">
        <f>'Schedule 4 - Capex Funding_8'!H23</f>
        <v>0</v>
      </c>
    </row>
    <row r="24" spans="1:8" x14ac:dyDescent="0.2">
      <c r="A24" s="297"/>
      <c r="B24" s="388"/>
      <c r="C24" s="388"/>
      <c r="D24" s="388"/>
      <c r="E24" s="388"/>
      <c r="F24" s="388"/>
      <c r="G24" s="388"/>
      <c r="H24" s="388"/>
    </row>
    <row r="25" spans="1:8" x14ac:dyDescent="0.2">
      <c r="A25" s="286" t="s">
        <v>612</v>
      </c>
      <c r="B25" s="388">
        <f>'Schedule 4 - Capex Funding_8'!B25</f>
        <v>292616</v>
      </c>
      <c r="C25" s="388">
        <f>'Schedule 4 - Capex Funding_8'!C25</f>
        <v>0</v>
      </c>
      <c r="D25" s="388">
        <f>'Schedule 4 - Capex Funding_8'!D25</f>
        <v>1797884</v>
      </c>
      <c r="E25" s="388">
        <f>'Schedule 4 - Capex Funding_8'!E25</f>
        <v>797884</v>
      </c>
      <c r="F25" s="388">
        <f>'Schedule 4 - Capex Funding_8'!F25</f>
        <v>3500000</v>
      </c>
      <c r="G25" s="388">
        <f>'Schedule 4 - Capex Funding_8'!G25</f>
        <v>2000000</v>
      </c>
      <c r="H25" s="388">
        <f>'Schedule 4 - Capex Funding_8'!H25</f>
        <v>0</v>
      </c>
    </row>
    <row r="26" spans="1:8" x14ac:dyDescent="0.2">
      <c r="A26" s="297"/>
      <c r="B26" s="388"/>
      <c r="C26" s="388"/>
      <c r="D26" s="388"/>
      <c r="E26" s="388"/>
      <c r="F26" s="388"/>
      <c r="G26" s="388"/>
      <c r="H26" s="388"/>
    </row>
    <row r="27" spans="1:8" x14ac:dyDescent="0.2">
      <c r="A27" s="286" t="s">
        <v>613</v>
      </c>
      <c r="B27" s="388">
        <f>'Schedule 4 - Capex Funding_8'!B29</f>
        <v>0</v>
      </c>
      <c r="C27" s="388">
        <f>'Schedule 4 - Capex Funding_8'!C29</f>
        <v>0</v>
      </c>
      <c r="D27" s="388">
        <f>'Schedule 4 - Capex Funding_8'!D29</f>
        <v>1000000</v>
      </c>
      <c r="E27" s="388">
        <f>'Schedule 4 - Capex Funding_8'!E29</f>
        <v>0</v>
      </c>
      <c r="F27" s="388">
        <f>'Schedule 4 - Capex Funding_8'!F29</f>
        <v>27003400</v>
      </c>
      <c r="G27" s="388">
        <f>'Schedule 4 - Capex Funding_8'!G29</f>
        <v>0</v>
      </c>
      <c r="H27" s="388">
        <f>'Schedule 4 - Capex Funding_8'!H29</f>
        <v>0</v>
      </c>
    </row>
    <row r="28" spans="1:8" x14ac:dyDescent="0.2">
      <c r="A28" s="297"/>
      <c r="B28" s="297"/>
      <c r="C28" s="297"/>
      <c r="D28" s="297"/>
      <c r="E28" s="297"/>
      <c r="F28" s="327"/>
      <c r="G28" s="327"/>
      <c r="H28" s="327"/>
    </row>
    <row r="29" spans="1:8" x14ac:dyDescent="0.2">
      <c r="A29" s="311" t="s">
        <v>729</v>
      </c>
      <c r="B29" s="325">
        <f>B11+B16+B21+B23+B25+B27</f>
        <v>18132576</v>
      </c>
      <c r="C29" s="325">
        <f t="shared" ref="C29:H29" si="8">C27+C25+C23+C11+C16+C21</f>
        <v>24269240</v>
      </c>
      <c r="D29" s="325">
        <f t="shared" si="8"/>
        <v>29900774</v>
      </c>
      <c r="E29" s="325">
        <f t="shared" si="8"/>
        <v>11865348</v>
      </c>
      <c r="F29" s="325">
        <f t="shared" si="8"/>
        <v>56986588</v>
      </c>
      <c r="G29" s="325">
        <f t="shared" si="8"/>
        <v>17831000</v>
      </c>
      <c r="H29" s="325">
        <f t="shared" si="8"/>
        <v>19384000</v>
      </c>
    </row>
    <row r="30" spans="1:8" x14ac:dyDescent="0.2">
      <c r="A30" s="272"/>
      <c r="B30" s="339"/>
      <c r="C30" s="339"/>
      <c r="D30" s="339"/>
      <c r="E30" s="339"/>
      <c r="F30" s="339"/>
      <c r="G30" s="340"/>
      <c r="H30" s="340"/>
    </row>
    <row r="31" spans="1:8" x14ac:dyDescent="0.2">
      <c r="A31" s="301" t="s">
        <v>1131</v>
      </c>
    </row>
    <row r="32" spans="1:8" x14ac:dyDescent="0.2">
      <c r="A32" s="304" t="s">
        <v>4099</v>
      </c>
    </row>
    <row r="33" spans="1:1" x14ac:dyDescent="0.2">
      <c r="A33" s="304" t="s">
        <v>4100</v>
      </c>
    </row>
    <row r="34" spans="1:1" x14ac:dyDescent="0.2">
      <c r="A34" s="304" t="s">
        <v>4101</v>
      </c>
    </row>
    <row r="35" spans="1:1" x14ac:dyDescent="0.2">
      <c r="A35" s="304" t="s">
        <v>4102</v>
      </c>
    </row>
    <row r="36" spans="1:1" x14ac:dyDescent="0.2">
      <c r="A36" s="304" t="s">
        <v>4103</v>
      </c>
    </row>
    <row r="37" spans="1:1" x14ac:dyDescent="0.2">
      <c r="A37" s="304" t="s">
        <v>4104</v>
      </c>
    </row>
    <row r="38" spans="1:1" x14ac:dyDescent="0.2">
      <c r="A38" s="304" t="s">
        <v>4359</v>
      </c>
    </row>
    <row r="40" spans="1:1" x14ac:dyDescent="0.2">
      <c r="A40" s="301" t="s">
        <v>1132</v>
      </c>
    </row>
    <row r="41" spans="1:1" x14ac:dyDescent="0.2">
      <c r="A41" s="302" t="s">
        <v>614</v>
      </c>
    </row>
    <row r="42" spans="1:1" x14ac:dyDescent="0.2">
      <c r="A42" s="302" t="s">
        <v>730</v>
      </c>
    </row>
    <row r="43" spans="1:1" x14ac:dyDescent="0.2">
      <c r="A43" s="302" t="s">
        <v>731</v>
      </c>
    </row>
    <row r="44" spans="1:1" x14ac:dyDescent="0.2">
      <c r="A44" s="264" t="s">
        <v>732</v>
      </c>
    </row>
    <row r="45" spans="1:1" x14ac:dyDescent="0.2">
      <c r="A45" s="264" t="s">
        <v>733</v>
      </c>
    </row>
  </sheetData>
  <phoneticPr fontId="3" type="noConversion"/>
  <pageMargins left="0.75" right="0.75" top="1" bottom="1" header="0.5" footer="0.5"/>
  <pageSetup paperSize="9" scale="72"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7"/>
  <sheetViews>
    <sheetView view="pageBreakPreview" topLeftCell="H2" zoomScaleNormal="100" workbookViewId="0">
      <selection activeCell="K21" sqref="K21:Q30"/>
    </sheetView>
  </sheetViews>
  <sheetFormatPr defaultColWidth="10.6640625" defaultRowHeight="12.75" x14ac:dyDescent="0.2"/>
  <cols>
    <col min="1" max="1" width="57.83203125" style="264" customWidth="1"/>
    <col min="2" max="2" width="21.33203125" style="265" bestFit="1" customWidth="1"/>
    <col min="3" max="3" width="24" style="265" bestFit="1" customWidth="1"/>
    <col min="4" max="5" width="23.6640625" style="265" bestFit="1" customWidth="1"/>
    <col min="6" max="6" width="23.83203125" style="265" bestFit="1" customWidth="1"/>
    <col min="7" max="8" width="23.83203125" style="265" customWidth="1"/>
    <col min="9" max="9" width="10.6640625" style="264" customWidth="1"/>
    <col min="10" max="10" width="67.83203125" style="264" bestFit="1" customWidth="1"/>
    <col min="11" max="17" width="12.5" style="265" customWidth="1"/>
    <col min="18" max="16384" width="10.6640625" style="264"/>
  </cols>
  <sheetData>
    <row r="1" spans="1:18" x14ac:dyDescent="0.2">
      <c r="A1" s="257" t="s">
        <v>3279</v>
      </c>
      <c r="B1" s="257" t="s">
        <v>1096</v>
      </c>
      <c r="C1" s="258" t="s">
        <v>1097</v>
      </c>
      <c r="D1" s="259"/>
      <c r="E1" s="260"/>
      <c r="F1" s="261" t="s">
        <v>1098</v>
      </c>
      <c r="G1" s="262"/>
      <c r="H1" s="263"/>
      <c r="J1" s="272" t="s">
        <v>620</v>
      </c>
    </row>
    <row r="2" spans="1:18" x14ac:dyDescent="0.2">
      <c r="A2" s="266"/>
      <c r="B2" s="267" t="s">
        <v>1103</v>
      </c>
      <c r="C2" s="268" t="s">
        <v>4093</v>
      </c>
      <c r="D2" s="269"/>
      <c r="E2" s="270"/>
      <c r="F2" s="271" t="s">
        <v>1100</v>
      </c>
      <c r="G2" s="266" t="s">
        <v>1101</v>
      </c>
      <c r="H2" s="266" t="s">
        <v>1102</v>
      </c>
    </row>
    <row r="3" spans="1:18" x14ac:dyDescent="0.2">
      <c r="A3" s="266" t="s">
        <v>3280</v>
      </c>
      <c r="B3" s="273"/>
      <c r="C3" s="274"/>
      <c r="D3" s="275"/>
      <c r="E3" s="276"/>
      <c r="F3" s="277" t="s">
        <v>4094</v>
      </c>
      <c r="G3" s="277" t="s">
        <v>4095</v>
      </c>
      <c r="H3" s="277" t="s">
        <v>4096</v>
      </c>
    </row>
    <row r="4" spans="1:18" x14ac:dyDescent="0.2">
      <c r="A4" s="266"/>
      <c r="B4" s="278" t="s">
        <v>1104</v>
      </c>
      <c r="C4" s="257" t="s">
        <v>1105</v>
      </c>
      <c r="D4" s="257" t="s">
        <v>1106</v>
      </c>
      <c r="E4" s="279" t="s">
        <v>1107</v>
      </c>
      <c r="F4" s="279" t="s">
        <v>1108</v>
      </c>
      <c r="G4" s="279" t="s">
        <v>1108</v>
      </c>
      <c r="H4" s="279" t="s">
        <v>1108</v>
      </c>
    </row>
    <row r="5" spans="1:18" x14ac:dyDescent="0.2">
      <c r="A5" s="286"/>
      <c r="B5" s="280" t="s">
        <v>1109</v>
      </c>
      <c r="C5" s="266" t="s">
        <v>1109</v>
      </c>
      <c r="D5" s="266" t="s">
        <v>1109</v>
      </c>
      <c r="E5" s="266" t="s">
        <v>1109</v>
      </c>
      <c r="F5" s="266" t="s">
        <v>1109</v>
      </c>
      <c r="G5" s="266" t="s">
        <v>1109</v>
      </c>
      <c r="H5" s="266" t="s">
        <v>1109</v>
      </c>
    </row>
    <row r="6" spans="1:18" x14ac:dyDescent="0.2">
      <c r="A6" s="331"/>
      <c r="B6" s="282" t="s">
        <v>1110</v>
      </c>
      <c r="C6" s="283" t="s">
        <v>1111</v>
      </c>
      <c r="D6" s="283" t="s">
        <v>1112</v>
      </c>
      <c r="E6" s="283" t="s">
        <v>1113</v>
      </c>
      <c r="F6" s="283" t="s">
        <v>1114</v>
      </c>
      <c r="G6" s="284" t="s">
        <v>1115</v>
      </c>
      <c r="H6" s="284" t="s">
        <v>1116</v>
      </c>
    </row>
    <row r="7" spans="1:18" x14ac:dyDescent="0.2">
      <c r="A7" s="379" t="s">
        <v>3281</v>
      </c>
      <c r="B7" s="328"/>
      <c r="C7" s="328"/>
      <c r="D7" s="328"/>
      <c r="E7" s="328"/>
      <c r="F7" s="328"/>
      <c r="G7" s="328"/>
      <c r="H7" s="328"/>
      <c r="J7" s="272" t="s">
        <v>3282</v>
      </c>
    </row>
    <row r="8" spans="1:18" x14ac:dyDescent="0.2">
      <c r="A8" s="380"/>
      <c r="B8" s="328"/>
      <c r="C8" s="328"/>
      <c r="D8" s="328"/>
      <c r="E8" s="328"/>
      <c r="F8" s="328"/>
      <c r="G8" s="328"/>
      <c r="H8" s="328"/>
      <c r="K8" s="287" t="s">
        <v>3994</v>
      </c>
      <c r="L8" s="288" t="s">
        <v>3995</v>
      </c>
      <c r="M8" s="288" t="s">
        <v>3996</v>
      </c>
      <c r="N8" s="287" t="s">
        <v>3997</v>
      </c>
      <c r="O8" s="287" t="s">
        <v>3998</v>
      </c>
      <c r="P8" s="287" t="s">
        <v>3999</v>
      </c>
      <c r="Q8" s="287" t="s">
        <v>4000</v>
      </c>
    </row>
    <row r="9" spans="1:18" x14ac:dyDescent="0.2">
      <c r="A9" s="380" t="s">
        <v>3283</v>
      </c>
      <c r="B9" s="243">
        <f>'OPEX_ Bdgt_F'!C3152</f>
        <v>19489880.759999998</v>
      </c>
      <c r="C9" s="243">
        <f>'OPEX_ Bdgt_F'!D3152</f>
        <v>23277687</v>
      </c>
      <c r="D9" s="243">
        <f>'OPEX_ Bdgt_F'!E3152</f>
        <v>23277687</v>
      </c>
      <c r="E9" s="243">
        <f>'OPEX_ Bdgt_F'!G3152</f>
        <v>22392280.800000004</v>
      </c>
      <c r="F9" s="243">
        <f>'OPEX_ Bdgt_F'!H3152</f>
        <v>32957191</v>
      </c>
      <c r="G9" s="243">
        <f>'OPEX_ Bdgt_F'!I3152</f>
        <v>35569437</v>
      </c>
      <c r="H9" s="243">
        <f>'OPEX_ Bdgt_F'!J3152</f>
        <v>38415001</v>
      </c>
      <c r="J9" s="264" t="s">
        <v>3283</v>
      </c>
      <c r="K9" s="748">
        <f>B9</f>
        <v>19489880.759999998</v>
      </c>
      <c r="L9" s="748">
        <f t="shared" ref="L9:Q9" si="0">C9</f>
        <v>23277687</v>
      </c>
      <c r="M9" s="748">
        <f t="shared" si="0"/>
        <v>23277687</v>
      </c>
      <c r="N9" s="748">
        <f t="shared" si="0"/>
        <v>22392280.800000004</v>
      </c>
      <c r="O9" s="748">
        <f t="shared" si="0"/>
        <v>32957191</v>
      </c>
      <c r="P9" s="748">
        <f t="shared" si="0"/>
        <v>35569437</v>
      </c>
      <c r="Q9" s="748">
        <f t="shared" si="0"/>
        <v>38415001</v>
      </c>
      <c r="R9" s="265"/>
    </row>
    <row r="10" spans="1:18" x14ac:dyDescent="0.2">
      <c r="A10" s="381" t="s">
        <v>3284</v>
      </c>
      <c r="B10" s="243">
        <f>'OPEX_ Bdgt_F'!C3154</f>
        <v>1714439</v>
      </c>
      <c r="C10" s="243">
        <f>'OPEX_ Bdgt_F'!D3154</f>
        <v>2006037</v>
      </c>
      <c r="D10" s="243">
        <f>'OPEX_ Bdgt_F'!E3154</f>
        <v>2006037</v>
      </c>
      <c r="E10" s="243">
        <f>'OPEX_ Bdgt_F'!G3154</f>
        <v>1935979.2000000002</v>
      </c>
      <c r="F10" s="243">
        <f>'OPEX_ Bdgt_F'!H3154</f>
        <v>2174900</v>
      </c>
      <c r="G10" s="243">
        <f>'OPEX_ Bdgt_F'!I3154</f>
        <v>2348893</v>
      </c>
      <c r="H10" s="243">
        <f>'OPEX_ Bdgt_F'!J3154</f>
        <v>2536805</v>
      </c>
      <c r="J10" s="264" t="s">
        <v>3285</v>
      </c>
      <c r="K10" s="748">
        <f>B16</f>
        <v>44064</v>
      </c>
      <c r="L10" s="748">
        <f t="shared" ref="L10:Q10" si="1">C16</f>
        <v>340418</v>
      </c>
      <c r="M10" s="748">
        <f t="shared" si="1"/>
        <v>340418</v>
      </c>
      <c r="N10" s="748">
        <f t="shared" si="1"/>
        <v>337134</v>
      </c>
      <c r="O10" s="748">
        <f t="shared" si="1"/>
        <v>9243802</v>
      </c>
      <c r="P10" s="748">
        <f t="shared" si="1"/>
        <v>11628703</v>
      </c>
      <c r="Q10" s="748">
        <f t="shared" si="1"/>
        <v>14640537</v>
      </c>
    </row>
    <row r="11" spans="1:18" x14ac:dyDescent="0.2">
      <c r="A11" s="381" t="s">
        <v>3286</v>
      </c>
      <c r="B11" s="243">
        <f>'OPEX_ Bdgt_F'!C3168</f>
        <v>5763609</v>
      </c>
      <c r="C11" s="243">
        <f>'OPEX_ Bdgt_F'!D3168</f>
        <v>2856181</v>
      </c>
      <c r="D11" s="243">
        <f>'OPEX_ Bdgt_F'!E3168</f>
        <v>2856181</v>
      </c>
      <c r="E11" s="243">
        <f>'OPEX_ Bdgt_F'!G3168</f>
        <v>735398</v>
      </c>
      <c r="F11" s="243">
        <f>'OPEX_ Bdgt_F'!H3168</f>
        <v>4169076</v>
      </c>
      <c r="G11" s="243">
        <f>'OPEX_ Bdgt_F'!I3168</f>
        <v>4586106</v>
      </c>
      <c r="H11" s="243">
        <f>'OPEX_ Bdgt_F'!J3168</f>
        <v>5220385</v>
      </c>
      <c r="J11" s="302" t="s">
        <v>3977</v>
      </c>
      <c r="K11" s="748">
        <f t="shared" ref="K11:Q11" si="2">K31</f>
        <v>11937001</v>
      </c>
      <c r="L11" s="748">
        <f t="shared" si="2"/>
        <v>8202818</v>
      </c>
      <c r="M11" s="748">
        <f t="shared" si="2"/>
        <v>9366218</v>
      </c>
      <c r="N11" s="748">
        <f t="shared" si="2"/>
        <v>11648045.600000001</v>
      </c>
      <c r="O11" s="748">
        <f t="shared" si="2"/>
        <v>11159251</v>
      </c>
      <c r="P11" s="748">
        <f t="shared" si="2"/>
        <v>12036832</v>
      </c>
      <c r="Q11" s="748">
        <f t="shared" si="2"/>
        <v>13162653</v>
      </c>
      <c r="R11" s="264" t="s">
        <v>3287</v>
      </c>
    </row>
    <row r="12" spans="1:18" x14ac:dyDescent="0.2">
      <c r="A12" s="381" t="s">
        <v>3288</v>
      </c>
      <c r="B12" s="243">
        <f>'OPEX_ Bdgt_F'!C1939</f>
        <v>2154582</v>
      </c>
      <c r="C12" s="243">
        <f>'OPEX_ Bdgt_F'!D1939</f>
        <v>951300</v>
      </c>
      <c r="D12" s="243">
        <f>'OPEX_ Bdgt_F'!E1939</f>
        <v>951300</v>
      </c>
      <c r="E12" s="243">
        <f>'OPEX_ Bdgt_F'!G1939</f>
        <v>5317638</v>
      </c>
      <c r="F12" s="243">
        <f>'OPEX_ Bdgt_F'!H1939</f>
        <v>998865</v>
      </c>
      <c r="G12" s="243">
        <f>'OPEX_ Bdgt_F'!I1939</f>
        <v>1058797</v>
      </c>
      <c r="H12" s="243">
        <f>'OPEX_ Bdgt_F'!J1939</f>
        <v>1122325</v>
      </c>
      <c r="J12" s="264" t="s">
        <v>3289</v>
      </c>
      <c r="K12" s="748">
        <f>B14</f>
        <v>1346275</v>
      </c>
      <c r="L12" s="748">
        <f t="shared" ref="L12:Q12" si="3">C14</f>
        <v>5141300</v>
      </c>
      <c r="M12" s="748">
        <f t="shared" si="3"/>
        <v>4137608</v>
      </c>
      <c r="N12" s="748">
        <f t="shared" si="3"/>
        <v>3208072.8</v>
      </c>
      <c r="O12" s="748">
        <f t="shared" si="3"/>
        <v>3932859</v>
      </c>
      <c r="P12" s="748">
        <f t="shared" si="3"/>
        <v>4167782</v>
      </c>
      <c r="Q12" s="748">
        <f t="shared" si="3"/>
        <v>4416750</v>
      </c>
    </row>
    <row r="13" spans="1:18" x14ac:dyDescent="0.2">
      <c r="A13" s="381" t="s">
        <v>3290</v>
      </c>
      <c r="B13" s="243">
        <f>'OPEX_ Bdgt_F'!C3170</f>
        <v>0</v>
      </c>
      <c r="C13" s="243">
        <f>'OPEX_ Bdgt_F'!D3170</f>
        <v>0</v>
      </c>
      <c r="D13" s="243">
        <f>'OPEX_ Bdgt_F'!E3170</f>
        <v>0</v>
      </c>
      <c r="E13" s="243">
        <f>'OPEX_ Bdgt_F'!G3170</f>
        <v>336000</v>
      </c>
      <c r="F13" s="243">
        <f>'OPEX_ Bdgt_F'!H3170</f>
        <v>943127</v>
      </c>
      <c r="G13" s="243">
        <f>'OPEX_ Bdgt_F'!I3170</f>
        <v>688564</v>
      </c>
      <c r="H13" s="243">
        <f>'OPEX_ Bdgt_F'!J3170</f>
        <v>1271917</v>
      </c>
      <c r="J13" s="264" t="s">
        <v>3290</v>
      </c>
      <c r="K13" s="748">
        <f>B13</f>
        <v>0</v>
      </c>
      <c r="L13" s="748">
        <f t="shared" ref="L13:Q13" si="4">C13</f>
        <v>0</v>
      </c>
      <c r="M13" s="748">
        <f t="shared" si="4"/>
        <v>0</v>
      </c>
      <c r="N13" s="748">
        <f t="shared" si="4"/>
        <v>336000</v>
      </c>
      <c r="O13" s="748">
        <f t="shared" si="4"/>
        <v>943127</v>
      </c>
      <c r="P13" s="748">
        <f t="shared" si="4"/>
        <v>688564</v>
      </c>
      <c r="Q13" s="748">
        <f t="shared" si="4"/>
        <v>1271917</v>
      </c>
    </row>
    <row r="14" spans="1:18" x14ac:dyDescent="0.2">
      <c r="A14" s="381" t="s">
        <v>3289</v>
      </c>
      <c r="B14" s="243">
        <f>'OPEX_ Bdgt_F'!C3156</f>
        <v>1346275</v>
      </c>
      <c r="C14" s="243">
        <f>'OPEX_ Bdgt_F'!D3156</f>
        <v>5141300</v>
      </c>
      <c r="D14" s="243">
        <f>'OPEX_ Bdgt_F'!E3156</f>
        <v>4137608</v>
      </c>
      <c r="E14" s="243">
        <f>'OPEX_ Bdgt_F'!G3156</f>
        <v>3208072.8</v>
      </c>
      <c r="F14" s="243">
        <f>'OPEX_ Bdgt_F'!H3156</f>
        <v>3932859</v>
      </c>
      <c r="G14" s="243">
        <f>'OPEX_ Bdgt_F'!I3156</f>
        <v>4167782</v>
      </c>
      <c r="H14" s="243">
        <f>'OPEX_ Bdgt_F'!J3156</f>
        <v>4416750</v>
      </c>
      <c r="J14" s="264" t="s">
        <v>3291</v>
      </c>
      <c r="K14" s="748">
        <f>B17</f>
        <v>393701</v>
      </c>
      <c r="L14" s="748">
        <f t="shared" ref="L14:Q14" si="5">C17</f>
        <v>315000</v>
      </c>
      <c r="M14" s="748">
        <f t="shared" si="5"/>
        <v>315000</v>
      </c>
      <c r="N14" s="748">
        <f t="shared" si="5"/>
        <v>35522.399999999994</v>
      </c>
      <c r="O14" s="748">
        <f t="shared" si="5"/>
        <v>0</v>
      </c>
      <c r="P14" s="748">
        <f t="shared" si="5"/>
        <v>0</v>
      </c>
      <c r="Q14" s="748">
        <f t="shared" si="5"/>
        <v>0</v>
      </c>
    </row>
    <row r="15" spans="1:18" x14ac:dyDescent="0.2">
      <c r="A15" s="381" t="s">
        <v>3292</v>
      </c>
      <c r="B15" s="243">
        <f>'OPEX_ Bdgt_F'!C3158</f>
        <v>476943</v>
      </c>
      <c r="C15" s="243">
        <f>'OPEX_ Bdgt_F'!D3158</f>
        <v>199742</v>
      </c>
      <c r="D15" s="243">
        <f>'OPEX_ Bdgt_F'!E3158</f>
        <v>199742</v>
      </c>
      <c r="E15" s="243">
        <f>'OPEX_ Bdgt_F'!G3158</f>
        <v>168000</v>
      </c>
      <c r="F15" s="243">
        <f>'OPEX_ Bdgt_F'!H3158</f>
        <v>5030795</v>
      </c>
      <c r="G15" s="243">
        <f>'OPEX_ Bdgt_F'!I3158</f>
        <v>5629154</v>
      </c>
      <c r="H15" s="243">
        <f>'OPEX_ Bdgt_F'!J3158</f>
        <v>5553208</v>
      </c>
      <c r="J15" s="264" t="s">
        <v>3292</v>
      </c>
      <c r="K15" s="748">
        <f>B15</f>
        <v>476943</v>
      </c>
      <c r="L15" s="748">
        <f t="shared" ref="L15:Q15" si="6">C15</f>
        <v>199742</v>
      </c>
      <c r="M15" s="748">
        <f t="shared" si="6"/>
        <v>199742</v>
      </c>
      <c r="N15" s="748">
        <f t="shared" si="6"/>
        <v>168000</v>
      </c>
      <c r="O15" s="748">
        <f t="shared" si="6"/>
        <v>5030795</v>
      </c>
      <c r="P15" s="748">
        <f t="shared" si="6"/>
        <v>5629154</v>
      </c>
      <c r="Q15" s="748">
        <f t="shared" si="6"/>
        <v>5553208</v>
      </c>
    </row>
    <row r="16" spans="1:18" x14ac:dyDescent="0.2">
      <c r="A16" s="381" t="s">
        <v>3285</v>
      </c>
      <c r="B16" s="243">
        <f>'OPEX_ Bdgt_F'!C2966</f>
        <v>44064</v>
      </c>
      <c r="C16" s="243">
        <f>'OPEX_ Bdgt_F'!D2966</f>
        <v>340418</v>
      </c>
      <c r="D16" s="243">
        <f>'OPEX_ Bdgt_F'!E2966</f>
        <v>340418</v>
      </c>
      <c r="E16" s="243">
        <f>'OPEX_ Bdgt_F'!G2966</f>
        <v>337134</v>
      </c>
      <c r="F16" s="243">
        <f>'OPEX_ Bdgt_F'!H2966</f>
        <v>9243802</v>
      </c>
      <c r="G16" s="243">
        <f>'OPEX_ Bdgt_F'!I2966</f>
        <v>11628703</v>
      </c>
      <c r="H16" s="243">
        <f>'OPEX_ Bdgt_F'!J2966</f>
        <v>14640537</v>
      </c>
      <c r="J16" s="264" t="s">
        <v>4052</v>
      </c>
      <c r="K16" s="748">
        <f>B24</f>
        <v>271042</v>
      </c>
      <c r="L16" s="748">
        <f t="shared" ref="L16:Q16" si="7">C24</f>
        <v>366850</v>
      </c>
      <c r="M16" s="748">
        <f t="shared" si="7"/>
        <v>391000</v>
      </c>
      <c r="N16" s="748">
        <f t="shared" si="7"/>
        <v>374582.4</v>
      </c>
      <c r="O16" s="748">
        <f t="shared" si="7"/>
        <v>428338</v>
      </c>
      <c r="P16" s="748">
        <f t="shared" si="7"/>
        <v>454037</v>
      </c>
      <c r="Q16" s="748">
        <f t="shared" si="7"/>
        <v>481279</v>
      </c>
    </row>
    <row r="17" spans="1:17" x14ac:dyDescent="0.2">
      <c r="A17" s="381" t="s">
        <v>3291</v>
      </c>
      <c r="B17" s="243">
        <f>'OPEX_ Bdgt_F'!C2842</f>
        <v>393701</v>
      </c>
      <c r="C17" s="243">
        <f>'OPEX_ Bdgt_F'!D2842</f>
        <v>315000</v>
      </c>
      <c r="D17" s="243">
        <f>'OPEX_ Bdgt_F'!E2842</f>
        <v>315000</v>
      </c>
      <c r="E17" s="243">
        <f>'OPEX_ Bdgt_F'!G2842</f>
        <v>35522.399999999994</v>
      </c>
      <c r="F17" s="243">
        <f>'OPEX_ Bdgt_F'!H2842</f>
        <v>0</v>
      </c>
      <c r="G17" s="243">
        <f>'OPEX_ Bdgt_F'!I2842</f>
        <v>0</v>
      </c>
      <c r="H17" s="243">
        <f>'OPEX_ Bdgt_F'!J2842</f>
        <v>0</v>
      </c>
      <c r="J17" s="272" t="s">
        <v>4137</v>
      </c>
      <c r="K17" s="749">
        <f>SUM(K9:K16)</f>
        <v>33958906.759999998</v>
      </c>
      <c r="L17" s="749">
        <f t="shared" ref="L17:Q17" si="8">SUM(L9:L16)</f>
        <v>37843815</v>
      </c>
      <c r="M17" s="749">
        <f t="shared" si="8"/>
        <v>38027673</v>
      </c>
      <c r="N17" s="749">
        <f t="shared" si="8"/>
        <v>38499638</v>
      </c>
      <c r="O17" s="749">
        <f t="shared" si="8"/>
        <v>63695363</v>
      </c>
      <c r="P17" s="749">
        <f t="shared" si="8"/>
        <v>70174509</v>
      </c>
      <c r="Q17" s="749">
        <f t="shared" si="8"/>
        <v>77941345</v>
      </c>
    </row>
    <row r="18" spans="1:17" x14ac:dyDescent="0.2">
      <c r="A18" s="381" t="s">
        <v>3293</v>
      </c>
      <c r="B18" s="243">
        <v>0</v>
      </c>
      <c r="C18" s="243">
        <v>0</v>
      </c>
      <c r="D18" s="243">
        <v>0</v>
      </c>
      <c r="E18" s="243">
        <v>0</v>
      </c>
      <c r="F18" s="243">
        <v>0</v>
      </c>
      <c r="G18" s="243">
        <v>0</v>
      </c>
      <c r="H18" s="243">
        <v>0</v>
      </c>
    </row>
    <row r="19" spans="1:17" x14ac:dyDescent="0.2">
      <c r="A19" s="381" t="s">
        <v>3294</v>
      </c>
      <c r="B19" s="243">
        <v>0</v>
      </c>
      <c r="C19" s="243">
        <v>0</v>
      </c>
      <c r="D19" s="243">
        <v>0</v>
      </c>
      <c r="E19" s="243">
        <v>0</v>
      </c>
      <c r="F19" s="243">
        <v>0</v>
      </c>
      <c r="G19" s="243">
        <v>0</v>
      </c>
      <c r="H19" s="243">
        <v>0</v>
      </c>
      <c r="J19" s="272" t="s">
        <v>3295</v>
      </c>
    </row>
    <row r="20" spans="1:17" x14ac:dyDescent="0.2">
      <c r="A20" s="381" t="s">
        <v>3296</v>
      </c>
      <c r="B20" s="243">
        <f>'OPEX_ Bdgt_F'!C1146+'OPEX_ Bdgt_F'!C1242+'OPEX_ Bdgt_F'!C1390+'OPEX_ Bdgt_F'!C2090+'OPEX_ Bdgt_F'!C2642</f>
        <v>214967</v>
      </c>
      <c r="C20" s="243">
        <f>'OPEX_ Bdgt_F'!D1146+'OPEX_ Bdgt_F'!D1242+'OPEX_ Bdgt_F'!D1390+'OPEX_ Bdgt_F'!D2090+'OPEX_ Bdgt_F'!D2642</f>
        <v>424500</v>
      </c>
      <c r="D20" s="243">
        <f>'OPEX_ Bdgt_F'!E1146+'OPEX_ Bdgt_F'!E1242+'OPEX_ Bdgt_F'!E1390+'OPEX_ Bdgt_F'!E2090+'OPEX_ Bdgt_F'!E2642</f>
        <v>415454</v>
      </c>
      <c r="E20" s="243">
        <f>'OPEX_ Bdgt_F'!G1146+'OPEX_ Bdgt_F'!G1242+'OPEX_ Bdgt_F'!G1390+'OPEX_ Bdgt_F'!G2090+'OPEX_ Bdgt_F'!G2642</f>
        <v>195657.59999999998</v>
      </c>
      <c r="F20" s="243">
        <f>'OPEX_ Bdgt_F'!H1146+'OPEX_ Bdgt_F'!H1242+'OPEX_ Bdgt_F'!H1390+'OPEX_ Bdgt_F'!H2090+'OPEX_ Bdgt_F'!H2642</f>
        <v>436227</v>
      </c>
      <c r="G20" s="243">
        <f>'OPEX_ Bdgt_F'!I1146+'OPEX_ Bdgt_F'!I1242+'OPEX_ Bdgt_F'!I1390+'OPEX_ Bdgt_F'!I2090+'OPEX_ Bdgt_F'!I2642</f>
        <v>462402</v>
      </c>
      <c r="H20" s="243">
        <f>'OPEX_ Bdgt_F'!J1146+'OPEX_ Bdgt_F'!J1242+'OPEX_ Bdgt_F'!J1390+'OPEX_ Bdgt_F'!J2090+'OPEX_ Bdgt_F'!J2642</f>
        <v>490147</v>
      </c>
      <c r="K20" s="287" t="s">
        <v>3994</v>
      </c>
      <c r="L20" s="288" t="s">
        <v>3995</v>
      </c>
      <c r="M20" s="288" t="s">
        <v>3996</v>
      </c>
      <c r="N20" s="287" t="s">
        <v>3997</v>
      </c>
      <c r="O20" s="287" t="s">
        <v>3998</v>
      </c>
      <c r="P20" s="287" t="s">
        <v>3999</v>
      </c>
      <c r="Q20" s="287" t="s">
        <v>4000</v>
      </c>
    </row>
    <row r="21" spans="1:17" x14ac:dyDescent="0.2">
      <c r="A21" s="381" t="s">
        <v>3297</v>
      </c>
      <c r="B21" s="243">
        <f>'OPEX_ Bdgt_F'!C670</f>
        <v>1045961</v>
      </c>
      <c r="C21" s="243">
        <f>'OPEX_ Bdgt_F'!D670</f>
        <v>525000</v>
      </c>
      <c r="D21" s="243">
        <f>'OPEX_ Bdgt_F'!E670</f>
        <v>900000</v>
      </c>
      <c r="E21" s="243">
        <f>'OPEX_ Bdgt_F'!G670</f>
        <v>1561878</v>
      </c>
      <c r="F21" s="243">
        <f>'OPEX_ Bdgt_F'!H670</f>
        <v>945000</v>
      </c>
      <c r="G21" s="243">
        <f>'OPEX_ Bdgt_F'!I670</f>
        <v>1001700</v>
      </c>
      <c r="H21" s="243">
        <f>'OPEX_ Bdgt_F'!J670</f>
        <v>1061802</v>
      </c>
      <c r="J21" s="382" t="s">
        <v>3299</v>
      </c>
      <c r="K21" s="750">
        <f t="shared" ref="K21:Q21" si="9">B23</f>
        <v>47629</v>
      </c>
      <c r="L21" s="750">
        <f t="shared" si="9"/>
        <v>60950</v>
      </c>
      <c r="M21" s="750">
        <f t="shared" si="9"/>
        <v>60950</v>
      </c>
      <c r="N21" s="750">
        <f t="shared" si="9"/>
        <v>107211.59999999999</v>
      </c>
      <c r="O21" s="750">
        <f t="shared" si="9"/>
        <v>64045</v>
      </c>
      <c r="P21" s="750">
        <f t="shared" si="9"/>
        <v>67888</v>
      </c>
      <c r="Q21" s="750">
        <f t="shared" si="9"/>
        <v>71961</v>
      </c>
    </row>
    <row r="22" spans="1:17" x14ac:dyDescent="0.2">
      <c r="A22" s="381" t="s">
        <v>3298</v>
      </c>
      <c r="B22" s="243">
        <f>'OPEX_ Bdgt_F'!C666</f>
        <v>135002</v>
      </c>
      <c r="C22" s="243">
        <f>'OPEX_ Bdgt_F'!D666</f>
        <v>115500</v>
      </c>
      <c r="D22" s="243">
        <f>'OPEX_ Bdgt_F'!E666</f>
        <v>115500</v>
      </c>
      <c r="E22" s="243">
        <f>'OPEX_ Bdgt_F'!G666</f>
        <v>181348.8</v>
      </c>
      <c r="F22" s="243">
        <f>'OPEX_ Bdgt_F'!H666</f>
        <v>204904</v>
      </c>
      <c r="G22" s="243">
        <f>'OPEX_ Bdgt_F'!I666</f>
        <v>217198</v>
      </c>
      <c r="H22" s="243">
        <f>'OPEX_ Bdgt_F'!J666</f>
        <v>230230</v>
      </c>
      <c r="J22" s="382" t="s">
        <v>3300</v>
      </c>
      <c r="K22" s="750">
        <f t="shared" ref="K22:Q22" si="10">B25</f>
        <v>220753</v>
      </c>
      <c r="L22" s="750">
        <f t="shared" si="10"/>
        <v>157500</v>
      </c>
      <c r="M22" s="750">
        <f t="shared" si="10"/>
        <v>307500</v>
      </c>
      <c r="N22" s="750">
        <f t="shared" si="10"/>
        <v>217092</v>
      </c>
      <c r="O22" s="750">
        <f t="shared" si="10"/>
        <v>322875</v>
      </c>
      <c r="P22" s="750">
        <f t="shared" si="10"/>
        <v>342248</v>
      </c>
      <c r="Q22" s="750">
        <f t="shared" si="10"/>
        <v>362783</v>
      </c>
    </row>
    <row r="23" spans="1:17" x14ac:dyDescent="0.2">
      <c r="A23" s="381" t="s">
        <v>3299</v>
      </c>
      <c r="B23" s="243">
        <f>'OPEX_ Bdgt_F'!C210+'OPEX_ Bdgt_F'!C298+'OPEX_ Bdgt_F'!C384+'OPEX_ Bdgt_F'!C465+'OPEX_ Bdgt_F'!C551+'OPEX_ Bdgt_F'!C762+'OPEX_ Bdgt_F'!C922+'OPEX_ Bdgt_F'!C1245+'OPEX_ Bdgt_F'!C1538</f>
        <v>47629</v>
      </c>
      <c r="C23" s="243">
        <f>'OPEX_ Bdgt_F'!D210+'OPEX_ Bdgt_F'!D298+'OPEX_ Bdgt_F'!D384+'OPEX_ Bdgt_F'!D465+'OPEX_ Bdgt_F'!D551+'OPEX_ Bdgt_F'!D762+'OPEX_ Bdgt_F'!D922+'OPEX_ Bdgt_F'!D1245+'OPEX_ Bdgt_F'!D1538</f>
        <v>60950</v>
      </c>
      <c r="D23" s="243">
        <f>'OPEX_ Bdgt_F'!E210+'OPEX_ Bdgt_F'!E298+'OPEX_ Bdgt_F'!E384+'OPEX_ Bdgt_F'!E465+'OPEX_ Bdgt_F'!E551+'OPEX_ Bdgt_F'!E762+'OPEX_ Bdgt_F'!E922+'OPEX_ Bdgt_F'!E1245+'OPEX_ Bdgt_F'!E1538</f>
        <v>60950</v>
      </c>
      <c r="E23" s="243">
        <f>'OPEX_ Bdgt_F'!G210+'OPEX_ Bdgt_F'!G298+'OPEX_ Bdgt_F'!G384+'OPEX_ Bdgt_F'!G465+'OPEX_ Bdgt_F'!G551+'OPEX_ Bdgt_F'!G762+'OPEX_ Bdgt_F'!G922+'OPEX_ Bdgt_F'!G1245+'OPEX_ Bdgt_F'!G1538</f>
        <v>107211.59999999999</v>
      </c>
      <c r="F23" s="243">
        <f>'OPEX_ Bdgt_F'!H210+'OPEX_ Bdgt_F'!H298+'OPEX_ Bdgt_F'!H384+'OPEX_ Bdgt_F'!H465+'OPEX_ Bdgt_F'!H551+'OPEX_ Bdgt_F'!H762+'OPEX_ Bdgt_F'!H922+'OPEX_ Bdgt_F'!H1245+'OPEX_ Bdgt_F'!H1538</f>
        <v>64045</v>
      </c>
      <c r="G23" s="243">
        <f>'OPEX_ Bdgt_F'!I210+'OPEX_ Bdgt_F'!I298+'OPEX_ Bdgt_F'!I384+'OPEX_ Bdgt_F'!I465+'OPEX_ Bdgt_F'!I551+'OPEX_ Bdgt_F'!I762+'OPEX_ Bdgt_F'!I922+'OPEX_ Bdgt_F'!I1245+'OPEX_ Bdgt_F'!I1538</f>
        <v>67888</v>
      </c>
      <c r="H23" s="243">
        <f>'OPEX_ Bdgt_F'!J210+'OPEX_ Bdgt_F'!J298+'OPEX_ Bdgt_F'!J384+'OPEX_ Bdgt_F'!J465+'OPEX_ Bdgt_F'!J551+'OPEX_ Bdgt_F'!J762+'OPEX_ Bdgt_F'!J922+'OPEX_ Bdgt_F'!J1245+'OPEX_ Bdgt_F'!J1538</f>
        <v>71961</v>
      </c>
      <c r="J23" s="382" t="s">
        <v>3286</v>
      </c>
      <c r="K23" s="750">
        <f t="shared" ref="K23:Q23" si="11">B11</f>
        <v>5763609</v>
      </c>
      <c r="L23" s="750">
        <f t="shared" si="11"/>
        <v>2856181</v>
      </c>
      <c r="M23" s="750">
        <f t="shared" si="11"/>
        <v>2856181</v>
      </c>
      <c r="N23" s="750">
        <f t="shared" si="11"/>
        <v>735398</v>
      </c>
      <c r="O23" s="750">
        <f t="shared" si="11"/>
        <v>4169076</v>
      </c>
      <c r="P23" s="750">
        <f t="shared" si="11"/>
        <v>4586106</v>
      </c>
      <c r="Q23" s="750">
        <f t="shared" si="11"/>
        <v>5220385</v>
      </c>
    </row>
    <row r="24" spans="1:17" x14ac:dyDescent="0.2">
      <c r="A24" s="381" t="s">
        <v>4052</v>
      </c>
      <c r="B24" s="243">
        <f>'OPEX_ Bdgt_F'!C992+'OPEX_ Bdgt_F'!C1455+'OPEX_ Bdgt_F'!C1639+'OPEX_ Bdgt_F'!C2179+'OPEX_ Bdgt_F'!C2356+'OPEX_ Bdgt_F'!C2536+'OPEX_ Bdgt_F'!C2651+'OPEX_ Bdgt_F'!C2834</f>
        <v>271042</v>
      </c>
      <c r="C24" s="243">
        <f>'OPEX_ Bdgt_F'!D992+'OPEX_ Bdgt_F'!D1455+'OPEX_ Bdgt_F'!D1639+'OPEX_ Bdgt_F'!D2179+'OPEX_ Bdgt_F'!D2356+'OPEX_ Bdgt_F'!D2536+'OPEX_ Bdgt_F'!D2651+'OPEX_ Bdgt_F'!D2834</f>
        <v>366850</v>
      </c>
      <c r="D24" s="243">
        <f>'OPEX_ Bdgt_F'!E992+'OPEX_ Bdgt_F'!E1455+'OPEX_ Bdgt_F'!E1639+'OPEX_ Bdgt_F'!E2179+'OPEX_ Bdgt_F'!E2356+'OPEX_ Bdgt_F'!E2536+'OPEX_ Bdgt_F'!E2651+'OPEX_ Bdgt_F'!E2834</f>
        <v>391000</v>
      </c>
      <c r="E24" s="243">
        <f>'OPEX_ Bdgt_F'!G992+'OPEX_ Bdgt_F'!G1455+'OPEX_ Bdgt_F'!G1639+'OPEX_ Bdgt_F'!G2179+'OPEX_ Bdgt_F'!G2356+'OPEX_ Bdgt_F'!G2536+'OPEX_ Bdgt_F'!G2651+'OPEX_ Bdgt_F'!G2834</f>
        <v>374582.4</v>
      </c>
      <c r="F24" s="243">
        <f>'OPEX_ Bdgt_F'!H992+'OPEX_ Bdgt_F'!H1455+'OPEX_ Bdgt_F'!H1639+'OPEX_ Bdgt_F'!H2179+'OPEX_ Bdgt_F'!H2356+'OPEX_ Bdgt_F'!H2536+'OPEX_ Bdgt_F'!H2651+'OPEX_ Bdgt_F'!H2834</f>
        <v>428338</v>
      </c>
      <c r="G24" s="243">
        <f>'OPEX_ Bdgt_F'!I992+'OPEX_ Bdgt_F'!I1455+'OPEX_ Bdgt_F'!I1639+'OPEX_ Bdgt_F'!I2179+'OPEX_ Bdgt_F'!I2356+'OPEX_ Bdgt_F'!I2536+'OPEX_ Bdgt_F'!I2651+'OPEX_ Bdgt_F'!I2834</f>
        <v>454037</v>
      </c>
      <c r="H24" s="243">
        <f>'OPEX_ Bdgt_F'!J992+'OPEX_ Bdgt_F'!J1455+'OPEX_ Bdgt_F'!J1639+'OPEX_ Bdgt_F'!J2179+'OPEX_ Bdgt_F'!J2356+'OPEX_ Bdgt_F'!J2536+'OPEX_ Bdgt_F'!J2651+'OPEX_ Bdgt_F'!J2834</f>
        <v>481279</v>
      </c>
      <c r="J24" s="382" t="s">
        <v>3296</v>
      </c>
      <c r="K24" s="750">
        <f t="shared" ref="K24:Q24" si="12">B20</f>
        <v>214967</v>
      </c>
      <c r="L24" s="750">
        <f t="shared" si="12"/>
        <v>424500</v>
      </c>
      <c r="M24" s="750">
        <f t="shared" si="12"/>
        <v>415454</v>
      </c>
      <c r="N24" s="750">
        <f t="shared" si="12"/>
        <v>195657.59999999998</v>
      </c>
      <c r="O24" s="750">
        <f t="shared" si="12"/>
        <v>436227</v>
      </c>
      <c r="P24" s="750">
        <f t="shared" si="12"/>
        <v>462402</v>
      </c>
      <c r="Q24" s="750">
        <f t="shared" si="12"/>
        <v>490147</v>
      </c>
    </row>
    <row r="25" spans="1:17" x14ac:dyDescent="0.2">
      <c r="A25" s="381" t="s">
        <v>3300</v>
      </c>
      <c r="B25" s="243">
        <f>'OPEX_ Bdgt_F'!C674+'OPEX_ Bdgt_F'!C1247</f>
        <v>220753</v>
      </c>
      <c r="C25" s="243">
        <f>'OPEX_ Bdgt_F'!D674+'OPEX_ Bdgt_F'!D1247</f>
        <v>157500</v>
      </c>
      <c r="D25" s="243">
        <f>'OPEX_ Bdgt_F'!E674+'OPEX_ Bdgt_F'!E1247</f>
        <v>307500</v>
      </c>
      <c r="E25" s="243">
        <f>'OPEX_ Bdgt_F'!G674+'OPEX_ Bdgt_F'!G1247</f>
        <v>217092</v>
      </c>
      <c r="F25" s="243">
        <f>'OPEX_ Bdgt_F'!H674+'OPEX_ Bdgt_F'!H1247</f>
        <v>322875</v>
      </c>
      <c r="G25" s="243">
        <f>'OPEX_ Bdgt_F'!I674+'OPEX_ Bdgt_F'!I1247</f>
        <v>342248</v>
      </c>
      <c r="H25" s="243">
        <f>'OPEX_ Bdgt_F'!J674+'OPEX_ Bdgt_F'!J1247</f>
        <v>362783</v>
      </c>
      <c r="J25" s="382" t="s">
        <v>3298</v>
      </c>
      <c r="K25" s="750">
        <f t="shared" ref="K25:Q25" si="13">B22</f>
        <v>135002</v>
      </c>
      <c r="L25" s="750">
        <f t="shared" si="13"/>
        <v>115500</v>
      </c>
      <c r="M25" s="750">
        <f t="shared" si="13"/>
        <v>115500</v>
      </c>
      <c r="N25" s="750">
        <f t="shared" si="13"/>
        <v>181348.8</v>
      </c>
      <c r="O25" s="750">
        <f t="shared" si="13"/>
        <v>204904</v>
      </c>
      <c r="P25" s="750">
        <f t="shared" si="13"/>
        <v>217198</v>
      </c>
      <c r="Q25" s="750">
        <f t="shared" si="13"/>
        <v>230230</v>
      </c>
    </row>
    <row r="26" spans="1:17" x14ac:dyDescent="0.2">
      <c r="A26" s="381" t="s">
        <v>3301</v>
      </c>
      <c r="B26" s="243">
        <v>0</v>
      </c>
      <c r="C26" s="243">
        <v>0</v>
      </c>
      <c r="D26" s="243">
        <v>0</v>
      </c>
      <c r="E26" s="243">
        <v>0</v>
      </c>
      <c r="F26" s="243">
        <v>0</v>
      </c>
      <c r="G26" s="243">
        <v>0</v>
      </c>
      <c r="H26" s="243">
        <v>0</v>
      </c>
      <c r="J26" s="382" t="s">
        <v>3297</v>
      </c>
      <c r="K26" s="750">
        <f t="shared" ref="K26:Q26" si="14">B21</f>
        <v>1045961</v>
      </c>
      <c r="L26" s="750">
        <f t="shared" si="14"/>
        <v>525000</v>
      </c>
      <c r="M26" s="750">
        <f t="shared" si="14"/>
        <v>900000</v>
      </c>
      <c r="N26" s="750">
        <f t="shared" si="14"/>
        <v>1561878</v>
      </c>
      <c r="O26" s="750">
        <f t="shared" si="14"/>
        <v>945000</v>
      </c>
      <c r="P26" s="750">
        <f t="shared" si="14"/>
        <v>1001700</v>
      </c>
      <c r="Q26" s="750">
        <f t="shared" si="14"/>
        <v>1061802</v>
      </c>
    </row>
    <row r="27" spans="1:17" x14ac:dyDescent="0.2">
      <c r="A27" s="381" t="s">
        <v>3302</v>
      </c>
      <c r="B27" s="243">
        <f>'OPEX_ Bdgt_F'!C74+'OPEX_ Bdgt_F'!C215+'OPEX_ Bdgt_F'!C301+'OPEX_ Bdgt_F'!C387+'OPEX_ Bdgt_F'!C468+'OPEX_ Bdgt_F'!C554+'OPEX_ Bdgt_F'!C680+'OPEX_ Bdgt_F'!C767+'OPEX_ Bdgt_F'!C928+'OPEX_ Bdgt_F'!C1151+'OPEX_ Bdgt_F'!C1251+'OPEX_ Bdgt_F'!C1396+'OPEX_ Bdgt_F'!C1542+'OPEX_ Bdgt_F'!C1636+'OPEX_ Bdgt_F'!C1869+'OPEX_ Bdgt_F'!C1947+'OPEX_ Bdgt_F'!C2176+'OPEX_ Bdgt_F'!C2352+'OPEX_ Bdgt_F'!C2532+'OPEX_ Bdgt_F'!C2648+'OPEX_ Bdgt_F'!C2830</f>
        <v>577767</v>
      </c>
      <c r="C27" s="243">
        <f>'OPEX_ Bdgt_F'!D74+'OPEX_ Bdgt_F'!D215+'OPEX_ Bdgt_F'!D301+'OPEX_ Bdgt_F'!D387+'OPEX_ Bdgt_F'!D468+'OPEX_ Bdgt_F'!D554+'OPEX_ Bdgt_F'!D680+'OPEX_ Bdgt_F'!D767+'OPEX_ Bdgt_F'!D928+'OPEX_ Bdgt_F'!D1151+'OPEX_ Bdgt_F'!D1251+'OPEX_ Bdgt_F'!D1396+'OPEX_ Bdgt_F'!D1542+'OPEX_ Bdgt_F'!D1636+'OPEX_ Bdgt_F'!D1869+'OPEX_ Bdgt_F'!D1947+'OPEX_ Bdgt_F'!D2176+'OPEX_ Bdgt_F'!D2352+'OPEX_ Bdgt_F'!D2532+'OPEX_ Bdgt_F'!D2648+'OPEX_ Bdgt_F'!D2830</f>
        <v>752400</v>
      </c>
      <c r="D27" s="243">
        <f>'OPEX_ Bdgt_F'!E74+'OPEX_ Bdgt_F'!E215+'OPEX_ Bdgt_F'!E301+'OPEX_ Bdgt_F'!E387+'OPEX_ Bdgt_F'!E468+'OPEX_ Bdgt_F'!E554+'OPEX_ Bdgt_F'!E680+'OPEX_ Bdgt_F'!E767+'OPEX_ Bdgt_F'!E928+'OPEX_ Bdgt_F'!E1151+'OPEX_ Bdgt_F'!E1251+'OPEX_ Bdgt_F'!E1396+'OPEX_ Bdgt_F'!E1542+'OPEX_ Bdgt_F'!E1636+'OPEX_ Bdgt_F'!E1869+'OPEX_ Bdgt_F'!E1947+'OPEX_ Bdgt_F'!E2176+'OPEX_ Bdgt_F'!E2352+'OPEX_ Bdgt_F'!E2532+'OPEX_ Bdgt_F'!E2648+'OPEX_ Bdgt_F'!E2830</f>
        <v>1355550</v>
      </c>
      <c r="E27" s="243">
        <f>'OPEX_ Bdgt_F'!G74+'OPEX_ Bdgt_F'!G215+'OPEX_ Bdgt_F'!G301+'OPEX_ Bdgt_F'!G387+'OPEX_ Bdgt_F'!G468+'OPEX_ Bdgt_F'!G554+'OPEX_ Bdgt_F'!G680+'OPEX_ Bdgt_F'!G767+'OPEX_ Bdgt_F'!G928+'OPEX_ Bdgt_F'!G1151+'OPEX_ Bdgt_F'!G1251+'OPEX_ Bdgt_F'!G1396+'OPEX_ Bdgt_F'!G1542+'OPEX_ Bdgt_F'!G1636+'OPEX_ Bdgt_F'!G1869+'OPEX_ Bdgt_F'!G1947+'OPEX_ Bdgt_F'!G2176+'OPEX_ Bdgt_F'!G2352+'OPEX_ Bdgt_F'!G2532+'OPEX_ Bdgt_F'!G2648+'OPEX_ Bdgt_F'!G2830</f>
        <v>1263315.6000000001</v>
      </c>
      <c r="F27" s="243">
        <f>'OPEX_ Bdgt_F'!H74+'OPEX_ Bdgt_F'!H215+'OPEX_ Bdgt_F'!H301+'OPEX_ Bdgt_F'!H387+'OPEX_ Bdgt_F'!H468+'OPEX_ Bdgt_F'!H554+'OPEX_ Bdgt_F'!H680+'OPEX_ Bdgt_F'!H767+'OPEX_ Bdgt_F'!H928+'OPEX_ Bdgt_F'!H1151+'OPEX_ Bdgt_F'!H1251+'OPEX_ Bdgt_F'!H1396+'OPEX_ Bdgt_F'!H1542+'OPEX_ Bdgt_F'!H1636+'OPEX_ Bdgt_F'!H1869+'OPEX_ Bdgt_F'!H1947+'OPEX_ Bdgt_F'!H2176+'OPEX_ Bdgt_F'!H2352+'OPEX_ Bdgt_F'!H2532+'OPEX_ Bdgt_F'!H2648+'OPEX_ Bdgt_F'!H2830</f>
        <v>1423329</v>
      </c>
      <c r="G27" s="243">
        <f>'OPEX_ Bdgt_F'!I74+'OPEX_ Bdgt_F'!I215+'OPEX_ Bdgt_F'!I301+'OPEX_ Bdgt_F'!I387+'OPEX_ Bdgt_F'!I468+'OPEX_ Bdgt_F'!I554+'OPEX_ Bdgt_F'!I680+'OPEX_ Bdgt_F'!I767+'OPEX_ Bdgt_F'!I928+'OPEX_ Bdgt_F'!I1151+'OPEX_ Bdgt_F'!I1251+'OPEX_ Bdgt_F'!I1396+'OPEX_ Bdgt_F'!I1542+'OPEX_ Bdgt_F'!I1636+'OPEX_ Bdgt_F'!I1869+'OPEX_ Bdgt_F'!I1947+'OPEX_ Bdgt_F'!I2176+'OPEX_ Bdgt_F'!I2352+'OPEX_ Bdgt_F'!I2532+'OPEX_ Bdgt_F'!I2648+'OPEX_ Bdgt_F'!I2830</f>
        <v>1506368</v>
      </c>
      <c r="H27" s="243">
        <f>'OPEX_ Bdgt_F'!J74+'OPEX_ Bdgt_F'!J215+'OPEX_ Bdgt_F'!J301+'OPEX_ Bdgt_F'!J387+'OPEX_ Bdgt_F'!J468+'OPEX_ Bdgt_F'!J554+'OPEX_ Bdgt_F'!J680+'OPEX_ Bdgt_F'!J767+'OPEX_ Bdgt_F'!J928+'OPEX_ Bdgt_F'!J1151+'OPEX_ Bdgt_F'!J1251+'OPEX_ Bdgt_F'!J1396+'OPEX_ Bdgt_F'!J1542+'OPEX_ Bdgt_F'!J1636+'OPEX_ Bdgt_F'!J1869+'OPEX_ Bdgt_F'!J1947+'OPEX_ Bdgt_F'!J2176+'OPEX_ Bdgt_F'!J2352+'OPEX_ Bdgt_F'!J2532+'OPEX_ Bdgt_F'!J2648+'OPEX_ Bdgt_F'!J2830</f>
        <v>1594269</v>
      </c>
      <c r="J27" s="382" t="s">
        <v>3302</v>
      </c>
      <c r="K27" s="751">
        <f t="shared" ref="K27:Q27" si="15">B27</f>
        <v>577767</v>
      </c>
      <c r="L27" s="751">
        <f t="shared" si="15"/>
        <v>752400</v>
      </c>
      <c r="M27" s="751">
        <f t="shared" si="15"/>
        <v>1355550</v>
      </c>
      <c r="N27" s="751">
        <f t="shared" si="15"/>
        <v>1263315.6000000001</v>
      </c>
      <c r="O27" s="751">
        <f t="shared" si="15"/>
        <v>1423329</v>
      </c>
      <c r="P27" s="751">
        <f t="shared" si="15"/>
        <v>1506368</v>
      </c>
      <c r="Q27" s="751">
        <f t="shared" si="15"/>
        <v>1594269</v>
      </c>
    </row>
    <row r="28" spans="1:17" x14ac:dyDescent="0.2">
      <c r="A28" s="389" t="s">
        <v>1826</v>
      </c>
      <c r="B28" s="243">
        <f>'OPEX_ Bdgt_F'!C3162+'OPEX_ Bdgt_F'!C3172-B12-B20-B21-B22-B23-B24-B25-B27-B29</f>
        <v>14306775</v>
      </c>
      <c r="C28" s="243">
        <f>'OPEX_ Bdgt_F'!D3162+'OPEX_ Bdgt_F'!D3172-C12-C20-C21-C22-C23-C24-C25-C27</f>
        <v>16719353</v>
      </c>
      <c r="D28" s="243">
        <f>'OPEX_ Bdgt_F'!E3162+'OPEX_ Bdgt_F'!E3172-D12-D20-D21-D22-D23-D24-D25-D27</f>
        <v>16982414</v>
      </c>
      <c r="E28" s="243">
        <f>'OPEX_ Bdgt_F'!G3162+'OPEX_ Bdgt_F'!G3172-E12-E20-E21-E22-E23-E24-E25-E27</f>
        <v>12652010.299999997</v>
      </c>
      <c r="F28" s="243">
        <f>'OPEX_ Bdgt_F'!H3162+'OPEX_ Bdgt_F'!H3172-F12-F20-F21-F22-F23-F24-F25-F27-F29</f>
        <v>19525969</v>
      </c>
      <c r="G28" s="243">
        <f>'OPEX_ Bdgt_F'!I3162+'OPEX_ Bdgt_F'!I3172-G12-G20-G21-G22-G23-G24-G25-G27</f>
        <v>20685484</v>
      </c>
      <c r="H28" s="243">
        <f>'OPEX_ Bdgt_F'!J3162+'OPEX_ Bdgt_F'!J3172-H12-H20-H21-H22-H23-H24-H25-H27</f>
        <v>21932237</v>
      </c>
      <c r="J28" s="382" t="s">
        <v>3284</v>
      </c>
      <c r="K28" s="751">
        <f t="shared" ref="K28:Q28" si="16">B10</f>
        <v>1714439</v>
      </c>
      <c r="L28" s="751">
        <f t="shared" si="16"/>
        <v>2006037</v>
      </c>
      <c r="M28" s="751">
        <f t="shared" si="16"/>
        <v>2006037</v>
      </c>
      <c r="N28" s="751">
        <f t="shared" si="16"/>
        <v>1935979.2000000002</v>
      </c>
      <c r="O28" s="751">
        <f t="shared" si="16"/>
        <v>2174900</v>
      </c>
      <c r="P28" s="751">
        <f t="shared" si="16"/>
        <v>2348893</v>
      </c>
      <c r="Q28" s="751">
        <f t="shared" si="16"/>
        <v>2536805</v>
      </c>
    </row>
    <row r="29" spans="1:17" x14ac:dyDescent="0.2">
      <c r="A29" s="389" t="s">
        <v>497</v>
      </c>
      <c r="B29" s="243">
        <f>'OPEX_ Bdgt_F'!C73+'OPEX_ Bdgt_F'!C214+'OPEX_ Bdgt_F'!C679+'OPEX_ Bdgt_F'!C766+'OPEX_ Bdgt_F'!C927+'OPEX_ Bdgt_F'!C1150+'OPEX_ Bdgt_F'!C1250+'OPEX_ Bdgt_F'!C1395+'OPEX_ Bdgt_F'!C1541+'OPEX_ Bdgt_F'!C1635+'OPEX_ Bdgt_F'!C1868+'OPEX_ Bdgt_F'!C1946+'OPEX_ Bdgt_F'!C2174+'OPEX_ Bdgt_F'!C2351+'OPEX_ Bdgt_F'!C2531+'OPEX_ Bdgt_F'!C2647+'OPEX_ Bdgt_F'!C2828</f>
        <v>62292</v>
      </c>
      <c r="C29" s="243">
        <f>'OPEX_ Bdgt_F'!D73+'OPEX_ Bdgt_F'!D214+'OPEX_ Bdgt_F'!D679+'OPEX_ Bdgt_F'!D766+'OPEX_ Bdgt_F'!D927+'OPEX_ Bdgt_F'!D1150+'OPEX_ Bdgt_F'!D1250+'OPEX_ Bdgt_F'!D1395+'OPEX_ Bdgt_F'!D1541+'OPEX_ Bdgt_F'!D1635+'OPEX_ Bdgt_F'!D1868+'OPEX_ Bdgt_F'!D1946+'OPEX_ Bdgt_F'!D2174+'OPEX_ Bdgt_F'!D2351+'OPEX_ Bdgt_F'!D2531+'OPEX_ Bdgt_F'!D2647+'OPEX_ Bdgt_F'!D2828</f>
        <v>353450</v>
      </c>
      <c r="D29" s="243">
        <f>'OPEX_ Bdgt_F'!E73+'OPEX_ Bdgt_F'!E214+'OPEX_ Bdgt_F'!E679+'OPEX_ Bdgt_F'!E766+'OPEX_ Bdgt_F'!E927+'OPEX_ Bdgt_F'!E1150+'OPEX_ Bdgt_F'!E1250+'OPEX_ Bdgt_F'!E1395+'OPEX_ Bdgt_F'!E1541+'OPEX_ Bdgt_F'!E1635+'OPEX_ Bdgt_F'!E1868+'OPEX_ Bdgt_F'!E1946+'OPEX_ Bdgt_F'!E2174+'OPEX_ Bdgt_F'!E2351+'OPEX_ Bdgt_F'!E2531+'OPEX_ Bdgt_F'!E2647+'OPEX_ Bdgt_F'!E2828</f>
        <v>397746</v>
      </c>
      <c r="E29" s="243">
        <f>'OPEX_ Bdgt_F'!F73+'OPEX_ Bdgt_F'!F214+'OPEX_ Bdgt_F'!F679+'OPEX_ Bdgt_F'!F766+'OPEX_ Bdgt_F'!G927+'OPEX_ Bdgt_F'!G1150+'OPEX_ Bdgt_F'!G1250+'OPEX_ Bdgt_F'!G1395+'OPEX_ Bdgt_F'!G1541+'OPEX_ Bdgt_F'!G1635+'OPEX_ Bdgt_F'!G1868+'OPEX_ Bdgt_F'!G1946+'OPEX_ Bdgt_F'!G2174+'OPEX_ Bdgt_F'!G2351+'OPEX_ Bdgt_F'!G2531+'OPEX_ Bdgt_F'!G2647+'OPEX_ Bdgt_F'!G2828</f>
        <v>132526.79999999999</v>
      </c>
      <c r="F29" s="243">
        <f>'OPEX_ Bdgt_F'!G73+'OPEX_ Bdgt_F'!G214+'OPEX_ Bdgt_F'!G679+'OPEX_ Bdgt_F'!G766+'OPEX_ Bdgt_F'!H927+'OPEX_ Bdgt_F'!H1150+'OPEX_ Bdgt_F'!H1250+'OPEX_ Bdgt_F'!H1395+'OPEX_ Bdgt_F'!H1541+'OPEX_ Bdgt_F'!H1635+'OPEX_ Bdgt_F'!H1868+'OPEX_ Bdgt_F'!H1946+'OPEX_ Bdgt_F'!H2174+'OPEX_ Bdgt_F'!H2351+'OPEX_ Bdgt_F'!H2531+'OPEX_ Bdgt_F'!H2647+'OPEX_ Bdgt_F'!H2828</f>
        <v>420030</v>
      </c>
      <c r="G29" s="243">
        <f>'OPEX_ Bdgt_F'!H73+'OPEX_ Bdgt_F'!H214+'OPEX_ Bdgt_F'!H679+'OPEX_ Bdgt_F'!H766+'OPEX_ Bdgt_F'!I927+'OPEX_ Bdgt_F'!I1150+'OPEX_ Bdgt_F'!I1250+'OPEX_ Bdgt_F'!I1395+'OPEX_ Bdgt_F'!I1541+'OPEX_ Bdgt_F'!I1635+'OPEX_ Bdgt_F'!I1868+'OPEX_ Bdgt_F'!I1946+'OPEX_ Bdgt_F'!I2174+'OPEX_ Bdgt_F'!I2351+'OPEX_ Bdgt_F'!I2531+'OPEX_ Bdgt_F'!I2647+'OPEX_ Bdgt_F'!I2828</f>
        <v>445232</v>
      </c>
      <c r="H29" s="243">
        <f>'OPEX_ Bdgt_F'!I73+'OPEX_ Bdgt_F'!I214+'OPEX_ Bdgt_F'!I679+'OPEX_ Bdgt_F'!I766+'OPEX_ Bdgt_F'!J927+'OPEX_ Bdgt_F'!J1150+'OPEX_ Bdgt_F'!J1250+'OPEX_ Bdgt_F'!J1395+'OPEX_ Bdgt_F'!J1541+'OPEX_ Bdgt_F'!J1635+'OPEX_ Bdgt_F'!J1868+'OPEX_ Bdgt_F'!J1946+'OPEX_ Bdgt_F'!J2174+'OPEX_ Bdgt_F'!J2351+'OPEX_ Bdgt_F'!J2531+'OPEX_ Bdgt_F'!J2647+'OPEX_ Bdgt_F'!J2828</f>
        <v>471946</v>
      </c>
      <c r="J29" s="382" t="s">
        <v>3288</v>
      </c>
      <c r="K29" s="751">
        <f t="shared" ref="K29:Q29" si="17">B12</f>
        <v>2154582</v>
      </c>
      <c r="L29" s="751">
        <f t="shared" si="17"/>
        <v>951300</v>
      </c>
      <c r="M29" s="751">
        <f t="shared" si="17"/>
        <v>951300</v>
      </c>
      <c r="N29" s="751">
        <f t="shared" si="17"/>
        <v>5317638</v>
      </c>
      <c r="O29" s="751">
        <f t="shared" si="17"/>
        <v>998865</v>
      </c>
      <c r="P29" s="751">
        <f t="shared" si="17"/>
        <v>1058797</v>
      </c>
      <c r="Q29" s="751">
        <f t="shared" si="17"/>
        <v>1122325</v>
      </c>
    </row>
    <row r="30" spans="1:17" x14ac:dyDescent="0.2">
      <c r="A30" s="380"/>
      <c r="B30" s="383"/>
      <c r="C30" s="383"/>
      <c r="D30" s="383"/>
      <c r="E30" s="383"/>
      <c r="F30" s="383"/>
      <c r="G30" s="383"/>
      <c r="H30" s="383"/>
      <c r="J30" s="382" t="s">
        <v>497</v>
      </c>
      <c r="K30" s="751">
        <f t="shared" ref="K30:Q30" si="18">B29</f>
        <v>62292</v>
      </c>
      <c r="L30" s="751">
        <f t="shared" si="18"/>
        <v>353450</v>
      </c>
      <c r="M30" s="751">
        <f t="shared" si="18"/>
        <v>397746</v>
      </c>
      <c r="N30" s="751">
        <f t="shared" si="18"/>
        <v>132526.79999999999</v>
      </c>
      <c r="O30" s="751">
        <f t="shared" si="18"/>
        <v>420030</v>
      </c>
      <c r="P30" s="751">
        <f t="shared" si="18"/>
        <v>445232</v>
      </c>
      <c r="Q30" s="751">
        <f t="shared" si="18"/>
        <v>471946</v>
      </c>
    </row>
    <row r="31" spans="1:17" x14ac:dyDescent="0.2">
      <c r="A31" s="384" t="s">
        <v>3303</v>
      </c>
      <c r="B31" s="325">
        <f t="shared" ref="B31:H31" si="19">SUM(B9:B30)</f>
        <v>48265681.759999998</v>
      </c>
      <c r="C31" s="325">
        <f t="shared" si="19"/>
        <v>54563168</v>
      </c>
      <c r="D31" s="325">
        <f t="shared" si="19"/>
        <v>55010087</v>
      </c>
      <c r="E31" s="325">
        <f t="shared" si="19"/>
        <v>51151648.299999997</v>
      </c>
      <c r="F31" s="325">
        <f t="shared" si="19"/>
        <v>83221332</v>
      </c>
      <c r="G31" s="325">
        <f t="shared" si="19"/>
        <v>90859993</v>
      </c>
      <c r="H31" s="325">
        <f t="shared" si="19"/>
        <v>99873582</v>
      </c>
      <c r="J31" s="385" t="s">
        <v>4137</v>
      </c>
      <c r="K31" s="292">
        <f>SUM(K21:K30)</f>
        <v>11937001</v>
      </c>
      <c r="L31" s="292">
        <f t="shared" ref="L31:Q31" si="20">SUM(L21:L30)</f>
        <v>8202818</v>
      </c>
      <c r="M31" s="292">
        <f t="shared" si="20"/>
        <v>9366218</v>
      </c>
      <c r="N31" s="292">
        <f t="shared" si="20"/>
        <v>11648045.600000001</v>
      </c>
      <c r="O31" s="292">
        <f t="shared" si="20"/>
        <v>11159251</v>
      </c>
      <c r="P31" s="292">
        <f t="shared" si="20"/>
        <v>12036832</v>
      </c>
      <c r="Q31" s="292">
        <f t="shared" si="20"/>
        <v>13162653</v>
      </c>
    </row>
    <row r="32" spans="1:17" x14ac:dyDescent="0.2">
      <c r="K32" s="264"/>
      <c r="L32" s="264"/>
      <c r="M32" s="264"/>
      <c r="N32" s="264"/>
      <c r="O32" s="264"/>
      <c r="P32" s="264"/>
      <c r="Q32" s="264"/>
    </row>
    <row r="33" spans="1:17" x14ac:dyDescent="0.2">
      <c r="K33" s="264"/>
      <c r="L33" s="264"/>
      <c r="M33" s="264"/>
      <c r="N33" s="264"/>
      <c r="O33" s="264"/>
      <c r="P33" s="264"/>
      <c r="Q33" s="264"/>
    </row>
    <row r="34" spans="1:17" x14ac:dyDescent="0.2">
      <c r="A34" s="301" t="s">
        <v>1131</v>
      </c>
      <c r="K34" s="264"/>
      <c r="L34" s="264"/>
      <c r="M34" s="264"/>
      <c r="N34" s="264"/>
      <c r="O34" s="264"/>
      <c r="P34" s="264"/>
      <c r="Q34" s="264"/>
    </row>
    <row r="35" spans="1:17" x14ac:dyDescent="0.2">
      <c r="A35" s="304" t="s">
        <v>4099</v>
      </c>
    </row>
    <row r="36" spans="1:17" x14ac:dyDescent="0.2">
      <c r="A36" s="304" t="s">
        <v>4100</v>
      </c>
    </row>
    <row r="37" spans="1:17" x14ac:dyDescent="0.2">
      <c r="A37" s="304" t="s">
        <v>4101</v>
      </c>
    </row>
    <row r="38" spans="1:17" x14ac:dyDescent="0.2">
      <c r="A38" s="304" t="s">
        <v>4102</v>
      </c>
    </row>
    <row r="39" spans="1:17" x14ac:dyDescent="0.2">
      <c r="A39" s="304" t="s">
        <v>4103</v>
      </c>
      <c r="J39" s="302"/>
      <c r="K39" s="386"/>
      <c r="L39" s="386"/>
      <c r="M39" s="386"/>
      <c r="N39" s="386"/>
      <c r="O39" s="386"/>
      <c r="P39" s="386"/>
      <c r="Q39" s="386"/>
    </row>
    <row r="40" spans="1:17" x14ac:dyDescent="0.2">
      <c r="A40" s="304" t="s">
        <v>4104</v>
      </c>
    </row>
    <row r="41" spans="1:17" x14ac:dyDescent="0.2">
      <c r="A41" s="304" t="s">
        <v>4359</v>
      </c>
      <c r="J41" s="265"/>
    </row>
    <row r="43" spans="1:17" x14ac:dyDescent="0.2">
      <c r="A43" s="264" t="s">
        <v>1132</v>
      </c>
      <c r="J43" s="265"/>
    </row>
    <row r="44" spans="1:17" x14ac:dyDescent="0.2">
      <c r="A44" s="264" t="s">
        <v>1824</v>
      </c>
      <c r="J44" s="265"/>
    </row>
    <row r="45" spans="1:17" x14ac:dyDescent="0.2">
      <c r="A45" s="264" t="s">
        <v>3304</v>
      </c>
    </row>
    <row r="46" spans="1:17" x14ac:dyDescent="0.2">
      <c r="A46" s="264" t="s">
        <v>3305</v>
      </c>
    </row>
    <row r="47" spans="1:17" x14ac:dyDescent="0.2">
      <c r="A47" s="264" t="s">
        <v>3306</v>
      </c>
      <c r="J47" s="265"/>
    </row>
    <row r="48" spans="1:17" x14ac:dyDescent="0.2">
      <c r="C48" s="387"/>
    </row>
    <row r="49" spans="1:10" x14ac:dyDescent="0.2">
      <c r="A49" s="381"/>
      <c r="C49" s="387"/>
    </row>
    <row r="50" spans="1:10" x14ac:dyDescent="0.2">
      <c r="A50" s="381"/>
      <c r="C50" s="387"/>
      <c r="J50" s="265"/>
    </row>
    <row r="51" spans="1:10" x14ac:dyDescent="0.2">
      <c r="A51" s="381"/>
      <c r="C51" s="387"/>
      <c r="J51" s="265"/>
    </row>
    <row r="52" spans="1:10" x14ac:dyDescent="0.2">
      <c r="A52" s="381"/>
      <c r="C52" s="387"/>
      <c r="J52" s="265"/>
    </row>
    <row r="53" spans="1:10" x14ac:dyDescent="0.2">
      <c r="A53" s="381"/>
      <c r="C53" s="387"/>
    </row>
    <row r="54" spans="1:10" x14ac:dyDescent="0.2">
      <c r="A54" s="381"/>
      <c r="C54" s="387"/>
    </row>
    <row r="55" spans="1:10" x14ac:dyDescent="0.2">
      <c r="A55" s="381"/>
      <c r="C55" s="387"/>
      <c r="J55" s="265"/>
    </row>
    <row r="57" spans="1:10" x14ac:dyDescent="0.2">
      <c r="J57" s="265"/>
    </row>
  </sheetData>
  <phoneticPr fontId="3" type="noConversion"/>
  <pageMargins left="0.75" right="0.75" top="1" bottom="1" header="0.5" footer="0.5"/>
  <pageSetup paperSize="9" scale="72"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24" sqref="F24"/>
    </sheetView>
  </sheetViews>
  <sheetFormatPr defaultRowHeight="12.75" x14ac:dyDescent="0.2"/>
  <sheetData/>
  <phoneticPr fontId="45"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79"/>
  <sheetViews>
    <sheetView tabSelected="1" view="pageBreakPreview" topLeftCell="A2984" zoomScaleNormal="100" zoomScaleSheetLayoutView="100" workbookViewId="0">
      <pane ySplit="3045" topLeftCell="A3160"/>
      <selection activeCell="B2992" sqref="B2992"/>
      <selection pane="bottomLeft" activeCell="F1432" sqref="F1432"/>
    </sheetView>
  </sheetViews>
  <sheetFormatPr defaultRowHeight="12.75" x14ac:dyDescent="0.2"/>
  <cols>
    <col min="1" max="1" width="17.83203125" style="37" customWidth="1"/>
    <col min="2" max="2" width="47" style="39" customWidth="1"/>
    <col min="3" max="3" width="14" style="39" customWidth="1"/>
    <col min="4" max="5" width="15" style="39" customWidth="1"/>
    <col min="6" max="6" width="14.33203125" style="2" customWidth="1"/>
    <col min="7" max="8" width="13.6640625" style="2" customWidth="1"/>
    <col min="9" max="9" width="15.33203125" style="39" customWidth="1"/>
    <col min="10" max="10" width="14.1640625" style="39" customWidth="1"/>
    <col min="11" max="11" width="11.6640625" bestFit="1" customWidth="1"/>
    <col min="12" max="12" width="13.83203125" bestFit="1" customWidth="1"/>
    <col min="13" max="13" width="12.33203125" style="2" customWidth="1"/>
    <col min="14" max="14" width="15.1640625" style="2" bestFit="1" customWidth="1"/>
    <col min="15" max="16384" width="9.33203125" style="2"/>
  </cols>
  <sheetData>
    <row r="1" spans="1:10" ht="15.75" x14ac:dyDescent="0.25">
      <c r="A1" s="793" t="s">
        <v>451</v>
      </c>
      <c r="B1" s="793"/>
      <c r="C1" s="793"/>
      <c r="D1" s="793"/>
      <c r="E1" s="793"/>
      <c r="F1" s="793"/>
      <c r="G1" s="793"/>
      <c r="H1" s="793"/>
      <c r="I1" s="793"/>
      <c r="J1" s="793"/>
    </row>
    <row r="2" spans="1:10" x14ac:dyDescent="0.2">
      <c r="B2" s="38"/>
      <c r="C2" s="38"/>
      <c r="D2" s="38"/>
      <c r="E2" s="38"/>
      <c r="I2" s="38"/>
    </row>
    <row r="3" spans="1:10" ht="15" x14ac:dyDescent="0.25">
      <c r="A3" s="794" t="s">
        <v>4039</v>
      </c>
      <c r="B3" s="794"/>
      <c r="C3" s="794"/>
      <c r="D3" s="794"/>
      <c r="E3" s="794"/>
      <c r="F3" s="794"/>
      <c r="G3" s="794"/>
      <c r="H3" s="794"/>
      <c r="I3" s="794"/>
      <c r="J3" s="794"/>
    </row>
    <row r="4" spans="1:10" ht="15" x14ac:dyDescent="0.25">
      <c r="B4" s="40"/>
      <c r="C4" s="40"/>
      <c r="D4" s="40"/>
      <c r="E4" s="40"/>
      <c r="I4" s="40"/>
    </row>
    <row r="5" spans="1:10" ht="14.25" customHeight="1" thickBot="1" x14ac:dyDescent="0.3">
      <c r="A5" s="147"/>
      <c r="B5" s="147"/>
      <c r="C5" s="147"/>
      <c r="D5" s="147"/>
      <c r="E5" s="147"/>
      <c r="F5" s="147"/>
      <c r="G5" s="147"/>
      <c r="H5" s="147"/>
      <c r="I5" s="147"/>
      <c r="J5" s="147"/>
    </row>
    <row r="6" spans="1:10" ht="14.25" customHeight="1" x14ac:dyDescent="0.2">
      <c r="A6" s="772" t="s">
        <v>469</v>
      </c>
      <c r="B6" s="798" t="s">
        <v>470</v>
      </c>
      <c r="C6" s="788" t="s">
        <v>450</v>
      </c>
      <c r="D6" s="775" t="s">
        <v>403</v>
      </c>
      <c r="E6" s="776"/>
      <c r="F6" s="776"/>
      <c r="G6" s="776"/>
      <c r="H6" s="779" t="s">
        <v>404</v>
      </c>
      <c r="I6" s="780"/>
      <c r="J6" s="781"/>
    </row>
    <row r="7" spans="1:10" ht="13.5" customHeight="1" thickBot="1" x14ac:dyDescent="0.25">
      <c r="A7" s="773"/>
      <c r="B7" s="799"/>
      <c r="C7" s="789"/>
      <c r="D7" s="777"/>
      <c r="E7" s="778"/>
      <c r="F7" s="778"/>
      <c r="G7" s="778"/>
      <c r="H7" s="782"/>
      <c r="I7" s="783"/>
      <c r="J7" s="784"/>
    </row>
    <row r="8" spans="1:10" x14ac:dyDescent="0.2">
      <c r="A8" s="773"/>
      <c r="B8" s="799"/>
      <c r="C8" s="766" t="s">
        <v>405</v>
      </c>
      <c r="D8" s="785" t="s">
        <v>406</v>
      </c>
      <c r="E8" s="785" t="s">
        <v>407</v>
      </c>
      <c r="F8" s="763" t="s">
        <v>408</v>
      </c>
      <c r="G8" s="766" t="s">
        <v>409</v>
      </c>
      <c r="H8" s="769" t="s">
        <v>410</v>
      </c>
      <c r="I8" s="790" t="s">
        <v>411</v>
      </c>
      <c r="J8" s="795" t="s">
        <v>412</v>
      </c>
    </row>
    <row r="9" spans="1:10" x14ac:dyDescent="0.2">
      <c r="A9" s="773"/>
      <c r="B9" s="799"/>
      <c r="C9" s="767"/>
      <c r="D9" s="786"/>
      <c r="E9" s="786"/>
      <c r="F9" s="764"/>
      <c r="G9" s="767"/>
      <c r="H9" s="770"/>
      <c r="I9" s="791"/>
      <c r="J9" s="796"/>
    </row>
    <row r="10" spans="1:10" ht="13.5" thickBot="1" x14ac:dyDescent="0.25">
      <c r="A10" s="774"/>
      <c r="B10" s="800"/>
      <c r="C10" s="768"/>
      <c r="D10" s="787"/>
      <c r="E10" s="787"/>
      <c r="F10" s="765"/>
      <c r="G10" s="768"/>
      <c r="H10" s="771"/>
      <c r="I10" s="792"/>
      <c r="J10" s="797"/>
    </row>
    <row r="11" spans="1:10" x14ac:dyDescent="0.2">
      <c r="A11" s="41"/>
      <c r="B11" s="15"/>
      <c r="C11" s="15"/>
      <c r="D11" s="42"/>
      <c r="E11" s="42"/>
      <c r="F11" s="15">
        <v>10</v>
      </c>
      <c r="G11" s="15">
        <v>12</v>
      </c>
      <c r="I11" s="42"/>
      <c r="J11" s="42"/>
    </row>
    <row r="12" spans="1:10" x14ac:dyDescent="0.2">
      <c r="A12" s="41"/>
      <c r="B12" s="15"/>
      <c r="C12" s="15"/>
      <c r="D12" s="42"/>
      <c r="E12" s="42"/>
      <c r="I12" s="42"/>
      <c r="J12" s="42"/>
    </row>
    <row r="13" spans="1:10" s="14" customFormat="1" ht="15.75" x14ac:dyDescent="0.25">
      <c r="A13" s="43">
        <v>1000</v>
      </c>
      <c r="B13" s="44" t="s">
        <v>4040</v>
      </c>
      <c r="C13" s="45"/>
      <c r="D13" s="45"/>
      <c r="E13" s="45"/>
      <c r="I13" s="46"/>
      <c r="J13" s="46"/>
    </row>
    <row r="14" spans="1:10" ht="15" x14ac:dyDescent="0.25">
      <c r="A14" s="47">
        <v>1010</v>
      </c>
      <c r="B14" s="48" t="s">
        <v>4041</v>
      </c>
      <c r="C14" s="48"/>
      <c r="D14" s="48"/>
      <c r="E14" s="48"/>
    </row>
    <row r="15" spans="1:10" ht="15" x14ac:dyDescent="0.25">
      <c r="A15" s="47"/>
      <c r="B15" s="48"/>
      <c r="C15" s="48"/>
      <c r="D15" s="48"/>
      <c r="E15" s="48"/>
    </row>
    <row r="16" spans="1:10" x14ac:dyDescent="0.2">
      <c r="A16" s="49"/>
      <c r="B16" s="50" t="s">
        <v>61</v>
      </c>
      <c r="C16" s="50"/>
      <c r="D16" s="50"/>
      <c r="E16" s="50"/>
    </row>
    <row r="17" spans="1:13" x14ac:dyDescent="0.2">
      <c r="A17" s="49"/>
      <c r="B17" s="46"/>
      <c r="C17" s="46"/>
      <c r="D17" s="46"/>
      <c r="E17" s="46"/>
    </row>
    <row r="18" spans="1:13" s="24" customFormat="1" ht="11.25" x14ac:dyDescent="0.2">
      <c r="A18" s="51"/>
      <c r="B18" s="58" t="s">
        <v>413</v>
      </c>
      <c r="C18" s="53"/>
      <c r="D18" s="53"/>
      <c r="E18" s="53"/>
      <c r="I18" s="54"/>
      <c r="J18" s="54"/>
    </row>
    <row r="19" spans="1:13" s="24" customFormat="1" ht="11.25" x14ac:dyDescent="0.2">
      <c r="A19" s="51">
        <v>5402</v>
      </c>
      <c r="B19" s="70" t="s">
        <v>1063</v>
      </c>
      <c r="C19" s="69">
        <v>35550</v>
      </c>
      <c r="D19" s="69">
        <v>0</v>
      </c>
      <c r="E19" s="69">
        <v>0</v>
      </c>
      <c r="F19" s="69">
        <v>0</v>
      </c>
      <c r="G19" s="69">
        <v>0</v>
      </c>
      <c r="H19" s="69">
        <v>0</v>
      </c>
      <c r="I19" s="69">
        <v>0</v>
      </c>
      <c r="J19" s="69">
        <v>0</v>
      </c>
    </row>
    <row r="20" spans="1:13" s="24" customFormat="1" ht="11.25" x14ac:dyDescent="0.2">
      <c r="A20" s="51">
        <v>5504</v>
      </c>
      <c r="B20" s="70" t="s">
        <v>4042</v>
      </c>
      <c r="C20" s="69">
        <v>493000</v>
      </c>
      <c r="D20" s="69">
        <v>587000</v>
      </c>
      <c r="E20" s="69">
        <f>+D20</f>
        <v>587000</v>
      </c>
      <c r="F20" s="69">
        <v>587000</v>
      </c>
      <c r="G20" s="69">
        <v>587000</v>
      </c>
      <c r="H20" s="69">
        <v>653000</v>
      </c>
      <c r="I20" s="69">
        <v>695000</v>
      </c>
      <c r="J20" s="69">
        <v>729000</v>
      </c>
      <c r="M20" s="57"/>
    </row>
    <row r="21" spans="1:13" s="24" customFormat="1" ht="11.25" x14ac:dyDescent="0.2">
      <c r="A21" s="51">
        <v>5505</v>
      </c>
      <c r="B21" s="71" t="s">
        <v>1064</v>
      </c>
      <c r="C21" s="56">
        <v>36700</v>
      </c>
      <c r="D21" s="56">
        <v>0</v>
      </c>
      <c r="E21" s="56">
        <v>0</v>
      </c>
      <c r="F21" s="56">
        <v>0</v>
      </c>
      <c r="G21" s="56">
        <v>0</v>
      </c>
      <c r="H21" s="56">
        <v>0</v>
      </c>
      <c r="I21" s="56">
        <v>0</v>
      </c>
      <c r="J21" s="56">
        <v>0</v>
      </c>
    </row>
    <row r="22" spans="1:13" s="24" customFormat="1" ht="11.25" x14ac:dyDescent="0.2">
      <c r="A22" s="51"/>
      <c r="B22" s="58" t="s">
        <v>414</v>
      </c>
      <c r="C22" s="59">
        <f>SUM(C19:C21)</f>
        <v>565250</v>
      </c>
      <c r="D22" s="59">
        <f t="shared" ref="D22:J22" si="0">SUM(D19:D21)</f>
        <v>587000</v>
      </c>
      <c r="E22" s="59">
        <f t="shared" si="0"/>
        <v>587000</v>
      </c>
      <c r="F22" s="59">
        <f t="shared" si="0"/>
        <v>587000</v>
      </c>
      <c r="G22" s="59">
        <f t="shared" si="0"/>
        <v>587000</v>
      </c>
      <c r="H22" s="59">
        <f t="shared" si="0"/>
        <v>653000</v>
      </c>
      <c r="I22" s="59">
        <f t="shared" si="0"/>
        <v>695000</v>
      </c>
      <c r="J22" s="59">
        <f t="shared" si="0"/>
        <v>729000</v>
      </c>
      <c r="M22" s="57"/>
    </row>
    <row r="23" spans="1:13" x14ac:dyDescent="0.2">
      <c r="A23" s="60"/>
      <c r="B23" s="61"/>
      <c r="C23" s="62"/>
      <c r="D23" s="62"/>
      <c r="E23" s="62"/>
      <c r="F23" s="63"/>
      <c r="G23" s="63"/>
      <c r="H23" s="63"/>
      <c r="I23" s="63"/>
      <c r="J23" s="63"/>
      <c r="M23" s="57"/>
    </row>
    <row r="24" spans="1:13" ht="13.5" thickBot="1" x14ac:dyDescent="0.25">
      <c r="A24" s="64"/>
      <c r="B24" s="65" t="s">
        <v>4043</v>
      </c>
      <c r="C24" s="66">
        <f t="shared" ref="C24:J24" si="1">+C22</f>
        <v>565250</v>
      </c>
      <c r="D24" s="66">
        <f>+D22</f>
        <v>587000</v>
      </c>
      <c r="E24" s="66">
        <f t="shared" si="1"/>
        <v>587000</v>
      </c>
      <c r="F24" s="66">
        <f>+F22</f>
        <v>587000</v>
      </c>
      <c r="G24" s="66">
        <f>+G22</f>
        <v>587000</v>
      </c>
      <c r="H24" s="66">
        <f>+H22</f>
        <v>653000</v>
      </c>
      <c r="I24" s="66">
        <f t="shared" si="1"/>
        <v>695000</v>
      </c>
      <c r="J24" s="66">
        <f t="shared" si="1"/>
        <v>729000</v>
      </c>
      <c r="M24" s="57"/>
    </row>
    <row r="25" spans="1:13" ht="13.5" thickTop="1" x14ac:dyDescent="0.2">
      <c r="A25" s="67"/>
      <c r="B25" s="68"/>
      <c r="C25" s="68"/>
      <c r="D25" s="68"/>
      <c r="E25" s="68"/>
      <c r="M25" s="57"/>
    </row>
    <row r="26" spans="1:13" x14ac:dyDescent="0.2">
      <c r="A26" s="49"/>
      <c r="B26" s="50" t="s">
        <v>4018</v>
      </c>
      <c r="C26" s="88"/>
      <c r="D26" s="50"/>
      <c r="E26" s="50"/>
      <c r="M26" s="57"/>
    </row>
    <row r="27" spans="1:13" x14ac:dyDescent="0.2">
      <c r="A27" s="49"/>
      <c r="B27" s="50"/>
      <c r="C27" s="50"/>
      <c r="D27" s="50"/>
      <c r="E27" s="50"/>
      <c r="M27" s="57"/>
    </row>
    <row r="28" spans="1:13" x14ac:dyDescent="0.2">
      <c r="A28" s="60"/>
      <c r="B28" s="58" t="s">
        <v>4020</v>
      </c>
      <c r="C28" s="69"/>
      <c r="D28" s="69"/>
      <c r="E28" s="69"/>
      <c r="M28" s="57"/>
    </row>
    <row r="29" spans="1:13" x14ac:dyDescent="0.2">
      <c r="A29" s="60">
        <v>1007</v>
      </c>
      <c r="B29" s="70" t="s">
        <v>3554</v>
      </c>
      <c r="C29" s="69">
        <v>0</v>
      </c>
      <c r="D29" s="69">
        <v>0</v>
      </c>
      <c r="E29" s="69">
        <v>0</v>
      </c>
      <c r="F29" s="69">
        <v>0</v>
      </c>
      <c r="G29" s="69">
        <v>0</v>
      </c>
      <c r="H29" s="69">
        <f>+[3]Salary_Bdgt!$I$17</f>
        <v>1677</v>
      </c>
      <c r="I29" s="69">
        <f t="shared" ref="I29:J35" si="2">ROUND(H29*1.08,0)</f>
        <v>1811</v>
      </c>
      <c r="J29" s="69">
        <f t="shared" si="2"/>
        <v>1956</v>
      </c>
      <c r="M29" s="57"/>
    </row>
    <row r="30" spans="1:13" x14ac:dyDescent="0.2">
      <c r="A30" s="60">
        <v>1009</v>
      </c>
      <c r="B30" s="70" t="s">
        <v>3555</v>
      </c>
      <c r="C30" s="69">
        <v>0</v>
      </c>
      <c r="D30" s="69">
        <v>0</v>
      </c>
      <c r="E30" s="69">
        <v>0</v>
      </c>
      <c r="F30" s="69">
        <v>0</v>
      </c>
      <c r="G30" s="69">
        <v>0</v>
      </c>
      <c r="H30" s="69">
        <f>+[3]Salary_Bdgt!$M$17</f>
        <v>45</v>
      </c>
      <c r="I30" s="69">
        <f t="shared" si="2"/>
        <v>49</v>
      </c>
      <c r="J30" s="69">
        <f t="shared" si="2"/>
        <v>53</v>
      </c>
      <c r="M30" s="57"/>
    </row>
    <row r="31" spans="1:13" x14ac:dyDescent="0.2">
      <c r="A31" s="60">
        <v>1017</v>
      </c>
      <c r="B31" s="70" t="s">
        <v>3556</v>
      </c>
      <c r="C31" s="69">
        <v>0</v>
      </c>
      <c r="D31" s="69">
        <f>[2]Sal_RIA!$J$32</f>
        <v>19862</v>
      </c>
      <c r="E31" s="69">
        <f>+D31</f>
        <v>19862</v>
      </c>
      <c r="F31" s="69">
        <v>5511</v>
      </c>
      <c r="G31" s="69">
        <f>F31/$F$11*$G$11</f>
        <v>6613.2000000000007</v>
      </c>
      <c r="H31" s="69">
        <f>+[3]Salary_Bdgt!$J$17</f>
        <v>4848</v>
      </c>
      <c r="I31" s="69">
        <f t="shared" si="2"/>
        <v>5236</v>
      </c>
      <c r="J31" s="69">
        <f t="shared" si="2"/>
        <v>5655</v>
      </c>
      <c r="M31" s="57"/>
    </row>
    <row r="32" spans="1:13" x14ac:dyDescent="0.2">
      <c r="A32" s="60">
        <v>1101</v>
      </c>
      <c r="B32" s="70" t="s">
        <v>3557</v>
      </c>
      <c r="C32" s="69">
        <v>1248325</v>
      </c>
      <c r="D32" s="69">
        <f>[2]Sal_RIA!$H$32</f>
        <v>1402403</v>
      </c>
      <c r="E32" s="69">
        <f>+D32</f>
        <v>1402403</v>
      </c>
      <c r="F32" s="69">
        <v>1162556</v>
      </c>
      <c r="G32" s="69">
        <f>F32/$F$11*$G$11</f>
        <v>1395067.2000000002</v>
      </c>
      <c r="H32" s="69">
        <f>+[3]Salary_Bdgt!$H$17</f>
        <v>1527850</v>
      </c>
      <c r="I32" s="69">
        <f t="shared" si="2"/>
        <v>1650078</v>
      </c>
      <c r="J32" s="69">
        <f t="shared" si="2"/>
        <v>1782084</v>
      </c>
      <c r="M32" s="57"/>
    </row>
    <row r="33" spans="1:13" x14ac:dyDescent="0.2">
      <c r="A33" s="60">
        <v>1112</v>
      </c>
      <c r="B33" s="70" t="s">
        <v>3558</v>
      </c>
      <c r="C33" s="69">
        <v>89003</v>
      </c>
      <c r="D33" s="69">
        <f>[2]Sal_RIA!$U$32</f>
        <v>116305</v>
      </c>
      <c r="E33" s="69">
        <f>+D33</f>
        <v>116305</v>
      </c>
      <c r="F33" s="69">
        <v>88135</v>
      </c>
      <c r="G33" s="69">
        <f>F33/$F$11*$G$11</f>
        <v>105762</v>
      </c>
      <c r="H33" s="69">
        <f>+[3]Salary_Bdgt!$U$17</f>
        <v>126685</v>
      </c>
      <c r="I33" s="69">
        <f t="shared" si="2"/>
        <v>136820</v>
      </c>
      <c r="J33" s="69">
        <f t="shared" si="2"/>
        <v>147766</v>
      </c>
      <c r="M33" s="57"/>
    </row>
    <row r="34" spans="1:13" x14ac:dyDescent="0.2">
      <c r="A34" s="60">
        <v>1114</v>
      </c>
      <c r="B34" s="70" t="s">
        <v>3559</v>
      </c>
      <c r="C34" s="69">
        <v>377111</v>
      </c>
      <c r="D34" s="69">
        <f>[2]Sal_RIA!$R$32</f>
        <v>467467</v>
      </c>
      <c r="E34" s="69">
        <f>+D34</f>
        <v>467467</v>
      </c>
      <c r="F34" s="69">
        <v>357114</v>
      </c>
      <c r="G34" s="69">
        <f>F34/$F$11*$G$11</f>
        <v>428536.80000000005</v>
      </c>
      <c r="H34" s="69">
        <f>+[3]Salary_Bdgt!$R$17</f>
        <v>509286</v>
      </c>
      <c r="I34" s="69">
        <f t="shared" si="2"/>
        <v>550029</v>
      </c>
      <c r="J34" s="69">
        <f t="shared" si="2"/>
        <v>594031</v>
      </c>
      <c r="M34" s="57"/>
    </row>
    <row r="35" spans="1:13" x14ac:dyDescent="0.2">
      <c r="A35" s="60">
        <v>1182</v>
      </c>
      <c r="B35" s="71" t="s">
        <v>3560</v>
      </c>
      <c r="C35" s="56">
        <v>0</v>
      </c>
      <c r="D35" s="56">
        <v>0</v>
      </c>
      <c r="E35" s="56">
        <v>0</v>
      </c>
      <c r="F35" s="56">
        <v>0</v>
      </c>
      <c r="G35" s="56">
        <f>F35/$F$11*$G$11</f>
        <v>0</v>
      </c>
      <c r="H35" s="56">
        <f>+[3]Salary_Bdgt!$K$17</f>
        <v>4509</v>
      </c>
      <c r="I35" s="56">
        <f t="shared" si="2"/>
        <v>4870</v>
      </c>
      <c r="J35" s="56">
        <f t="shared" si="2"/>
        <v>5260</v>
      </c>
      <c r="M35" s="57"/>
    </row>
    <row r="36" spans="1:13" x14ac:dyDescent="0.2">
      <c r="A36" s="60"/>
      <c r="B36" s="58" t="s">
        <v>415</v>
      </c>
      <c r="C36" s="72">
        <f>SUM(C29:C35)</f>
        <v>1714439</v>
      </c>
      <c r="D36" s="72">
        <f t="shared" ref="D36:J36" si="3">SUM(D29:D35)</f>
        <v>2006037</v>
      </c>
      <c r="E36" s="72">
        <f t="shared" si="3"/>
        <v>2006037</v>
      </c>
      <c r="F36" s="72">
        <f t="shared" si="3"/>
        <v>1613316</v>
      </c>
      <c r="G36" s="72">
        <f t="shared" si="3"/>
        <v>1935979.2000000002</v>
      </c>
      <c r="H36" s="72">
        <f t="shared" si="3"/>
        <v>2174900</v>
      </c>
      <c r="I36" s="72">
        <f t="shared" si="3"/>
        <v>2348893</v>
      </c>
      <c r="J36" s="72">
        <f t="shared" si="3"/>
        <v>2536805</v>
      </c>
      <c r="M36" s="57"/>
    </row>
    <row r="37" spans="1:13" x14ac:dyDescent="0.2">
      <c r="A37" s="60"/>
      <c r="B37" s="58"/>
      <c r="C37" s="72"/>
      <c r="D37" s="72"/>
      <c r="E37" s="72"/>
      <c r="F37" s="69"/>
      <c r="G37" s="69"/>
      <c r="H37" s="69"/>
      <c r="I37" s="72"/>
      <c r="J37" s="72"/>
      <c r="M37" s="57"/>
    </row>
    <row r="38" spans="1:13" x14ac:dyDescent="0.2">
      <c r="A38" s="60"/>
      <c r="B38" s="58" t="s">
        <v>4019</v>
      </c>
      <c r="C38" s="69"/>
      <c r="D38" s="69"/>
      <c r="E38" s="69"/>
      <c r="F38" s="69"/>
      <c r="G38" s="69"/>
      <c r="H38" s="69"/>
      <c r="I38" s="69"/>
      <c r="J38" s="69"/>
      <c r="M38" s="57"/>
    </row>
    <row r="39" spans="1:13" x14ac:dyDescent="0.2">
      <c r="A39" s="60">
        <v>1001</v>
      </c>
      <c r="B39" s="70" t="s">
        <v>472</v>
      </c>
      <c r="C39" s="69">
        <v>383922</v>
      </c>
      <c r="D39" s="69">
        <v>502874</v>
      </c>
      <c r="E39" s="69">
        <f>+D39-34123</f>
        <v>468751</v>
      </c>
      <c r="F39" s="69">
        <v>368400</v>
      </c>
      <c r="G39" s="69">
        <f t="shared" ref="G39:G51" si="4">F39/$F$11*$G$11</f>
        <v>442080</v>
      </c>
      <c r="H39" s="69">
        <f>+[3]Salary_Bdgt!$H$32</f>
        <v>332923</v>
      </c>
      <c r="I39" s="69">
        <f t="shared" ref="I39:J51" si="5">ROUND(H39*1.08,0)</f>
        <v>359557</v>
      </c>
      <c r="J39" s="69">
        <f t="shared" si="5"/>
        <v>388322</v>
      </c>
      <c r="M39" s="57"/>
    </row>
    <row r="40" spans="1:13" x14ac:dyDescent="0.2">
      <c r="A40" s="60">
        <v>1005</v>
      </c>
      <c r="B40" s="70" t="s">
        <v>473</v>
      </c>
      <c r="C40" s="69">
        <v>24776</v>
      </c>
      <c r="D40" s="69">
        <v>20117</v>
      </c>
      <c r="E40" s="69">
        <f>+D40+1032</f>
        <v>21149</v>
      </c>
      <c r="F40" s="69">
        <f>24291+1440</f>
        <v>25731</v>
      </c>
      <c r="G40" s="69">
        <f t="shared" si="4"/>
        <v>30877.199999999997</v>
      </c>
      <c r="H40" s="69">
        <f>+[3]Salary_Bdgt!$L$32</f>
        <v>13493</v>
      </c>
      <c r="I40" s="69">
        <f t="shared" si="5"/>
        <v>14572</v>
      </c>
      <c r="J40" s="69">
        <f t="shared" si="5"/>
        <v>15738</v>
      </c>
      <c r="M40" s="57"/>
    </row>
    <row r="41" spans="1:13" x14ac:dyDescent="0.2">
      <c r="A41" s="60">
        <v>1006</v>
      </c>
      <c r="B41" s="70" t="s">
        <v>474</v>
      </c>
      <c r="C41" s="69">
        <v>44683</v>
      </c>
      <c r="D41" s="69">
        <f>[2]Sal_RIA!$N$17</f>
        <v>0</v>
      </c>
      <c r="E41" s="69">
        <v>26520</v>
      </c>
      <c r="F41" s="69">
        <v>25327</v>
      </c>
      <c r="G41" s="69">
        <f t="shared" si="4"/>
        <v>30392.399999999998</v>
      </c>
      <c r="H41" s="69">
        <f>+[3]Salary_Bdgt!$N$32</f>
        <v>25525</v>
      </c>
      <c r="I41" s="69">
        <f t="shared" si="5"/>
        <v>27567</v>
      </c>
      <c r="J41" s="69">
        <f t="shared" si="5"/>
        <v>29772</v>
      </c>
      <c r="M41" s="57"/>
    </row>
    <row r="42" spans="1:13" x14ac:dyDescent="0.2">
      <c r="A42" s="60">
        <v>1007</v>
      </c>
      <c r="B42" s="70" t="s">
        <v>481</v>
      </c>
      <c r="C42" s="69">
        <v>4359</v>
      </c>
      <c r="D42" s="69">
        <v>8778</v>
      </c>
      <c r="E42" s="69">
        <f>+D42</f>
        <v>8778</v>
      </c>
      <c r="F42" s="69">
        <v>3897</v>
      </c>
      <c r="G42" s="69">
        <f t="shared" si="4"/>
        <v>4676.3999999999996</v>
      </c>
      <c r="H42" s="69">
        <f>+[3]Salary_Bdgt!$I$32</f>
        <v>6733</v>
      </c>
      <c r="I42" s="69">
        <f t="shared" si="5"/>
        <v>7272</v>
      </c>
      <c r="J42" s="69">
        <f t="shared" si="5"/>
        <v>7854</v>
      </c>
      <c r="M42" s="57"/>
    </row>
    <row r="43" spans="1:13" x14ac:dyDescent="0.2">
      <c r="A43" s="60">
        <v>1009</v>
      </c>
      <c r="B43" s="70" t="s">
        <v>482</v>
      </c>
      <c r="C43" s="69">
        <v>262</v>
      </c>
      <c r="D43" s="69">
        <f>[2]Sal_RIA!$M$17</f>
        <v>307</v>
      </c>
      <c r="E43" s="69">
        <f>+D43</f>
        <v>307</v>
      </c>
      <c r="F43" s="69">
        <v>266</v>
      </c>
      <c r="G43" s="69">
        <f t="shared" si="4"/>
        <v>319.20000000000005</v>
      </c>
      <c r="H43" s="69">
        <f>+[3]Salary_Bdgt!$M$32</f>
        <v>270</v>
      </c>
      <c r="I43" s="69">
        <f t="shared" si="5"/>
        <v>292</v>
      </c>
      <c r="J43" s="69">
        <f t="shared" si="5"/>
        <v>315</v>
      </c>
      <c r="M43" s="57"/>
    </row>
    <row r="44" spans="1:13" x14ac:dyDescent="0.2">
      <c r="A44" s="60">
        <v>1010</v>
      </c>
      <c r="B44" s="70" t="s">
        <v>28</v>
      </c>
      <c r="C44" s="69">
        <v>22937</v>
      </c>
      <c r="D44" s="69">
        <v>41906</v>
      </c>
      <c r="E44" s="69">
        <f>+D44</f>
        <v>41906</v>
      </c>
      <c r="F44" s="69">
        <v>35902</v>
      </c>
      <c r="G44" s="69">
        <f t="shared" si="4"/>
        <v>43082.399999999994</v>
      </c>
      <c r="H44" s="69">
        <f>+[3]Salary_Bdgt!$Q$32</f>
        <v>27744</v>
      </c>
      <c r="I44" s="69">
        <f t="shared" si="5"/>
        <v>29964</v>
      </c>
      <c r="J44" s="69">
        <f t="shared" si="5"/>
        <v>32361</v>
      </c>
      <c r="M44" s="57"/>
    </row>
    <row r="45" spans="1:13" x14ac:dyDescent="0.2">
      <c r="A45" s="60">
        <v>1011</v>
      </c>
      <c r="B45" s="70" t="s">
        <v>4045</v>
      </c>
      <c r="C45" s="69">
        <v>0</v>
      </c>
      <c r="D45" s="69">
        <v>0</v>
      </c>
      <c r="E45" s="69">
        <v>0</v>
      </c>
      <c r="F45" s="69">
        <v>0</v>
      </c>
      <c r="G45" s="69">
        <f t="shared" si="4"/>
        <v>0</v>
      </c>
      <c r="H45" s="69">
        <f>+[3]Salary_Bdgt!$U$32</f>
        <v>0</v>
      </c>
      <c r="I45" s="69">
        <f t="shared" si="5"/>
        <v>0</v>
      </c>
      <c r="J45" s="69">
        <f t="shared" si="5"/>
        <v>0</v>
      </c>
      <c r="M45" s="57"/>
    </row>
    <row r="46" spans="1:13" x14ac:dyDescent="0.2">
      <c r="A46" s="60">
        <v>1014</v>
      </c>
      <c r="B46" s="70" t="s">
        <v>36</v>
      </c>
      <c r="C46" s="69">
        <v>0</v>
      </c>
      <c r="D46" s="69">
        <v>0</v>
      </c>
      <c r="E46" s="69">
        <v>0</v>
      </c>
      <c r="F46" s="69">
        <v>0</v>
      </c>
      <c r="G46" s="69">
        <f t="shared" si="4"/>
        <v>0</v>
      </c>
      <c r="H46" s="69">
        <f>+[3]Salary_Bdgt!$S$32</f>
        <v>0</v>
      </c>
      <c r="I46" s="69">
        <f t="shared" si="5"/>
        <v>0</v>
      </c>
      <c r="J46" s="69">
        <f t="shared" si="5"/>
        <v>0</v>
      </c>
      <c r="M46" s="57"/>
    </row>
    <row r="47" spans="1:13" x14ac:dyDescent="0.2">
      <c r="A47" s="60">
        <v>1015</v>
      </c>
      <c r="B47" s="70" t="s">
        <v>445</v>
      </c>
      <c r="C47" s="69">
        <v>6400</v>
      </c>
      <c r="D47" s="69">
        <f>[2]Sal_RIA!$O$17+[2]Sal_RIA!$P$17</f>
        <v>0</v>
      </c>
      <c r="E47" s="69">
        <f>+D47</f>
        <v>0</v>
      </c>
      <c r="F47" s="69">
        <v>0</v>
      </c>
      <c r="G47" s="69">
        <f t="shared" si="4"/>
        <v>0</v>
      </c>
      <c r="H47" s="69">
        <f>+[3]Salary_Bdgt!$O$32+[3]Salary_Bdgt!$P$32+[3]Salary_Bdgt!$W$32</f>
        <v>0</v>
      </c>
      <c r="I47" s="69">
        <f t="shared" si="5"/>
        <v>0</v>
      </c>
      <c r="J47" s="69">
        <f t="shared" si="5"/>
        <v>0</v>
      </c>
      <c r="M47" s="57"/>
    </row>
    <row r="48" spans="1:13" x14ac:dyDescent="0.2">
      <c r="A48" s="60">
        <v>1016</v>
      </c>
      <c r="B48" s="70" t="s">
        <v>475</v>
      </c>
      <c r="C48" s="69">
        <v>4500</v>
      </c>
      <c r="D48" s="69">
        <f>[2]Sal_RIA!$U$17</f>
        <v>0</v>
      </c>
      <c r="E48" s="69">
        <f>1200+5371</f>
        <v>6571</v>
      </c>
      <c r="F48" s="69">
        <f>6715+500</f>
        <v>7215</v>
      </c>
      <c r="G48" s="69">
        <f t="shared" si="4"/>
        <v>8658</v>
      </c>
      <c r="H48" s="69">
        <f>+[3]Salary_Bdgt!$T$32+[3]Salary_Bdgt!$V$32</f>
        <v>7497</v>
      </c>
      <c r="I48" s="69">
        <f t="shared" si="5"/>
        <v>8097</v>
      </c>
      <c r="J48" s="69">
        <f t="shared" si="5"/>
        <v>8745</v>
      </c>
      <c r="M48" s="57"/>
    </row>
    <row r="49" spans="1:13" x14ac:dyDescent="0.2">
      <c r="A49" s="60">
        <v>1017</v>
      </c>
      <c r="B49" s="70" t="s">
        <v>4044</v>
      </c>
      <c r="C49" s="69">
        <v>5054</v>
      </c>
      <c r="D49" s="69">
        <v>10407</v>
      </c>
      <c r="E49" s="69">
        <f>+D49</f>
        <v>10407</v>
      </c>
      <c r="F49" s="69">
        <v>2930</v>
      </c>
      <c r="G49" s="69">
        <f t="shared" si="4"/>
        <v>3516</v>
      </c>
      <c r="H49" s="69">
        <f>+[3]Salary_Bdgt!$J$32</f>
        <v>6733</v>
      </c>
      <c r="I49" s="69">
        <f t="shared" si="5"/>
        <v>7272</v>
      </c>
      <c r="J49" s="69">
        <f t="shared" si="5"/>
        <v>7854</v>
      </c>
      <c r="M49" s="57"/>
    </row>
    <row r="50" spans="1:13" x14ac:dyDescent="0.2">
      <c r="A50" s="60">
        <v>1046</v>
      </c>
      <c r="B50" s="70" t="s">
        <v>491</v>
      </c>
      <c r="C50" s="69">
        <v>21200</v>
      </c>
      <c r="D50" s="69">
        <v>34980</v>
      </c>
      <c r="E50" s="69">
        <f>+D50</f>
        <v>34980</v>
      </c>
      <c r="F50" s="69">
        <v>2650</v>
      </c>
      <c r="G50" s="69">
        <f t="shared" si="4"/>
        <v>3180</v>
      </c>
      <c r="H50" s="69">
        <f>+[3]Salary_Bdgt!$R$32</f>
        <v>0</v>
      </c>
      <c r="I50" s="69">
        <f t="shared" si="5"/>
        <v>0</v>
      </c>
      <c r="J50" s="69">
        <f t="shared" si="5"/>
        <v>0</v>
      </c>
      <c r="M50" s="57"/>
    </row>
    <row r="51" spans="1:13" x14ac:dyDescent="0.2">
      <c r="A51" s="60">
        <v>1182</v>
      </c>
      <c r="B51" s="71" t="s">
        <v>1065</v>
      </c>
      <c r="C51" s="56">
        <v>18693</v>
      </c>
      <c r="D51" s="56">
        <v>9679</v>
      </c>
      <c r="E51" s="56">
        <f>+D51</f>
        <v>9679</v>
      </c>
      <c r="F51" s="56">
        <v>0</v>
      </c>
      <c r="G51" s="56">
        <f t="shared" si="4"/>
        <v>0</v>
      </c>
      <c r="H51" s="56">
        <f>+[3]Salary_Bdgt!$K$32</f>
        <v>6262</v>
      </c>
      <c r="I51" s="56">
        <f t="shared" si="5"/>
        <v>6763</v>
      </c>
      <c r="J51" s="56">
        <f t="shared" si="5"/>
        <v>7304</v>
      </c>
      <c r="M51" s="57"/>
    </row>
    <row r="52" spans="1:13" x14ac:dyDescent="0.2">
      <c r="A52" s="60"/>
      <c r="B52" s="58" t="s">
        <v>416</v>
      </c>
      <c r="C52" s="72">
        <f t="shared" ref="C52:J52" si="6">SUM(C39:C51)</f>
        <v>536786</v>
      </c>
      <c r="D52" s="72">
        <f t="shared" si="6"/>
        <v>629048</v>
      </c>
      <c r="E52" s="72">
        <f t="shared" si="6"/>
        <v>629048</v>
      </c>
      <c r="F52" s="72">
        <f t="shared" si="6"/>
        <v>472318</v>
      </c>
      <c r="G52" s="72">
        <f t="shared" si="6"/>
        <v>566781.60000000009</v>
      </c>
      <c r="H52" s="72">
        <f t="shared" si="6"/>
        <v>427180</v>
      </c>
      <c r="I52" s="72">
        <f t="shared" si="6"/>
        <v>461356</v>
      </c>
      <c r="J52" s="72">
        <f t="shared" si="6"/>
        <v>498265</v>
      </c>
      <c r="M52" s="57"/>
    </row>
    <row r="53" spans="1:13" x14ac:dyDescent="0.2">
      <c r="A53" s="60"/>
      <c r="B53" s="58"/>
      <c r="C53" s="72"/>
      <c r="D53" s="72"/>
      <c r="E53" s="72"/>
      <c r="F53" s="24"/>
      <c r="G53" s="24"/>
      <c r="H53" s="24"/>
      <c r="I53" s="72"/>
      <c r="J53" s="72"/>
      <c r="M53" s="57"/>
    </row>
    <row r="54" spans="1:13" x14ac:dyDescent="0.2">
      <c r="A54" s="60"/>
      <c r="B54" s="58" t="s">
        <v>4021</v>
      </c>
      <c r="C54" s="69"/>
      <c r="D54" s="69"/>
      <c r="E54" s="69"/>
      <c r="F54" s="24"/>
      <c r="G54" s="24"/>
      <c r="H54" s="24"/>
      <c r="M54" s="57"/>
    </row>
    <row r="55" spans="1:13" x14ac:dyDescent="0.2">
      <c r="A55" s="60">
        <v>3207</v>
      </c>
      <c r="B55" s="70" t="s">
        <v>4046</v>
      </c>
      <c r="C55" s="69">
        <v>0</v>
      </c>
      <c r="D55" s="69">
        <v>5000</v>
      </c>
      <c r="E55" s="69">
        <f>+D55</f>
        <v>5000</v>
      </c>
      <c r="F55" s="69">
        <v>1535</v>
      </c>
      <c r="G55" s="69">
        <f>F55/$F$11*$G$11</f>
        <v>1842</v>
      </c>
      <c r="H55" s="69">
        <f>ROUND(E55*1.05,0)</f>
        <v>5250</v>
      </c>
      <c r="I55" s="69">
        <f>ROUND(H55*1.06,0)</f>
        <v>5565</v>
      </c>
      <c r="J55" s="69">
        <f>ROUND(I55*1.06,0)</f>
        <v>5899</v>
      </c>
      <c r="M55" s="57"/>
    </row>
    <row r="56" spans="1:13" x14ac:dyDescent="0.2">
      <c r="A56" s="60">
        <v>3215</v>
      </c>
      <c r="B56" s="71" t="s">
        <v>42</v>
      </c>
      <c r="C56" s="56">
        <v>0</v>
      </c>
      <c r="D56" s="56">
        <v>11000</v>
      </c>
      <c r="E56" s="56">
        <f>+D56</f>
        <v>11000</v>
      </c>
      <c r="F56" s="56">
        <v>503</v>
      </c>
      <c r="G56" s="56">
        <f>F56/$F$11*$G$11</f>
        <v>603.59999999999991</v>
      </c>
      <c r="H56" s="56">
        <f>ROUND(E56*1.05,0)</f>
        <v>11550</v>
      </c>
      <c r="I56" s="56">
        <f>ROUND(H56*1.06,0)</f>
        <v>12243</v>
      </c>
      <c r="J56" s="56">
        <f>ROUND(I56*1.06,0)</f>
        <v>12978</v>
      </c>
      <c r="M56" s="57"/>
    </row>
    <row r="57" spans="1:13" x14ac:dyDescent="0.2">
      <c r="A57" s="60"/>
      <c r="B57" s="58" t="s">
        <v>417</v>
      </c>
      <c r="C57" s="72">
        <f>SUM(C55:C56)</f>
        <v>0</v>
      </c>
      <c r="D57" s="72">
        <f t="shared" ref="D57:J57" si="7">SUM(D55:D56)</f>
        <v>16000</v>
      </c>
      <c r="E57" s="72">
        <f t="shared" si="7"/>
        <v>16000</v>
      </c>
      <c r="F57" s="72">
        <f t="shared" si="7"/>
        <v>2038</v>
      </c>
      <c r="G57" s="72">
        <f t="shared" si="7"/>
        <v>2445.6</v>
      </c>
      <c r="H57" s="72">
        <f t="shared" si="7"/>
        <v>16800</v>
      </c>
      <c r="I57" s="72">
        <f t="shared" si="7"/>
        <v>17808</v>
      </c>
      <c r="J57" s="72">
        <f t="shared" si="7"/>
        <v>18877</v>
      </c>
      <c r="M57" s="57"/>
    </row>
    <row r="58" spans="1:13" x14ac:dyDescent="0.2">
      <c r="A58" s="60"/>
      <c r="B58" s="58"/>
      <c r="C58" s="69"/>
      <c r="D58" s="69"/>
      <c r="E58" s="69"/>
      <c r="F58" s="24"/>
      <c r="G58" s="24"/>
      <c r="H58" s="24"/>
      <c r="M58" s="57"/>
    </row>
    <row r="59" spans="1:13" x14ac:dyDescent="0.2">
      <c r="A59" s="60"/>
      <c r="B59" s="58" t="s">
        <v>435</v>
      </c>
      <c r="C59" s="69"/>
      <c r="D59" s="69"/>
      <c r="E59" s="69"/>
      <c r="F59" s="24"/>
      <c r="G59" s="24"/>
      <c r="H59" s="24"/>
      <c r="M59" s="57"/>
    </row>
    <row r="60" spans="1:13" s="9" customFormat="1" x14ac:dyDescent="0.2">
      <c r="A60" s="60">
        <v>2020</v>
      </c>
      <c r="B60" s="70" t="s">
        <v>4047</v>
      </c>
      <c r="C60" s="69">
        <v>0</v>
      </c>
      <c r="D60" s="69">
        <v>30000</v>
      </c>
      <c r="E60" s="69">
        <f>+D60</f>
        <v>30000</v>
      </c>
      <c r="F60" s="69">
        <v>22724</v>
      </c>
      <c r="G60" s="69">
        <f t="shared" ref="G60:G67" si="8">F60/$F$11*$G$11</f>
        <v>27268.800000000003</v>
      </c>
      <c r="H60" s="69">
        <f t="shared" ref="H60:H72" si="9">ROUND(E60*1.05,0)</f>
        <v>31500</v>
      </c>
      <c r="I60" s="69">
        <f t="shared" ref="I60:J79" si="10">ROUND(H60*1.06,0)</f>
        <v>33390</v>
      </c>
      <c r="J60" s="69">
        <f t="shared" si="10"/>
        <v>35393</v>
      </c>
      <c r="M60" s="57"/>
    </row>
    <row r="61" spans="1:13" x14ac:dyDescent="0.2">
      <c r="A61" s="60">
        <v>2113</v>
      </c>
      <c r="B61" s="70" t="s">
        <v>21</v>
      </c>
      <c r="C61" s="69">
        <v>0</v>
      </c>
      <c r="D61" s="69">
        <v>1050</v>
      </c>
      <c r="E61" s="69">
        <f>+D61</f>
        <v>1050</v>
      </c>
      <c r="F61" s="69">
        <v>0</v>
      </c>
      <c r="G61" s="69">
        <f t="shared" si="8"/>
        <v>0</v>
      </c>
      <c r="H61" s="69">
        <f t="shared" si="9"/>
        <v>1103</v>
      </c>
      <c r="I61" s="69">
        <f t="shared" si="10"/>
        <v>1169</v>
      </c>
      <c r="J61" s="69">
        <f t="shared" si="10"/>
        <v>1239</v>
      </c>
      <c r="M61" s="57"/>
    </row>
    <row r="62" spans="1:13" x14ac:dyDescent="0.2">
      <c r="A62" s="60">
        <v>2156</v>
      </c>
      <c r="B62" s="70" t="s">
        <v>4048</v>
      </c>
      <c r="C62" s="69">
        <v>0</v>
      </c>
      <c r="D62" s="69">
        <v>15000</v>
      </c>
      <c r="E62" s="69">
        <f>+D62</f>
        <v>15000</v>
      </c>
      <c r="F62" s="69">
        <v>800</v>
      </c>
      <c r="G62" s="69">
        <f t="shared" si="8"/>
        <v>960</v>
      </c>
      <c r="H62" s="69">
        <f t="shared" si="9"/>
        <v>15750</v>
      </c>
      <c r="I62" s="69">
        <f t="shared" si="10"/>
        <v>16695</v>
      </c>
      <c r="J62" s="69">
        <f t="shared" si="10"/>
        <v>17697</v>
      </c>
      <c r="M62" s="57"/>
    </row>
    <row r="63" spans="1:13" x14ac:dyDescent="0.2">
      <c r="A63" s="60">
        <v>2202</v>
      </c>
      <c r="B63" s="70" t="s">
        <v>2420</v>
      </c>
      <c r="C63" s="69">
        <v>183370</v>
      </c>
      <c r="D63" s="69">
        <v>384000</v>
      </c>
      <c r="E63" s="69">
        <f>+D63</f>
        <v>384000</v>
      </c>
      <c r="F63" s="69">
        <v>414023</v>
      </c>
      <c r="G63" s="69">
        <f t="shared" si="8"/>
        <v>496827.60000000003</v>
      </c>
      <c r="H63" s="69">
        <f t="shared" si="9"/>
        <v>403200</v>
      </c>
      <c r="I63" s="69">
        <f t="shared" si="10"/>
        <v>427392</v>
      </c>
      <c r="J63" s="69">
        <f t="shared" si="10"/>
        <v>453036</v>
      </c>
      <c r="M63" s="57"/>
    </row>
    <row r="64" spans="1:13" x14ac:dyDescent="0.2">
      <c r="A64" s="60">
        <v>2204</v>
      </c>
      <c r="B64" s="70" t="s">
        <v>476</v>
      </c>
      <c r="C64" s="69">
        <v>94563</v>
      </c>
      <c r="D64" s="69">
        <v>50000</v>
      </c>
      <c r="E64" s="69">
        <f>+D64-14237</f>
        <v>35763</v>
      </c>
      <c r="F64" s="69">
        <v>22320</v>
      </c>
      <c r="G64" s="69">
        <f t="shared" si="8"/>
        <v>26784</v>
      </c>
      <c r="H64" s="69">
        <f t="shared" si="9"/>
        <v>37551</v>
      </c>
      <c r="I64" s="69">
        <f t="shared" si="10"/>
        <v>39804</v>
      </c>
      <c r="J64" s="69">
        <f t="shared" si="10"/>
        <v>42192</v>
      </c>
      <c r="M64" s="57"/>
    </row>
    <row r="65" spans="1:13" x14ac:dyDescent="0.2">
      <c r="A65" s="60">
        <v>2210</v>
      </c>
      <c r="B65" s="70" t="s">
        <v>4049</v>
      </c>
      <c r="C65" s="69">
        <v>36700</v>
      </c>
      <c r="D65" s="69">
        <v>34000</v>
      </c>
      <c r="E65" s="69">
        <f>+D65</f>
        <v>34000</v>
      </c>
      <c r="F65" s="69">
        <v>40340</v>
      </c>
      <c r="G65" s="69">
        <f t="shared" si="8"/>
        <v>48408</v>
      </c>
      <c r="H65" s="69">
        <f t="shared" si="9"/>
        <v>35700</v>
      </c>
      <c r="I65" s="69">
        <f t="shared" si="10"/>
        <v>37842</v>
      </c>
      <c r="J65" s="69">
        <f t="shared" si="10"/>
        <v>40113</v>
      </c>
      <c r="M65" s="57"/>
    </row>
    <row r="66" spans="1:13" x14ac:dyDescent="0.2">
      <c r="A66" s="60">
        <v>2211</v>
      </c>
      <c r="B66" s="70" t="s">
        <v>4050</v>
      </c>
      <c r="C66" s="69">
        <v>3300</v>
      </c>
      <c r="D66" s="69">
        <v>20000</v>
      </c>
      <c r="E66" s="69">
        <f>+D66</f>
        <v>20000</v>
      </c>
      <c r="F66" s="69">
        <v>16960</v>
      </c>
      <c r="G66" s="69">
        <f t="shared" si="8"/>
        <v>20352</v>
      </c>
      <c r="H66" s="69">
        <f t="shared" si="9"/>
        <v>21000</v>
      </c>
      <c r="I66" s="69">
        <f t="shared" si="10"/>
        <v>22260</v>
      </c>
      <c r="J66" s="69">
        <f t="shared" si="10"/>
        <v>23596</v>
      </c>
      <c r="M66" s="57"/>
    </row>
    <row r="67" spans="1:13" x14ac:dyDescent="0.2">
      <c r="A67" s="60">
        <v>2212</v>
      </c>
      <c r="B67" s="70" t="s">
        <v>488</v>
      </c>
      <c r="C67" s="69">
        <v>0</v>
      </c>
      <c r="D67" s="69">
        <v>1050</v>
      </c>
      <c r="E67" s="69">
        <f>+D67</f>
        <v>1050</v>
      </c>
      <c r="F67" s="69">
        <v>0</v>
      </c>
      <c r="G67" s="69">
        <f t="shared" si="8"/>
        <v>0</v>
      </c>
      <c r="H67" s="69">
        <f t="shared" si="9"/>
        <v>1103</v>
      </c>
      <c r="I67" s="69">
        <f t="shared" si="10"/>
        <v>1169</v>
      </c>
      <c r="J67" s="69">
        <f t="shared" si="10"/>
        <v>1239</v>
      </c>
      <c r="M67" s="57"/>
    </row>
    <row r="68" spans="1:13" x14ac:dyDescent="0.2">
      <c r="A68" s="60">
        <v>2224</v>
      </c>
      <c r="B68" s="70" t="s">
        <v>2954</v>
      </c>
      <c r="C68" s="69">
        <v>0</v>
      </c>
      <c r="D68" s="69">
        <v>300</v>
      </c>
      <c r="E68" s="69">
        <f>+D68</f>
        <v>300</v>
      </c>
      <c r="F68" s="69">
        <v>0</v>
      </c>
      <c r="G68" s="69">
        <f>F68</f>
        <v>0</v>
      </c>
      <c r="H68" s="69">
        <f t="shared" si="9"/>
        <v>315</v>
      </c>
      <c r="I68" s="69">
        <f t="shared" si="10"/>
        <v>334</v>
      </c>
      <c r="J68" s="69">
        <f t="shared" si="10"/>
        <v>354</v>
      </c>
      <c r="M68" s="57"/>
    </row>
    <row r="69" spans="1:13" x14ac:dyDescent="0.2">
      <c r="A69" s="60">
        <v>2225</v>
      </c>
      <c r="B69" s="70" t="s">
        <v>477</v>
      </c>
      <c r="C69" s="69">
        <v>0</v>
      </c>
      <c r="D69" s="69">
        <v>1050</v>
      </c>
      <c r="E69" s="69">
        <f>+D69-740</f>
        <v>310</v>
      </c>
      <c r="F69" s="69">
        <v>0</v>
      </c>
      <c r="G69" s="69">
        <f t="shared" ref="G69:G78" si="11">F69/$F$11*$G$11</f>
        <v>0</v>
      </c>
      <c r="H69" s="69">
        <f t="shared" si="9"/>
        <v>326</v>
      </c>
      <c r="I69" s="69">
        <f t="shared" si="10"/>
        <v>346</v>
      </c>
      <c r="J69" s="69">
        <f t="shared" si="10"/>
        <v>367</v>
      </c>
      <c r="M69" s="57"/>
    </row>
    <row r="70" spans="1:13" x14ac:dyDescent="0.2">
      <c r="A70" s="60">
        <v>2226</v>
      </c>
      <c r="B70" s="70" t="s">
        <v>4051</v>
      </c>
      <c r="C70" s="69">
        <v>0</v>
      </c>
      <c r="D70" s="69">
        <v>120000</v>
      </c>
      <c r="E70" s="69">
        <f>+D70</f>
        <v>120000</v>
      </c>
      <c r="F70" s="69">
        <v>0</v>
      </c>
      <c r="G70" s="69">
        <f t="shared" si="11"/>
        <v>0</v>
      </c>
      <c r="H70" s="69">
        <f t="shared" si="9"/>
        <v>126000</v>
      </c>
      <c r="I70" s="69">
        <f t="shared" si="10"/>
        <v>133560</v>
      </c>
      <c r="J70" s="69">
        <f t="shared" si="10"/>
        <v>141574</v>
      </c>
      <c r="M70" s="57"/>
    </row>
    <row r="71" spans="1:13" x14ac:dyDescent="0.2">
      <c r="A71" s="60">
        <v>2227</v>
      </c>
      <c r="B71" s="70" t="s">
        <v>448</v>
      </c>
      <c r="C71" s="69">
        <v>397</v>
      </c>
      <c r="D71" s="69">
        <v>5250</v>
      </c>
      <c r="E71" s="69">
        <f>+D71</f>
        <v>5250</v>
      </c>
      <c r="F71" s="69">
        <v>0</v>
      </c>
      <c r="G71" s="69">
        <f t="shared" si="11"/>
        <v>0</v>
      </c>
      <c r="H71" s="69">
        <f t="shared" si="9"/>
        <v>5513</v>
      </c>
      <c r="I71" s="69">
        <f t="shared" si="10"/>
        <v>5844</v>
      </c>
      <c r="J71" s="69">
        <f t="shared" si="10"/>
        <v>6195</v>
      </c>
      <c r="M71" s="57"/>
    </row>
    <row r="72" spans="1:13" x14ac:dyDescent="0.2">
      <c r="A72" s="60">
        <v>2231</v>
      </c>
      <c r="B72" s="70" t="s">
        <v>478</v>
      </c>
      <c r="C72" s="69">
        <v>45265</v>
      </c>
      <c r="D72" s="69">
        <v>21000</v>
      </c>
      <c r="E72" s="69">
        <f>+D72+14237</f>
        <v>35237</v>
      </c>
      <c r="F72" s="69">
        <v>25240</v>
      </c>
      <c r="G72" s="69">
        <f t="shared" si="11"/>
        <v>30288</v>
      </c>
      <c r="H72" s="69">
        <f t="shared" si="9"/>
        <v>36999</v>
      </c>
      <c r="I72" s="69">
        <f t="shared" si="10"/>
        <v>39219</v>
      </c>
      <c r="J72" s="69">
        <f t="shared" si="10"/>
        <v>41572</v>
      </c>
      <c r="M72" s="57"/>
    </row>
    <row r="73" spans="1:13" x14ac:dyDescent="0.2">
      <c r="A73" s="60">
        <v>2233</v>
      </c>
      <c r="B73" s="70" t="s">
        <v>497</v>
      </c>
      <c r="C73" s="69">
        <v>30750</v>
      </c>
      <c r="D73" s="69">
        <v>84000</v>
      </c>
      <c r="E73" s="69">
        <f>+D73</f>
        <v>84000</v>
      </c>
      <c r="F73" s="69">
        <v>0</v>
      </c>
      <c r="G73" s="69">
        <f t="shared" si="11"/>
        <v>0</v>
      </c>
      <c r="H73" s="69">
        <v>0</v>
      </c>
      <c r="I73" s="69">
        <f t="shared" si="10"/>
        <v>0</v>
      </c>
      <c r="J73" s="69">
        <f t="shared" si="10"/>
        <v>0</v>
      </c>
      <c r="M73" s="57"/>
    </row>
    <row r="74" spans="1:13" x14ac:dyDescent="0.2">
      <c r="A74" s="60">
        <v>2238</v>
      </c>
      <c r="B74" s="70" t="s">
        <v>479</v>
      </c>
      <c r="C74" s="69">
        <v>172764</v>
      </c>
      <c r="D74" s="69">
        <v>105000</v>
      </c>
      <c r="E74" s="69">
        <f>+D74+100000</f>
        <v>205000</v>
      </c>
      <c r="F74" s="69">
        <v>204720</v>
      </c>
      <c r="G74" s="69">
        <f t="shared" si="11"/>
        <v>245664</v>
      </c>
      <c r="H74" s="69">
        <f t="shared" ref="H74:H79" si="12">ROUND(E74*1.05,0)</f>
        <v>215250</v>
      </c>
      <c r="I74" s="69">
        <f t="shared" si="10"/>
        <v>228165</v>
      </c>
      <c r="J74" s="69">
        <f t="shared" si="10"/>
        <v>241855</v>
      </c>
      <c r="M74" s="57"/>
    </row>
    <row r="75" spans="1:13" x14ac:dyDescent="0.2">
      <c r="A75" s="60">
        <v>2246</v>
      </c>
      <c r="B75" s="70" t="s">
        <v>2422</v>
      </c>
      <c r="C75" s="69">
        <v>53752</v>
      </c>
      <c r="D75" s="69">
        <v>47250</v>
      </c>
      <c r="E75" s="69">
        <f>+D75+740</f>
        <v>47990</v>
      </c>
      <c r="F75" s="69">
        <v>39527</v>
      </c>
      <c r="G75" s="69">
        <f t="shared" si="11"/>
        <v>47432.399999999994</v>
      </c>
      <c r="H75" s="69">
        <f t="shared" si="12"/>
        <v>50390</v>
      </c>
      <c r="I75" s="69">
        <f t="shared" si="10"/>
        <v>53413</v>
      </c>
      <c r="J75" s="69">
        <f t="shared" si="10"/>
        <v>56618</v>
      </c>
      <c r="M75" s="57"/>
    </row>
    <row r="76" spans="1:13" x14ac:dyDescent="0.2">
      <c r="A76" s="60">
        <v>2254</v>
      </c>
      <c r="B76" s="70" t="s">
        <v>4053</v>
      </c>
      <c r="C76" s="69">
        <v>886</v>
      </c>
      <c r="D76" s="69">
        <v>1050</v>
      </c>
      <c r="E76" s="69">
        <f>+D76</f>
        <v>1050</v>
      </c>
      <c r="F76" s="69">
        <v>967</v>
      </c>
      <c r="G76" s="69">
        <f t="shared" si="11"/>
        <v>1160.4000000000001</v>
      </c>
      <c r="H76" s="69">
        <f t="shared" si="12"/>
        <v>1103</v>
      </c>
      <c r="I76" s="69">
        <f t="shared" si="10"/>
        <v>1169</v>
      </c>
      <c r="J76" s="69">
        <f t="shared" si="10"/>
        <v>1239</v>
      </c>
      <c r="M76" s="57"/>
    </row>
    <row r="77" spans="1:13" x14ac:dyDescent="0.2">
      <c r="A77" s="60">
        <v>2256</v>
      </c>
      <c r="B77" s="70" t="s">
        <v>4054</v>
      </c>
      <c r="C77" s="69">
        <v>74358</v>
      </c>
      <c r="D77" s="69">
        <f>ROUND(3600*7.44*1.4,0)</f>
        <v>37498</v>
      </c>
      <c r="E77" s="69">
        <f>+D77</f>
        <v>37498</v>
      </c>
      <c r="F77" s="69">
        <v>1869</v>
      </c>
      <c r="G77" s="69">
        <f t="shared" si="11"/>
        <v>2242.8000000000002</v>
      </c>
      <c r="H77" s="69">
        <f t="shared" si="12"/>
        <v>39373</v>
      </c>
      <c r="I77" s="69">
        <f t="shared" si="10"/>
        <v>41735</v>
      </c>
      <c r="J77" s="69">
        <f t="shared" si="10"/>
        <v>44239</v>
      </c>
      <c r="M77" s="57"/>
    </row>
    <row r="78" spans="1:13" x14ac:dyDescent="0.2">
      <c r="A78" s="60">
        <v>2305</v>
      </c>
      <c r="B78" s="70" t="s">
        <v>31</v>
      </c>
      <c r="C78" s="69">
        <v>439</v>
      </c>
      <c r="D78" s="69">
        <v>1050</v>
      </c>
      <c r="E78" s="69">
        <f>+D78</f>
        <v>1050</v>
      </c>
      <c r="F78" s="69">
        <v>1365</v>
      </c>
      <c r="G78" s="69">
        <f t="shared" si="11"/>
        <v>1638</v>
      </c>
      <c r="H78" s="69">
        <f t="shared" si="12"/>
        <v>1103</v>
      </c>
      <c r="I78" s="69">
        <f t="shared" si="10"/>
        <v>1169</v>
      </c>
      <c r="J78" s="69">
        <f t="shared" si="10"/>
        <v>1239</v>
      </c>
      <c r="M78" s="57"/>
    </row>
    <row r="79" spans="1:13" x14ac:dyDescent="0.2">
      <c r="A79" s="60">
        <v>2502</v>
      </c>
      <c r="B79" s="71" t="s">
        <v>1060</v>
      </c>
      <c r="C79" s="56">
        <v>35550</v>
      </c>
      <c r="D79" s="56">
        <v>0</v>
      </c>
      <c r="E79" s="56">
        <v>0</v>
      </c>
      <c r="F79" s="56">
        <v>0</v>
      </c>
      <c r="G79" s="56">
        <v>0</v>
      </c>
      <c r="H79" s="56">
        <f t="shared" si="12"/>
        <v>0</v>
      </c>
      <c r="I79" s="56">
        <f t="shared" si="10"/>
        <v>0</v>
      </c>
      <c r="J79" s="56">
        <f t="shared" si="10"/>
        <v>0</v>
      </c>
      <c r="M79" s="57"/>
    </row>
    <row r="80" spans="1:13" x14ac:dyDescent="0.2">
      <c r="A80" s="41"/>
      <c r="B80" s="58" t="s">
        <v>436</v>
      </c>
      <c r="C80" s="72">
        <f t="shared" ref="C80:J80" si="13">SUM(C60:C79)</f>
        <v>732094</v>
      </c>
      <c r="D80" s="72">
        <f t="shared" si="13"/>
        <v>958548</v>
      </c>
      <c r="E80" s="72">
        <f t="shared" si="13"/>
        <v>1058548</v>
      </c>
      <c r="F80" s="72">
        <f t="shared" si="13"/>
        <v>790855</v>
      </c>
      <c r="G80" s="72">
        <f t="shared" si="13"/>
        <v>949026.00000000012</v>
      </c>
      <c r="H80" s="72">
        <f t="shared" si="13"/>
        <v>1023279</v>
      </c>
      <c r="I80" s="72">
        <f t="shared" si="13"/>
        <v>1084675</v>
      </c>
      <c r="J80" s="72">
        <f t="shared" si="13"/>
        <v>1149757</v>
      </c>
      <c r="M80" s="57"/>
    </row>
    <row r="81" spans="1:13" x14ac:dyDescent="0.2">
      <c r="A81" s="60"/>
      <c r="B81" s="58"/>
      <c r="C81" s="72"/>
      <c r="D81" s="72"/>
      <c r="E81" s="72"/>
      <c r="F81" s="72"/>
      <c r="G81" s="72"/>
      <c r="H81" s="72"/>
      <c r="I81" s="72"/>
      <c r="J81" s="72"/>
      <c r="M81" s="57"/>
    </row>
    <row r="82" spans="1:13" x14ac:dyDescent="0.2">
      <c r="A82" s="64"/>
      <c r="B82" s="58" t="s">
        <v>4055</v>
      </c>
      <c r="C82" s="73">
        <f t="shared" ref="C82:J82" si="14">C36+C57+C80+C52</f>
        <v>2983319</v>
      </c>
      <c r="D82" s="73">
        <f t="shared" si="14"/>
        <v>3609633</v>
      </c>
      <c r="E82" s="73">
        <f t="shared" si="14"/>
        <v>3709633</v>
      </c>
      <c r="F82" s="73">
        <f t="shared" si="14"/>
        <v>2878527</v>
      </c>
      <c r="G82" s="73">
        <f t="shared" si="14"/>
        <v>3454232.4000000004</v>
      </c>
      <c r="H82" s="73">
        <f t="shared" si="14"/>
        <v>3642159</v>
      </c>
      <c r="I82" s="73">
        <f t="shared" si="14"/>
        <v>3912732</v>
      </c>
      <c r="J82" s="73">
        <f t="shared" si="14"/>
        <v>4203704</v>
      </c>
      <c r="M82" s="57"/>
    </row>
    <row r="83" spans="1:13" x14ac:dyDescent="0.2">
      <c r="A83" s="64"/>
      <c r="B83" s="58"/>
      <c r="C83" s="73"/>
      <c r="D83" s="73"/>
      <c r="E83" s="73"/>
      <c r="F83" s="24"/>
      <c r="G83" s="24"/>
      <c r="H83" s="24"/>
      <c r="I83" s="73"/>
      <c r="J83" s="73"/>
      <c r="M83" s="57"/>
    </row>
    <row r="84" spans="1:13" x14ac:dyDescent="0.2">
      <c r="A84" s="64"/>
      <c r="B84" s="58"/>
      <c r="C84" s="73"/>
      <c r="D84" s="73"/>
      <c r="E84" s="73"/>
      <c r="F84" s="24"/>
      <c r="G84" s="24"/>
      <c r="H84" s="24"/>
      <c r="I84" s="73"/>
      <c r="J84" s="73"/>
      <c r="M84" s="57"/>
    </row>
    <row r="85" spans="1:13" x14ac:dyDescent="0.2">
      <c r="F85" s="24"/>
      <c r="G85" s="24"/>
      <c r="H85" s="24"/>
      <c r="M85" s="57"/>
    </row>
    <row r="86" spans="1:13" x14ac:dyDescent="0.2">
      <c r="A86" s="74"/>
      <c r="B86" s="74"/>
      <c r="C86" s="74"/>
      <c r="D86" s="74"/>
      <c r="E86" s="74"/>
      <c r="F86" s="24"/>
      <c r="G86" s="24"/>
      <c r="H86" s="24"/>
      <c r="I86" s="74"/>
      <c r="J86" s="74"/>
      <c r="M86" s="57"/>
    </row>
    <row r="87" spans="1:13" x14ac:dyDescent="0.2">
      <c r="A87" s="74"/>
      <c r="B87" s="74"/>
      <c r="C87" s="74"/>
      <c r="D87" s="74"/>
      <c r="E87" s="74"/>
      <c r="F87" s="24"/>
      <c r="G87" s="24"/>
      <c r="H87" s="24"/>
      <c r="I87" s="74"/>
      <c r="J87" s="74"/>
      <c r="M87" s="57"/>
    </row>
    <row r="88" spans="1:13" x14ac:dyDescent="0.2">
      <c r="A88" s="74"/>
      <c r="B88" s="74"/>
      <c r="C88" s="74"/>
      <c r="D88" s="74"/>
      <c r="E88" s="74"/>
      <c r="F88" s="24"/>
      <c r="G88" s="24"/>
      <c r="H88" s="24"/>
      <c r="I88" s="74"/>
      <c r="J88" s="74"/>
      <c r="M88" s="57"/>
    </row>
    <row r="89" spans="1:13" x14ac:dyDescent="0.2">
      <c r="A89" s="74"/>
      <c r="B89" s="74"/>
      <c r="C89" s="74"/>
      <c r="D89" s="74"/>
      <c r="E89" s="74"/>
      <c r="F89" s="24"/>
      <c r="G89" s="24"/>
      <c r="H89" s="24"/>
      <c r="I89" s="74"/>
      <c r="J89" s="74"/>
      <c r="M89" s="57"/>
    </row>
    <row r="90" spans="1:13" ht="15" x14ac:dyDescent="0.25">
      <c r="A90" s="47">
        <v>1010</v>
      </c>
      <c r="B90" s="48" t="s">
        <v>4057</v>
      </c>
      <c r="C90" s="73"/>
      <c r="D90" s="73"/>
      <c r="E90" s="73"/>
      <c r="F90" s="24"/>
      <c r="G90" s="24"/>
      <c r="H90" s="24"/>
      <c r="I90" s="73"/>
      <c r="J90" s="73"/>
      <c r="M90" s="57"/>
    </row>
    <row r="91" spans="1:13" x14ac:dyDescent="0.2">
      <c r="A91" s="64"/>
      <c r="B91" s="58"/>
      <c r="C91" s="73"/>
      <c r="D91" s="73"/>
      <c r="E91" s="73"/>
      <c r="F91" s="24"/>
      <c r="G91" s="24"/>
      <c r="H91" s="24"/>
      <c r="I91" s="73"/>
      <c r="J91" s="73"/>
      <c r="M91" s="57"/>
    </row>
    <row r="92" spans="1:13" x14ac:dyDescent="0.2">
      <c r="A92" s="75"/>
      <c r="B92" s="58" t="s">
        <v>418</v>
      </c>
      <c r="C92" s="69"/>
      <c r="D92" s="69"/>
      <c r="E92" s="69"/>
      <c r="F92" s="24"/>
      <c r="G92" s="24"/>
      <c r="H92" s="24"/>
      <c r="I92" s="69"/>
      <c r="J92" s="69"/>
      <c r="M92" s="57"/>
    </row>
    <row r="93" spans="1:13" x14ac:dyDescent="0.2">
      <c r="A93" s="75">
        <v>4106</v>
      </c>
      <c r="B93" s="70" t="s">
        <v>1061</v>
      </c>
      <c r="C93" s="69">
        <v>25711</v>
      </c>
      <c r="D93" s="69">
        <v>0</v>
      </c>
      <c r="E93" s="69">
        <v>0</v>
      </c>
      <c r="F93" s="69">
        <v>0</v>
      </c>
      <c r="G93" s="69">
        <v>0</v>
      </c>
      <c r="H93" s="69">
        <v>0</v>
      </c>
      <c r="I93" s="69">
        <v>0</v>
      </c>
      <c r="J93" s="69">
        <v>0</v>
      </c>
      <c r="M93" s="57"/>
    </row>
    <row r="94" spans="1:13" x14ac:dyDescent="0.2">
      <c r="A94" s="75">
        <v>4204</v>
      </c>
      <c r="B94" s="70" t="s">
        <v>4058</v>
      </c>
      <c r="C94" s="69">
        <v>16828</v>
      </c>
      <c r="D94" s="69">
        <v>13405</v>
      </c>
      <c r="E94" s="69">
        <v>13405</v>
      </c>
      <c r="F94" s="69">
        <f>1117.08333333333*5</f>
        <v>5585.4166666666661</v>
      </c>
      <c r="G94" s="69">
        <f>F94/$F$11*$G$11</f>
        <v>6702.5</v>
      </c>
      <c r="H94" s="69">
        <f>ROUND(E94*1.08,0)</f>
        <v>14477</v>
      </c>
      <c r="I94" s="69">
        <f>ROUND(D94*1.08,0)</f>
        <v>14477</v>
      </c>
      <c r="J94" s="69">
        <f>ROUND(I94*1.08,0)</f>
        <v>15635</v>
      </c>
      <c r="M94" s="57"/>
    </row>
    <row r="95" spans="1:13" x14ac:dyDescent="0.2">
      <c r="A95" s="75">
        <v>4207</v>
      </c>
      <c r="B95" s="70" t="s">
        <v>222</v>
      </c>
      <c r="C95" s="69">
        <v>25304</v>
      </c>
      <c r="D95" s="69">
        <v>6838</v>
      </c>
      <c r="E95" s="69">
        <v>6838</v>
      </c>
      <c r="F95" s="69">
        <f>569.833333333333*5</f>
        <v>2849.166666666667</v>
      </c>
      <c r="G95" s="69">
        <f>F95/$F$11*$G$11</f>
        <v>3419</v>
      </c>
      <c r="H95" s="69">
        <f>ROUND(E95*1.08,0)</f>
        <v>7385</v>
      </c>
      <c r="I95" s="69">
        <f>ROUND(D95*1.08,0)</f>
        <v>7385</v>
      </c>
      <c r="J95" s="69">
        <f>ROUND(I95*1.08,0)</f>
        <v>7976</v>
      </c>
      <c r="M95" s="57"/>
    </row>
    <row r="96" spans="1:13" x14ac:dyDescent="0.2">
      <c r="A96" s="75">
        <v>4209</v>
      </c>
      <c r="B96" s="71" t="s">
        <v>1062</v>
      </c>
      <c r="C96" s="56">
        <v>723</v>
      </c>
      <c r="D96" s="56">
        <v>0</v>
      </c>
      <c r="E96" s="56">
        <v>0</v>
      </c>
      <c r="F96" s="56">
        <v>0</v>
      </c>
      <c r="G96" s="56">
        <v>0</v>
      </c>
      <c r="H96" s="56">
        <v>0</v>
      </c>
      <c r="I96" s="56">
        <v>0</v>
      </c>
      <c r="J96" s="56">
        <v>0</v>
      </c>
      <c r="M96" s="57"/>
    </row>
    <row r="97" spans="1:13" x14ac:dyDescent="0.2">
      <c r="A97" s="75"/>
      <c r="B97" s="58" t="s">
        <v>419</v>
      </c>
      <c r="C97" s="59">
        <f t="shared" ref="C97:J97" si="15">SUM(C93:C96)</f>
        <v>68566</v>
      </c>
      <c r="D97" s="59">
        <f t="shared" si="15"/>
        <v>20243</v>
      </c>
      <c r="E97" s="59">
        <f t="shared" si="15"/>
        <v>20243</v>
      </c>
      <c r="F97" s="59">
        <f t="shared" si="15"/>
        <v>8434.5833333333321</v>
      </c>
      <c r="G97" s="59">
        <f t="shared" si="15"/>
        <v>10121.5</v>
      </c>
      <c r="H97" s="59">
        <f t="shared" si="15"/>
        <v>21862</v>
      </c>
      <c r="I97" s="59">
        <f t="shared" si="15"/>
        <v>21862</v>
      </c>
      <c r="J97" s="59">
        <f t="shared" si="15"/>
        <v>23611</v>
      </c>
      <c r="M97" s="57"/>
    </row>
    <row r="98" spans="1:13" x14ac:dyDescent="0.2">
      <c r="A98" s="64"/>
      <c r="B98" s="58"/>
      <c r="C98" s="73"/>
      <c r="D98" s="73"/>
      <c r="E98" s="73"/>
      <c r="F98" s="24"/>
      <c r="G98" s="24"/>
      <c r="H98" s="24"/>
      <c r="I98" s="73"/>
      <c r="J98" s="73"/>
      <c r="M98" s="57"/>
    </row>
    <row r="99" spans="1:13" ht="13.5" thickBot="1" x14ac:dyDescent="0.25">
      <c r="A99" s="64"/>
      <c r="B99" s="65" t="s">
        <v>4033</v>
      </c>
      <c r="C99" s="76">
        <f t="shared" ref="C99:J99" si="16">C82+C97</f>
        <v>3051885</v>
      </c>
      <c r="D99" s="76">
        <f t="shared" si="16"/>
        <v>3629876</v>
      </c>
      <c r="E99" s="76">
        <f t="shared" si="16"/>
        <v>3729876</v>
      </c>
      <c r="F99" s="76">
        <f t="shared" si="16"/>
        <v>2886961.5833333335</v>
      </c>
      <c r="G99" s="76">
        <f t="shared" si="16"/>
        <v>3464353.9000000004</v>
      </c>
      <c r="H99" s="76">
        <f t="shared" si="16"/>
        <v>3664021</v>
      </c>
      <c r="I99" s="76">
        <f t="shared" si="16"/>
        <v>3934594</v>
      </c>
      <c r="J99" s="76">
        <f t="shared" si="16"/>
        <v>4227315</v>
      </c>
      <c r="M99" s="57"/>
    </row>
    <row r="100" spans="1:13" ht="13.5" thickTop="1" x14ac:dyDescent="0.2">
      <c r="A100" s="64"/>
      <c r="B100" s="58"/>
      <c r="C100" s="72"/>
      <c r="D100" s="72"/>
      <c r="E100" s="72"/>
      <c r="F100" s="72"/>
      <c r="G100" s="72"/>
      <c r="H100" s="72"/>
      <c r="I100" s="72"/>
      <c r="J100" s="72"/>
      <c r="M100" s="57"/>
    </row>
    <row r="101" spans="1:13" ht="13.5" thickBot="1" x14ac:dyDescent="0.25">
      <c r="A101" s="67"/>
      <c r="B101" s="65" t="s">
        <v>4059</v>
      </c>
      <c r="C101" s="77">
        <f t="shared" ref="C101:J101" si="17">C24-C99</f>
        <v>-2486635</v>
      </c>
      <c r="D101" s="77">
        <f t="shared" si="17"/>
        <v>-3042876</v>
      </c>
      <c r="E101" s="77">
        <f t="shared" si="17"/>
        <v>-3142876</v>
      </c>
      <c r="F101" s="77">
        <f t="shared" si="17"/>
        <v>-2299961.5833333335</v>
      </c>
      <c r="G101" s="77">
        <f t="shared" si="17"/>
        <v>-2877353.9000000004</v>
      </c>
      <c r="H101" s="77">
        <f t="shared" si="17"/>
        <v>-3011021</v>
      </c>
      <c r="I101" s="77">
        <f t="shared" si="17"/>
        <v>-3239594</v>
      </c>
      <c r="J101" s="77">
        <f t="shared" si="17"/>
        <v>-3498315</v>
      </c>
      <c r="M101" s="57"/>
    </row>
    <row r="102" spans="1:13" ht="13.5" thickTop="1" x14ac:dyDescent="0.2">
      <c r="A102" s="67"/>
      <c r="B102" s="58"/>
      <c r="C102" s="78"/>
      <c r="D102" s="78"/>
      <c r="E102" s="78"/>
      <c r="F102" s="24"/>
      <c r="G102" s="24"/>
      <c r="H102" s="24"/>
      <c r="I102" s="78"/>
      <c r="J102" s="78"/>
      <c r="M102" s="57"/>
    </row>
    <row r="103" spans="1:13" x14ac:dyDescent="0.2">
      <c r="A103" s="79"/>
      <c r="B103" s="80"/>
      <c r="C103" s="45"/>
      <c r="D103" s="45"/>
      <c r="E103" s="45"/>
      <c r="F103" s="24"/>
      <c r="G103" s="24"/>
      <c r="H103" s="24"/>
      <c r="M103" s="57"/>
    </row>
    <row r="104" spans="1:13" x14ac:dyDescent="0.2">
      <c r="A104" s="79"/>
      <c r="B104" s="80"/>
      <c r="C104" s="45"/>
      <c r="D104" s="45"/>
      <c r="E104" s="45"/>
      <c r="F104" s="24"/>
      <c r="G104" s="24"/>
      <c r="H104" s="24"/>
      <c r="M104" s="57"/>
    </row>
    <row r="105" spans="1:13" x14ac:dyDescent="0.2">
      <c r="A105" s="79"/>
      <c r="B105" s="80"/>
      <c r="C105" s="45"/>
      <c r="D105" s="45"/>
      <c r="E105" s="45"/>
      <c r="F105" s="24"/>
      <c r="G105" s="24"/>
      <c r="H105" s="24"/>
      <c r="M105" s="57"/>
    </row>
    <row r="106" spans="1:13" x14ac:dyDescent="0.2">
      <c r="A106" s="79"/>
      <c r="B106" s="80"/>
      <c r="C106" s="45"/>
      <c r="D106" s="45"/>
      <c r="E106" s="45"/>
      <c r="F106" s="24"/>
      <c r="G106" s="24"/>
      <c r="H106" s="24"/>
      <c r="M106" s="57"/>
    </row>
    <row r="107" spans="1:13" x14ac:dyDescent="0.2">
      <c r="A107" s="79"/>
      <c r="B107" s="80"/>
      <c r="C107" s="45"/>
      <c r="D107" s="45"/>
      <c r="E107" s="45"/>
      <c r="F107" s="24"/>
      <c r="G107" s="24"/>
      <c r="H107" s="24"/>
      <c r="M107" s="57"/>
    </row>
    <row r="108" spans="1:13" x14ac:dyDescent="0.2">
      <c r="A108" s="79"/>
      <c r="B108" s="80"/>
      <c r="C108" s="45"/>
      <c r="D108" s="45"/>
      <c r="E108" s="45"/>
      <c r="F108" s="24"/>
      <c r="G108" s="24"/>
      <c r="H108" s="24"/>
      <c r="M108" s="57"/>
    </row>
    <row r="109" spans="1:13" x14ac:dyDescent="0.2">
      <c r="A109" s="79"/>
      <c r="B109" s="80"/>
      <c r="C109" s="45"/>
      <c r="D109" s="45"/>
      <c r="E109" s="45"/>
      <c r="F109" s="24"/>
      <c r="G109" s="24"/>
      <c r="H109" s="24"/>
      <c r="M109" s="57"/>
    </row>
    <row r="110" spans="1:13" x14ac:dyDescent="0.2">
      <c r="A110" s="79"/>
      <c r="B110" s="80"/>
      <c r="C110" s="45"/>
      <c r="D110" s="45"/>
      <c r="E110" s="45"/>
      <c r="F110" s="24"/>
      <c r="G110" s="24"/>
      <c r="H110" s="24"/>
      <c r="M110" s="57"/>
    </row>
    <row r="111" spans="1:13" x14ac:dyDescent="0.2">
      <c r="A111" s="79"/>
      <c r="B111" s="80"/>
      <c r="C111" s="45"/>
      <c r="D111" s="45"/>
      <c r="E111" s="45"/>
      <c r="F111" s="24"/>
      <c r="G111" s="24"/>
      <c r="H111" s="24"/>
      <c r="M111" s="57"/>
    </row>
    <row r="112" spans="1:13" x14ac:dyDescent="0.2">
      <c r="A112" s="79"/>
      <c r="B112" s="80"/>
      <c r="C112" s="45"/>
      <c r="D112" s="45"/>
      <c r="E112" s="45"/>
      <c r="F112" s="24"/>
      <c r="G112" s="24"/>
      <c r="H112" s="24"/>
      <c r="M112" s="57"/>
    </row>
    <row r="113" spans="1:13" x14ac:dyDescent="0.2">
      <c r="A113" s="79"/>
      <c r="B113" s="80"/>
      <c r="C113" s="45"/>
      <c r="D113" s="45"/>
      <c r="E113" s="45"/>
      <c r="F113" s="24"/>
      <c r="G113" s="24"/>
      <c r="H113" s="24"/>
      <c r="M113" s="57"/>
    </row>
    <row r="114" spans="1:13" x14ac:dyDescent="0.2">
      <c r="A114" s="79"/>
      <c r="B114" s="80"/>
      <c r="C114" s="45"/>
      <c r="D114" s="45"/>
      <c r="E114" s="45"/>
      <c r="F114" s="24"/>
      <c r="G114" s="24"/>
      <c r="H114" s="24"/>
      <c r="M114" s="57"/>
    </row>
    <row r="115" spans="1:13" x14ac:dyDescent="0.2">
      <c r="A115" s="79"/>
      <c r="B115" s="80"/>
      <c r="C115" s="45"/>
      <c r="D115" s="45"/>
      <c r="E115" s="45"/>
      <c r="F115" s="24"/>
      <c r="G115" s="24"/>
      <c r="H115" s="24"/>
      <c r="M115" s="57"/>
    </row>
    <row r="116" spans="1:13" x14ac:dyDescent="0.2">
      <c r="A116" s="79"/>
      <c r="B116" s="80"/>
      <c r="C116" s="45"/>
      <c r="D116" s="45"/>
      <c r="E116" s="45"/>
      <c r="F116" s="24"/>
      <c r="G116" s="24"/>
      <c r="H116" s="24"/>
      <c r="M116" s="57"/>
    </row>
    <row r="117" spans="1:13" x14ac:dyDescent="0.2">
      <c r="A117" s="79"/>
      <c r="B117" s="80"/>
      <c r="C117" s="45"/>
      <c r="D117" s="45"/>
      <c r="E117" s="45"/>
      <c r="F117" s="24"/>
      <c r="G117" s="24"/>
      <c r="H117" s="24"/>
      <c r="M117" s="57"/>
    </row>
    <row r="118" spans="1:13" x14ac:dyDescent="0.2">
      <c r="A118" s="79"/>
      <c r="B118" s="80"/>
      <c r="C118" s="45"/>
      <c r="D118" s="45"/>
      <c r="E118" s="45"/>
      <c r="F118" s="24"/>
      <c r="G118" s="24"/>
      <c r="H118" s="24"/>
      <c r="M118" s="57"/>
    </row>
    <row r="119" spans="1:13" x14ac:dyDescent="0.2">
      <c r="A119" s="79"/>
      <c r="B119" s="80"/>
      <c r="C119" s="45"/>
      <c r="D119" s="45"/>
      <c r="E119" s="45"/>
      <c r="F119" s="24"/>
      <c r="G119" s="24"/>
      <c r="H119" s="24"/>
      <c r="M119" s="57"/>
    </row>
    <row r="120" spans="1:13" x14ac:dyDescent="0.2">
      <c r="A120" s="79"/>
      <c r="B120" s="80"/>
      <c r="C120" s="45"/>
      <c r="D120" s="45"/>
      <c r="E120" s="45"/>
      <c r="F120" s="24"/>
      <c r="G120" s="24"/>
      <c r="H120" s="24"/>
      <c r="M120" s="57"/>
    </row>
    <row r="121" spans="1:13" x14ac:dyDescent="0.2">
      <c r="A121" s="79"/>
      <c r="B121" s="80"/>
      <c r="C121" s="45"/>
      <c r="D121" s="45"/>
      <c r="E121" s="45"/>
      <c r="F121" s="24"/>
      <c r="G121" s="24"/>
      <c r="H121" s="24"/>
      <c r="M121" s="57"/>
    </row>
    <row r="122" spans="1:13" x14ac:dyDescent="0.2">
      <c r="A122" s="79"/>
      <c r="B122" s="80"/>
      <c r="C122" s="45"/>
      <c r="D122" s="45"/>
      <c r="E122" s="45"/>
      <c r="F122" s="24"/>
      <c r="G122" s="24"/>
      <c r="H122" s="24"/>
      <c r="M122" s="57"/>
    </row>
    <row r="123" spans="1:13" x14ac:dyDescent="0.2">
      <c r="A123" s="79"/>
      <c r="B123" s="80"/>
      <c r="C123" s="45"/>
      <c r="D123" s="45"/>
      <c r="E123" s="45"/>
      <c r="F123" s="24"/>
      <c r="G123" s="24"/>
      <c r="H123" s="24"/>
      <c r="M123" s="57"/>
    </row>
    <row r="124" spans="1:13" x14ac:dyDescent="0.2">
      <c r="A124" s="79"/>
      <c r="B124" s="80"/>
      <c r="C124" s="45"/>
      <c r="D124" s="45"/>
      <c r="E124" s="45"/>
      <c r="F124" s="24"/>
      <c r="G124" s="24"/>
      <c r="H124" s="24"/>
      <c r="M124" s="57"/>
    </row>
    <row r="125" spans="1:13" x14ac:dyDescent="0.2">
      <c r="A125" s="79"/>
      <c r="B125" s="80"/>
      <c r="C125" s="45"/>
      <c r="D125" s="45"/>
      <c r="E125" s="45"/>
      <c r="F125" s="24"/>
      <c r="G125" s="24"/>
      <c r="H125" s="24"/>
      <c r="M125" s="57"/>
    </row>
    <row r="126" spans="1:13" x14ac:dyDescent="0.2">
      <c r="A126" s="79"/>
      <c r="B126" s="80"/>
      <c r="C126" s="45"/>
      <c r="D126" s="45"/>
      <c r="E126" s="45"/>
      <c r="F126" s="24"/>
      <c r="G126" s="24"/>
      <c r="H126" s="24"/>
      <c r="M126" s="57"/>
    </row>
    <row r="127" spans="1:13" x14ac:dyDescent="0.2">
      <c r="A127" s="79"/>
      <c r="B127" s="80"/>
      <c r="C127" s="45"/>
      <c r="D127" s="45"/>
      <c r="E127" s="45"/>
      <c r="F127" s="24"/>
      <c r="G127" s="24"/>
      <c r="H127" s="24"/>
      <c r="M127" s="57"/>
    </row>
    <row r="128" spans="1:13" x14ac:dyDescent="0.2">
      <c r="A128" s="79"/>
      <c r="B128" s="80"/>
      <c r="C128" s="45"/>
      <c r="D128" s="45"/>
      <c r="E128" s="45"/>
      <c r="F128" s="24"/>
      <c r="G128" s="24"/>
      <c r="H128" s="24"/>
      <c r="M128" s="57"/>
    </row>
    <row r="129" spans="1:13" x14ac:dyDescent="0.2">
      <c r="A129" s="79"/>
      <c r="B129" s="80"/>
      <c r="C129" s="45"/>
      <c r="D129" s="45"/>
      <c r="E129" s="45"/>
      <c r="F129" s="24"/>
      <c r="G129" s="24"/>
      <c r="H129" s="24"/>
      <c r="M129" s="57"/>
    </row>
    <row r="130" spans="1:13" x14ac:dyDescent="0.2">
      <c r="A130" s="79"/>
      <c r="B130" s="80"/>
      <c r="C130" s="45"/>
      <c r="D130" s="45"/>
      <c r="E130" s="45"/>
      <c r="F130" s="24"/>
      <c r="G130" s="24"/>
      <c r="H130" s="24"/>
      <c r="M130" s="57"/>
    </row>
    <row r="131" spans="1:13" x14ac:dyDescent="0.2">
      <c r="A131" s="79"/>
      <c r="B131" s="80"/>
      <c r="C131" s="45"/>
      <c r="D131" s="45"/>
      <c r="E131" s="45"/>
      <c r="F131" s="24"/>
      <c r="G131" s="24"/>
      <c r="H131" s="24"/>
      <c r="M131" s="57"/>
    </row>
    <row r="132" spans="1:13" x14ac:dyDescent="0.2">
      <c r="A132" s="79"/>
      <c r="B132" s="80"/>
      <c r="C132" s="45"/>
      <c r="D132" s="45"/>
      <c r="E132" s="45"/>
      <c r="F132" s="24"/>
      <c r="G132" s="24"/>
      <c r="H132" s="24"/>
      <c r="M132" s="57"/>
    </row>
    <row r="133" spans="1:13" x14ac:dyDescent="0.2">
      <c r="A133" s="79"/>
      <c r="B133" s="80"/>
      <c r="C133" s="45"/>
      <c r="D133" s="45"/>
      <c r="E133" s="45"/>
      <c r="F133" s="24"/>
      <c r="G133" s="24"/>
      <c r="H133" s="24"/>
      <c r="M133" s="57"/>
    </row>
    <row r="134" spans="1:13" x14ac:dyDescent="0.2">
      <c r="A134" s="79"/>
      <c r="B134" s="80"/>
      <c r="C134" s="45"/>
      <c r="D134" s="45"/>
      <c r="E134" s="45"/>
      <c r="F134" s="24"/>
      <c r="G134" s="24"/>
      <c r="H134" s="24"/>
      <c r="M134" s="57"/>
    </row>
    <row r="135" spans="1:13" x14ac:dyDescent="0.2">
      <c r="A135" s="79"/>
      <c r="B135" s="80"/>
      <c r="C135" s="45"/>
      <c r="D135" s="45"/>
      <c r="E135" s="45"/>
      <c r="F135" s="24"/>
      <c r="G135" s="24"/>
      <c r="H135" s="24"/>
      <c r="M135" s="57"/>
    </row>
    <row r="136" spans="1:13" x14ac:dyDescent="0.2">
      <c r="A136" s="79"/>
      <c r="B136" s="80"/>
      <c r="C136" s="45"/>
      <c r="D136" s="45"/>
      <c r="E136" s="45"/>
      <c r="F136" s="24"/>
      <c r="G136" s="24"/>
      <c r="H136" s="24"/>
      <c r="M136" s="57"/>
    </row>
    <row r="137" spans="1:13" x14ac:dyDescent="0.2">
      <c r="A137" s="79"/>
      <c r="B137" s="80"/>
      <c r="C137" s="45"/>
      <c r="D137" s="45"/>
      <c r="E137" s="45"/>
      <c r="F137" s="24"/>
      <c r="G137" s="24"/>
      <c r="H137" s="24"/>
      <c r="M137" s="57"/>
    </row>
    <row r="138" spans="1:13" x14ac:dyDescent="0.2">
      <c r="A138" s="79"/>
      <c r="B138" s="80"/>
      <c r="C138" s="45"/>
      <c r="D138" s="45"/>
      <c r="E138" s="45"/>
      <c r="F138" s="24"/>
      <c r="G138" s="24"/>
      <c r="H138" s="24"/>
      <c r="M138" s="57"/>
    </row>
    <row r="139" spans="1:13" x14ac:dyDescent="0.2">
      <c r="A139" s="79"/>
      <c r="B139" s="80"/>
      <c r="C139" s="45"/>
      <c r="D139" s="45"/>
      <c r="E139" s="45"/>
      <c r="F139" s="24"/>
      <c r="G139" s="24"/>
      <c r="H139" s="24"/>
      <c r="M139" s="57"/>
    </row>
    <row r="140" spans="1:13" x14ac:dyDescent="0.2">
      <c r="A140" s="79"/>
      <c r="B140" s="80"/>
      <c r="C140" s="45"/>
      <c r="D140" s="45"/>
      <c r="E140" s="45"/>
      <c r="F140" s="24"/>
      <c r="G140" s="24"/>
      <c r="H140" s="24"/>
      <c r="M140" s="57"/>
    </row>
    <row r="141" spans="1:13" x14ac:dyDescent="0.2">
      <c r="A141" s="79"/>
      <c r="B141" s="80"/>
      <c r="C141" s="45"/>
      <c r="D141" s="45"/>
      <c r="E141" s="45"/>
      <c r="F141" s="24"/>
      <c r="G141" s="24"/>
      <c r="H141" s="24"/>
      <c r="M141" s="57"/>
    </row>
    <row r="142" spans="1:13" x14ac:dyDescent="0.2">
      <c r="A142" s="79"/>
      <c r="B142" s="80"/>
      <c r="C142" s="45"/>
      <c r="D142" s="45"/>
      <c r="E142" s="45"/>
      <c r="F142" s="24"/>
      <c r="G142" s="24"/>
      <c r="H142" s="24"/>
      <c r="M142" s="57"/>
    </row>
    <row r="143" spans="1:13" x14ac:dyDescent="0.2">
      <c r="A143" s="79"/>
      <c r="B143" s="80"/>
      <c r="C143" s="45"/>
      <c r="D143" s="45"/>
      <c r="E143" s="45"/>
      <c r="F143" s="24"/>
      <c r="G143" s="24"/>
      <c r="H143" s="24"/>
      <c r="M143" s="57"/>
    </row>
    <row r="144" spans="1:13" x14ac:dyDescent="0.2">
      <c r="A144" s="79"/>
      <c r="B144" s="80"/>
      <c r="C144" s="45"/>
      <c r="D144" s="45"/>
      <c r="E144" s="45"/>
      <c r="F144" s="24"/>
      <c r="G144" s="24"/>
      <c r="H144" s="24"/>
      <c r="M144" s="57"/>
    </row>
    <row r="145" spans="1:13" x14ac:dyDescent="0.2">
      <c r="A145" s="79"/>
      <c r="B145" s="80"/>
      <c r="C145" s="45"/>
      <c r="D145" s="45"/>
      <c r="E145" s="45"/>
      <c r="F145" s="24"/>
      <c r="G145" s="24"/>
      <c r="H145" s="24"/>
      <c r="M145" s="57"/>
    </row>
    <row r="146" spans="1:13" x14ac:dyDescent="0.2">
      <c r="A146" s="79"/>
      <c r="B146" s="80"/>
      <c r="C146" s="45"/>
      <c r="D146" s="45"/>
      <c r="E146" s="45"/>
      <c r="F146" s="24"/>
      <c r="G146" s="24"/>
      <c r="H146" s="24"/>
      <c r="M146" s="57"/>
    </row>
    <row r="147" spans="1:13" x14ac:dyDescent="0.2">
      <c r="A147" s="79"/>
      <c r="B147" s="80"/>
      <c r="C147" s="45"/>
      <c r="D147" s="45"/>
      <c r="E147" s="45"/>
      <c r="F147" s="24"/>
      <c r="G147" s="24"/>
      <c r="H147" s="24"/>
      <c r="M147" s="57"/>
    </row>
    <row r="148" spans="1:13" x14ac:dyDescent="0.2">
      <c r="A148" s="79"/>
      <c r="B148" s="80"/>
      <c r="C148" s="45"/>
      <c r="D148" s="45"/>
      <c r="E148" s="45"/>
      <c r="F148" s="24"/>
      <c r="G148" s="24"/>
      <c r="H148" s="24"/>
      <c r="M148" s="57"/>
    </row>
    <row r="149" spans="1:13" x14ac:dyDescent="0.2">
      <c r="A149" s="79"/>
      <c r="B149" s="80"/>
      <c r="C149" s="45"/>
      <c r="D149" s="45"/>
      <c r="E149" s="45"/>
      <c r="F149" s="24"/>
      <c r="G149" s="24"/>
      <c r="H149" s="24"/>
      <c r="M149" s="57"/>
    </row>
    <row r="150" spans="1:13" x14ac:dyDescent="0.2">
      <c r="A150" s="79"/>
      <c r="B150" s="80"/>
      <c r="C150" s="45"/>
      <c r="D150" s="45"/>
      <c r="E150" s="45"/>
      <c r="F150" s="24"/>
      <c r="G150" s="24"/>
      <c r="H150" s="24"/>
      <c r="M150" s="57"/>
    </row>
    <row r="151" spans="1:13" x14ac:dyDescent="0.2">
      <c r="A151" s="79"/>
      <c r="B151" s="80"/>
      <c r="C151" s="45"/>
      <c r="D151" s="45"/>
      <c r="E151" s="45"/>
      <c r="F151" s="24"/>
      <c r="G151" s="24"/>
      <c r="H151" s="24"/>
      <c r="M151" s="57"/>
    </row>
    <row r="152" spans="1:13" x14ac:dyDescent="0.2">
      <c r="A152" s="79"/>
      <c r="B152" s="80"/>
      <c r="C152" s="45"/>
      <c r="D152" s="45"/>
      <c r="E152" s="45"/>
      <c r="F152" s="24"/>
      <c r="G152" s="24"/>
      <c r="H152" s="24"/>
      <c r="M152" s="57"/>
    </row>
    <row r="153" spans="1:13" x14ac:dyDescent="0.2">
      <c r="A153" s="79"/>
      <c r="B153" s="80"/>
      <c r="C153" s="45"/>
      <c r="D153" s="45"/>
      <c r="E153" s="45"/>
      <c r="F153" s="24"/>
      <c r="G153" s="24"/>
      <c r="H153" s="24"/>
      <c r="M153" s="57"/>
    </row>
    <row r="154" spans="1:13" x14ac:dyDescent="0.2">
      <c r="A154" s="79"/>
      <c r="B154" s="80"/>
      <c r="C154" s="45"/>
      <c r="D154" s="45"/>
      <c r="E154" s="45"/>
      <c r="F154" s="24"/>
      <c r="G154" s="24"/>
      <c r="H154" s="24"/>
      <c r="M154" s="57"/>
    </row>
    <row r="155" spans="1:13" x14ac:dyDescent="0.2">
      <c r="A155" s="79"/>
      <c r="B155" s="80"/>
      <c r="C155" s="45"/>
      <c r="D155" s="45"/>
      <c r="E155" s="45"/>
      <c r="F155" s="24"/>
      <c r="G155" s="24"/>
      <c r="H155" s="24"/>
      <c r="M155" s="57"/>
    </row>
    <row r="156" spans="1:13" x14ac:dyDescent="0.2">
      <c r="A156" s="79"/>
      <c r="B156" s="80"/>
      <c r="C156" s="45"/>
      <c r="D156" s="45"/>
      <c r="E156" s="45"/>
      <c r="F156" s="24"/>
      <c r="G156" s="24"/>
      <c r="H156" s="24"/>
      <c r="M156" s="57"/>
    </row>
    <row r="157" spans="1:13" x14ac:dyDescent="0.2">
      <c r="A157" s="79"/>
      <c r="B157" s="80"/>
      <c r="C157" s="45"/>
      <c r="D157" s="45"/>
      <c r="E157" s="45"/>
      <c r="F157" s="24"/>
      <c r="G157" s="24"/>
      <c r="H157" s="24"/>
      <c r="M157" s="57"/>
    </row>
    <row r="158" spans="1:13" x14ac:dyDescent="0.2">
      <c r="A158" s="79"/>
      <c r="B158" s="80"/>
      <c r="C158" s="45"/>
      <c r="D158" s="45"/>
      <c r="E158" s="45"/>
      <c r="F158" s="24"/>
      <c r="G158" s="24"/>
      <c r="H158" s="24"/>
      <c r="M158" s="57"/>
    </row>
    <row r="159" spans="1:13" x14ac:dyDescent="0.2">
      <c r="A159" s="79"/>
      <c r="B159" s="80"/>
      <c r="C159" s="45"/>
      <c r="D159" s="45"/>
      <c r="E159" s="45"/>
      <c r="F159" s="24"/>
      <c r="G159" s="24"/>
      <c r="H159" s="24"/>
      <c r="M159" s="57"/>
    </row>
    <row r="160" spans="1:13" x14ac:dyDescent="0.2">
      <c r="B160" s="16"/>
      <c r="C160" s="16"/>
      <c r="D160" s="16"/>
      <c r="E160" s="16"/>
      <c r="F160" s="24"/>
      <c r="G160" s="24"/>
      <c r="H160" s="24"/>
      <c r="I160" s="16"/>
      <c r="J160" s="16"/>
      <c r="M160" s="57"/>
    </row>
    <row r="161" spans="1:13" x14ac:dyDescent="0.2">
      <c r="F161" s="24"/>
      <c r="G161" s="24"/>
      <c r="H161" s="24"/>
      <c r="M161" s="57"/>
    </row>
    <row r="162" spans="1:13" x14ac:dyDescent="0.2">
      <c r="A162" s="81"/>
      <c r="B162" s="81"/>
      <c r="C162" s="81"/>
      <c r="D162" s="81"/>
      <c r="E162" s="81"/>
      <c r="F162" s="24"/>
      <c r="G162" s="24"/>
      <c r="H162" s="24"/>
      <c r="I162" s="81"/>
      <c r="J162" s="81"/>
      <c r="M162" s="57"/>
    </row>
    <row r="163" spans="1:13" x14ac:dyDescent="0.2">
      <c r="A163" s="81"/>
      <c r="B163" s="81"/>
      <c r="C163" s="81"/>
      <c r="D163" s="81"/>
      <c r="E163" s="81"/>
      <c r="F163" s="24"/>
      <c r="G163" s="24"/>
      <c r="H163" s="24"/>
      <c r="I163" s="81"/>
      <c r="J163" s="81"/>
      <c r="M163" s="57"/>
    </row>
    <row r="164" spans="1:13" x14ac:dyDescent="0.2">
      <c r="A164" s="81"/>
      <c r="B164" s="81"/>
      <c r="C164" s="81"/>
      <c r="D164" s="81"/>
      <c r="E164" s="81"/>
      <c r="F164" s="24"/>
      <c r="G164" s="24"/>
      <c r="H164" s="24"/>
      <c r="I164" s="81"/>
      <c r="J164" s="81"/>
      <c r="M164" s="57"/>
    </row>
    <row r="165" spans="1:13" x14ac:dyDescent="0.2">
      <c r="A165" s="81"/>
      <c r="B165" s="81"/>
      <c r="C165" s="81"/>
      <c r="D165" s="81"/>
      <c r="E165" s="81"/>
      <c r="F165" s="24"/>
      <c r="G165" s="24"/>
      <c r="H165" s="24"/>
      <c r="I165" s="81"/>
      <c r="J165" s="81"/>
      <c r="M165" s="57"/>
    </row>
    <row r="166" spans="1:13" x14ac:dyDescent="0.2">
      <c r="A166" s="81"/>
      <c r="B166" s="81"/>
      <c r="C166" s="81"/>
      <c r="D166" s="81"/>
      <c r="E166" s="81"/>
      <c r="F166" s="24"/>
      <c r="G166" s="24"/>
      <c r="H166" s="24"/>
      <c r="I166" s="81"/>
      <c r="J166" s="81"/>
      <c r="M166" s="57"/>
    </row>
    <row r="167" spans="1:13" ht="15" x14ac:dyDescent="0.25">
      <c r="A167" s="47">
        <v>1020</v>
      </c>
      <c r="B167" s="48" t="s">
        <v>480</v>
      </c>
      <c r="C167" s="48"/>
      <c r="D167" s="48"/>
      <c r="E167" s="48"/>
      <c r="F167" s="24"/>
      <c r="G167" s="24"/>
      <c r="H167" s="24"/>
      <c r="M167" s="57"/>
    </row>
    <row r="168" spans="1:13" ht="15" x14ac:dyDescent="0.25">
      <c r="A168" s="82"/>
      <c r="B168" s="83"/>
      <c r="C168" s="48"/>
      <c r="D168" s="48"/>
      <c r="E168" s="48"/>
      <c r="F168" s="24"/>
      <c r="G168" s="24"/>
      <c r="H168" s="24"/>
      <c r="M168" s="57"/>
    </row>
    <row r="169" spans="1:13" s="86" customFormat="1" ht="11.25" x14ac:dyDescent="0.2">
      <c r="A169" s="84"/>
      <c r="B169" s="50" t="s">
        <v>61</v>
      </c>
      <c r="C169" s="50"/>
      <c r="D169" s="50"/>
      <c r="E169" s="50"/>
      <c r="F169" s="24"/>
      <c r="G169" s="24"/>
      <c r="H169" s="24"/>
      <c r="I169" s="85"/>
      <c r="J169" s="85"/>
      <c r="M169" s="57"/>
    </row>
    <row r="170" spans="1:13" s="86" customFormat="1" ht="11.25" x14ac:dyDescent="0.2">
      <c r="A170" s="84"/>
      <c r="B170" s="50"/>
      <c r="C170" s="50"/>
      <c r="D170" s="50"/>
      <c r="E170" s="50"/>
      <c r="F170" s="24"/>
      <c r="G170" s="24"/>
      <c r="H170" s="24"/>
      <c r="I170" s="85"/>
      <c r="J170" s="85"/>
      <c r="M170" s="57"/>
    </row>
    <row r="171" spans="1:13" s="86" customFormat="1" ht="11.25" x14ac:dyDescent="0.2">
      <c r="A171" s="84"/>
      <c r="B171" s="58" t="s">
        <v>413</v>
      </c>
      <c r="C171" s="53"/>
      <c r="D171" s="53"/>
      <c r="E171" s="53"/>
      <c r="F171" s="24"/>
      <c r="G171" s="24"/>
      <c r="H171" s="24"/>
      <c r="I171" s="54"/>
      <c r="J171" s="54"/>
      <c r="M171" s="57"/>
    </row>
    <row r="172" spans="1:13" s="86" customFormat="1" ht="11.25" x14ac:dyDescent="0.2">
      <c r="A172" s="84"/>
      <c r="B172" s="55" t="s">
        <v>4061</v>
      </c>
      <c r="C172" s="56">
        <v>104955</v>
      </c>
      <c r="D172" s="56">
        <v>476000</v>
      </c>
      <c r="E172" s="56">
        <v>476000</v>
      </c>
      <c r="F172" s="56">
        <v>0</v>
      </c>
      <c r="G172" s="56">
        <v>476000</v>
      </c>
      <c r="H172" s="56">
        <v>467000</v>
      </c>
      <c r="I172" s="56">
        <v>0</v>
      </c>
      <c r="J172" s="56">
        <v>0</v>
      </c>
      <c r="M172" s="57"/>
    </row>
    <row r="173" spans="1:13" s="86" customFormat="1" ht="11.25" x14ac:dyDescent="0.2">
      <c r="A173" s="84"/>
      <c r="B173" s="58" t="s">
        <v>414</v>
      </c>
      <c r="C173" s="59">
        <f t="shared" ref="C173:J173" si="18">SUM(C172)</f>
        <v>104955</v>
      </c>
      <c r="D173" s="59">
        <f t="shared" si="18"/>
        <v>476000</v>
      </c>
      <c r="E173" s="59">
        <f t="shared" si="18"/>
        <v>476000</v>
      </c>
      <c r="F173" s="59">
        <f t="shared" si="18"/>
        <v>0</v>
      </c>
      <c r="G173" s="59">
        <f t="shared" si="18"/>
        <v>476000</v>
      </c>
      <c r="H173" s="59">
        <f t="shared" si="18"/>
        <v>467000</v>
      </c>
      <c r="I173" s="59">
        <f t="shared" si="18"/>
        <v>0</v>
      </c>
      <c r="J173" s="59">
        <f t="shared" si="18"/>
        <v>0</v>
      </c>
      <c r="M173" s="57"/>
    </row>
    <row r="174" spans="1:13" s="86" customFormat="1" ht="11.25" x14ac:dyDescent="0.2">
      <c r="A174" s="84"/>
      <c r="B174" s="87"/>
      <c r="C174" s="50"/>
      <c r="D174" s="50"/>
      <c r="E174" s="50"/>
      <c r="F174" s="24"/>
      <c r="G174" s="24"/>
      <c r="H174" s="24"/>
      <c r="I174" s="85"/>
      <c r="J174" s="85"/>
      <c r="M174" s="57"/>
    </row>
    <row r="175" spans="1:13" ht="13.5" thickBot="1" x14ac:dyDescent="0.25">
      <c r="A175" s="64"/>
      <c r="B175" s="65" t="s">
        <v>4043</v>
      </c>
      <c r="C175" s="66">
        <f t="shared" ref="C175:J175" si="19">+C173</f>
        <v>104955</v>
      </c>
      <c r="D175" s="66">
        <f t="shared" si="19"/>
        <v>476000</v>
      </c>
      <c r="E175" s="66">
        <f t="shared" si="19"/>
        <v>476000</v>
      </c>
      <c r="F175" s="66">
        <f t="shared" si="19"/>
        <v>0</v>
      </c>
      <c r="G175" s="66">
        <f t="shared" si="19"/>
        <v>476000</v>
      </c>
      <c r="H175" s="66">
        <f t="shared" si="19"/>
        <v>467000</v>
      </c>
      <c r="I175" s="66">
        <f t="shared" si="19"/>
        <v>0</v>
      </c>
      <c r="J175" s="66">
        <f t="shared" si="19"/>
        <v>0</v>
      </c>
      <c r="M175" s="57"/>
    </row>
    <row r="176" spans="1:13" s="86" customFormat="1" ht="12" thickTop="1" x14ac:dyDescent="0.2">
      <c r="A176" s="84"/>
      <c r="B176" s="87"/>
      <c r="C176" s="50"/>
      <c r="D176" s="50"/>
      <c r="E176" s="50"/>
      <c r="F176" s="24"/>
      <c r="G176" s="24"/>
      <c r="H176" s="24"/>
      <c r="I176" s="85"/>
      <c r="J176" s="85"/>
      <c r="M176" s="57"/>
    </row>
    <row r="177" spans="1:13" x14ac:dyDescent="0.2">
      <c r="A177" s="49"/>
      <c r="B177" s="50" t="s">
        <v>4018</v>
      </c>
      <c r="C177" s="50"/>
      <c r="D177" s="50"/>
      <c r="E177" s="50"/>
      <c r="F177" s="24"/>
      <c r="G177" s="24"/>
      <c r="H177" s="24"/>
      <c r="I177" s="50"/>
      <c r="J177" s="50"/>
      <c r="M177" s="57"/>
    </row>
    <row r="178" spans="1:13" x14ac:dyDescent="0.2">
      <c r="A178" s="49"/>
      <c r="B178" s="50"/>
      <c r="C178" s="50"/>
      <c r="D178" s="50"/>
      <c r="E178" s="50"/>
      <c r="F178" s="24"/>
      <c r="G178" s="24"/>
      <c r="H178" s="24"/>
      <c r="I178" s="88"/>
      <c r="J178" s="50"/>
      <c r="M178" s="57"/>
    </row>
    <row r="179" spans="1:13" x14ac:dyDescent="0.2">
      <c r="A179" s="60"/>
      <c r="B179" s="58" t="s">
        <v>4019</v>
      </c>
      <c r="C179" s="69"/>
      <c r="D179" s="69"/>
      <c r="E179" s="69"/>
      <c r="F179" s="24"/>
      <c r="G179" s="24"/>
      <c r="H179" s="24"/>
      <c r="I179" s="69"/>
      <c r="J179" s="69"/>
      <c r="M179" s="57"/>
    </row>
    <row r="180" spans="1:13" x14ac:dyDescent="0.2">
      <c r="A180" s="60">
        <v>1001</v>
      </c>
      <c r="B180" s="70" t="s">
        <v>3536</v>
      </c>
      <c r="C180" s="69">
        <v>157131</v>
      </c>
      <c r="D180" s="69">
        <v>396198</v>
      </c>
      <c r="E180" s="69">
        <f>+D180-95333</f>
        <v>300865</v>
      </c>
      <c r="F180" s="69">
        <v>327375</v>
      </c>
      <c r="G180" s="69">
        <f t="shared" ref="G180:G191" si="20">F180/$F$11*$G$11</f>
        <v>392850</v>
      </c>
      <c r="H180" s="69">
        <f>[3]Salary_Bdgt!$H$38</f>
        <v>427894</v>
      </c>
      <c r="I180" s="69">
        <f t="shared" ref="I180:J205" si="21">ROUND(H180*1.08,0)</f>
        <v>462126</v>
      </c>
      <c r="J180" s="69">
        <f t="shared" si="21"/>
        <v>499096</v>
      </c>
      <c r="M180" s="57"/>
    </row>
    <row r="181" spans="1:13" x14ac:dyDescent="0.2">
      <c r="A181" s="60">
        <v>1002</v>
      </c>
      <c r="B181" s="70" t="s">
        <v>3542</v>
      </c>
      <c r="C181" s="69">
        <v>0</v>
      </c>
      <c r="D181" s="69">
        <v>0</v>
      </c>
      <c r="E181" s="69">
        <v>0</v>
      </c>
      <c r="F181" s="69">
        <v>0</v>
      </c>
      <c r="G181" s="69">
        <f t="shared" si="20"/>
        <v>0</v>
      </c>
      <c r="H181" s="69">
        <f>[3]Salary_Bdgt!$X$38</f>
        <v>35657</v>
      </c>
      <c r="I181" s="69">
        <f t="shared" si="21"/>
        <v>38510</v>
      </c>
      <c r="J181" s="69">
        <f t="shared" si="21"/>
        <v>41591</v>
      </c>
      <c r="M181" s="57"/>
    </row>
    <row r="182" spans="1:13" x14ac:dyDescent="0.2">
      <c r="A182" s="60">
        <v>1005</v>
      </c>
      <c r="B182" s="70" t="s">
        <v>3527</v>
      </c>
      <c r="C182" s="69">
        <v>0</v>
      </c>
      <c r="D182" s="69">
        <f>[2]Sal_RIA!$L$38</f>
        <v>0</v>
      </c>
      <c r="E182" s="69">
        <f>+D182</f>
        <v>0</v>
      </c>
      <c r="F182" s="69">
        <v>0</v>
      </c>
      <c r="G182" s="69">
        <f t="shared" si="20"/>
        <v>0</v>
      </c>
      <c r="H182" s="69">
        <f>[3]Salary_Bdgt!$L$38</f>
        <v>0</v>
      </c>
      <c r="I182" s="69">
        <f t="shared" si="21"/>
        <v>0</v>
      </c>
      <c r="J182" s="69">
        <f t="shared" si="21"/>
        <v>0</v>
      </c>
      <c r="M182" s="57"/>
    </row>
    <row r="183" spans="1:13" x14ac:dyDescent="0.2">
      <c r="A183" s="60">
        <v>1006</v>
      </c>
      <c r="B183" s="70" t="s">
        <v>3529</v>
      </c>
      <c r="C183" s="69">
        <v>8140</v>
      </c>
      <c r="D183" s="69">
        <f>[2]Sal_RIA!$N$32</f>
        <v>0</v>
      </c>
      <c r="E183" s="69">
        <v>78144</v>
      </c>
      <c r="F183" s="69">
        <v>89201</v>
      </c>
      <c r="G183" s="69">
        <f t="shared" si="20"/>
        <v>107041.20000000001</v>
      </c>
      <c r="H183" s="69">
        <f>[3]Salary_Bdgt!$N$38</f>
        <v>125715</v>
      </c>
      <c r="I183" s="69">
        <f t="shared" si="21"/>
        <v>135772</v>
      </c>
      <c r="J183" s="69">
        <f t="shared" si="21"/>
        <v>146634</v>
      </c>
      <c r="M183" s="57"/>
    </row>
    <row r="184" spans="1:13" x14ac:dyDescent="0.2">
      <c r="A184" s="60">
        <v>1007</v>
      </c>
      <c r="B184" s="70" t="s">
        <v>3540</v>
      </c>
      <c r="C184" s="69">
        <v>374</v>
      </c>
      <c r="D184" s="69">
        <f>[2]Sal_RIA!$I$38</f>
        <v>0</v>
      </c>
      <c r="E184" s="69">
        <v>1198</v>
      </c>
      <c r="F184" s="69">
        <v>1248</v>
      </c>
      <c r="G184" s="69">
        <f t="shared" si="20"/>
        <v>1497.6</v>
      </c>
      <c r="H184" s="69">
        <f>[3]Salary_Bdgt!$I$38</f>
        <v>1617</v>
      </c>
      <c r="I184" s="69">
        <f t="shared" si="21"/>
        <v>1746</v>
      </c>
      <c r="J184" s="69">
        <f t="shared" si="21"/>
        <v>1886</v>
      </c>
      <c r="M184" s="57"/>
    </row>
    <row r="185" spans="1:13" x14ac:dyDescent="0.2">
      <c r="A185" s="60">
        <v>1009</v>
      </c>
      <c r="B185" s="70" t="s">
        <v>3533</v>
      </c>
      <c r="C185" s="69">
        <v>7</v>
      </c>
      <c r="D185" s="69">
        <f>[2]Sal_RIA!$M$38</f>
        <v>0</v>
      </c>
      <c r="E185" s="69">
        <v>36</v>
      </c>
      <c r="F185" s="69">
        <v>19</v>
      </c>
      <c r="G185" s="69">
        <f t="shared" si="20"/>
        <v>22.799999999999997</v>
      </c>
      <c r="H185" s="69">
        <f>[3]Salary_Bdgt!$M$38</f>
        <v>45</v>
      </c>
      <c r="I185" s="69">
        <f t="shared" si="21"/>
        <v>49</v>
      </c>
      <c r="J185" s="69">
        <f t="shared" si="21"/>
        <v>53</v>
      </c>
      <c r="M185" s="57"/>
    </row>
    <row r="186" spans="1:13" x14ac:dyDescent="0.2">
      <c r="A186" s="60">
        <v>1010</v>
      </c>
      <c r="B186" s="70" t="s">
        <v>3523</v>
      </c>
      <c r="C186" s="69">
        <v>0</v>
      </c>
      <c r="D186" s="69">
        <v>33017</v>
      </c>
      <c r="E186" s="69">
        <f>+D186</f>
        <v>33017</v>
      </c>
      <c r="F186" s="69">
        <v>26545</v>
      </c>
      <c r="G186" s="69">
        <f t="shared" si="20"/>
        <v>31854</v>
      </c>
      <c r="H186" s="69">
        <f>[3]Salary_Bdgt!$Q$38</f>
        <v>35658</v>
      </c>
      <c r="I186" s="69">
        <f t="shared" si="21"/>
        <v>38511</v>
      </c>
      <c r="J186" s="69">
        <f t="shared" si="21"/>
        <v>41592</v>
      </c>
      <c r="M186" s="57"/>
    </row>
    <row r="187" spans="1:13" x14ac:dyDescent="0.2">
      <c r="A187" s="60">
        <v>1011</v>
      </c>
      <c r="B187" s="70" t="s">
        <v>3519</v>
      </c>
      <c r="C187" s="69">
        <v>5601.76</v>
      </c>
      <c r="D187" s="69">
        <v>35135</v>
      </c>
      <c r="E187" s="69">
        <f>+D187+15955</f>
        <v>51090</v>
      </c>
      <c r="F187" s="69">
        <v>15451</v>
      </c>
      <c r="G187" s="69">
        <f t="shared" si="20"/>
        <v>18541.199999999997</v>
      </c>
      <c r="H187" s="69">
        <f>[3]Salary_Bdgt!$U$38</f>
        <v>18509</v>
      </c>
      <c r="I187" s="69">
        <f t="shared" si="21"/>
        <v>19990</v>
      </c>
      <c r="J187" s="69">
        <f t="shared" si="21"/>
        <v>21589</v>
      </c>
      <c r="M187" s="57"/>
    </row>
    <row r="188" spans="1:13" x14ac:dyDescent="0.2">
      <c r="A188" s="60">
        <v>1014</v>
      </c>
      <c r="B188" s="70" t="s">
        <v>3531</v>
      </c>
      <c r="C188" s="69">
        <v>10837</v>
      </c>
      <c r="D188" s="69">
        <v>41813</v>
      </c>
      <c r="E188" s="69">
        <f>+D188</f>
        <v>41813</v>
      </c>
      <c r="F188" s="69">
        <v>22569</v>
      </c>
      <c r="G188" s="69">
        <f t="shared" si="20"/>
        <v>27082.800000000003</v>
      </c>
      <c r="H188" s="69">
        <f>[3]Salary_Bdgt!$S$38</f>
        <v>25723</v>
      </c>
      <c r="I188" s="69">
        <f t="shared" si="21"/>
        <v>27781</v>
      </c>
      <c r="J188" s="69">
        <f t="shared" si="21"/>
        <v>30003</v>
      </c>
      <c r="M188" s="57"/>
    </row>
    <row r="189" spans="1:13" x14ac:dyDescent="0.2">
      <c r="A189" s="60">
        <v>1016</v>
      </c>
      <c r="B189" s="70" t="s">
        <v>3518</v>
      </c>
      <c r="C189" s="69">
        <v>0</v>
      </c>
      <c r="D189" s="69">
        <v>0</v>
      </c>
      <c r="E189" s="69">
        <v>0</v>
      </c>
      <c r="F189" s="69">
        <v>0</v>
      </c>
      <c r="G189" s="69">
        <f t="shared" si="20"/>
        <v>0</v>
      </c>
      <c r="H189" s="69">
        <f>[3]Salary_Bdgt!$T$38+[3]Salary_Bdgt!$V$38</f>
        <v>0</v>
      </c>
      <c r="I189" s="69">
        <f t="shared" si="21"/>
        <v>0</v>
      </c>
      <c r="J189" s="69">
        <f t="shared" si="21"/>
        <v>0</v>
      </c>
      <c r="M189" s="57"/>
    </row>
    <row r="190" spans="1:13" x14ac:dyDescent="0.2">
      <c r="A190" s="60">
        <v>1017</v>
      </c>
      <c r="B190" s="70" t="s">
        <v>3538</v>
      </c>
      <c r="C190" s="69">
        <v>434</v>
      </c>
      <c r="D190" s="69">
        <v>0</v>
      </c>
      <c r="E190" s="69">
        <v>0</v>
      </c>
      <c r="F190" s="69">
        <v>2939</v>
      </c>
      <c r="G190" s="69">
        <f t="shared" si="20"/>
        <v>3526.7999999999997</v>
      </c>
      <c r="H190" s="69">
        <f>[3]Salary_Bdgt!$J$38</f>
        <v>9797</v>
      </c>
      <c r="I190" s="69">
        <f t="shared" si="21"/>
        <v>10581</v>
      </c>
      <c r="J190" s="69">
        <f t="shared" si="21"/>
        <v>11427</v>
      </c>
      <c r="M190" s="57"/>
    </row>
    <row r="191" spans="1:13" x14ac:dyDescent="0.2">
      <c r="A191" s="60">
        <v>1046</v>
      </c>
      <c r="B191" s="70" t="s">
        <v>3520</v>
      </c>
      <c r="C191" s="69">
        <v>24964</v>
      </c>
      <c r="D191" s="69">
        <v>154168</v>
      </c>
      <c r="E191" s="69">
        <f>+D191</f>
        <v>154168</v>
      </c>
      <c r="F191" s="69">
        <v>69129</v>
      </c>
      <c r="G191" s="69">
        <f t="shared" si="20"/>
        <v>82954.799999999988</v>
      </c>
      <c r="H191" s="69">
        <f>[3]Salary_Bdgt!$R$38</f>
        <v>79661</v>
      </c>
      <c r="I191" s="69">
        <f t="shared" si="21"/>
        <v>86034</v>
      </c>
      <c r="J191" s="69">
        <f t="shared" si="21"/>
        <v>92917</v>
      </c>
      <c r="M191" s="57"/>
    </row>
    <row r="192" spans="1:13" x14ac:dyDescent="0.2">
      <c r="A192" s="60">
        <v>1182</v>
      </c>
      <c r="B192" s="70" t="s">
        <v>3525</v>
      </c>
      <c r="C192" s="69">
        <v>0</v>
      </c>
      <c r="D192" s="69">
        <v>0</v>
      </c>
      <c r="E192" s="69">
        <v>0</v>
      </c>
      <c r="F192" s="69">
        <v>0</v>
      </c>
      <c r="G192" s="69">
        <f>F192/$F$11*$G$11</f>
        <v>0</v>
      </c>
      <c r="H192" s="69">
        <f>[3]Salary_Bdgt!$K$38</f>
        <v>9111</v>
      </c>
      <c r="I192" s="69">
        <f t="shared" si="21"/>
        <v>9840</v>
      </c>
      <c r="J192" s="69">
        <f t="shared" si="21"/>
        <v>10627</v>
      </c>
      <c r="M192" s="57"/>
    </row>
    <row r="193" spans="1:13" x14ac:dyDescent="0.2">
      <c r="A193" s="60">
        <v>1001</v>
      </c>
      <c r="B193" s="70" t="s">
        <v>472</v>
      </c>
      <c r="C193" s="69">
        <v>0</v>
      </c>
      <c r="D193" s="69">
        <v>0</v>
      </c>
      <c r="E193" s="69">
        <v>0</v>
      </c>
      <c r="F193" s="69">
        <v>0</v>
      </c>
      <c r="G193" s="69">
        <v>0</v>
      </c>
      <c r="H193" s="69">
        <f>[3]Salary_Bdgt!$H$45</f>
        <v>140063</v>
      </c>
      <c r="I193" s="69">
        <f t="shared" si="21"/>
        <v>151268</v>
      </c>
      <c r="J193" s="69">
        <f t="shared" si="21"/>
        <v>163369</v>
      </c>
      <c r="M193" s="57"/>
    </row>
    <row r="194" spans="1:13" x14ac:dyDescent="0.2">
      <c r="A194" s="60">
        <v>1005</v>
      </c>
      <c r="B194" s="70" t="s">
        <v>3528</v>
      </c>
      <c r="C194" s="69">
        <v>0</v>
      </c>
      <c r="D194" s="69">
        <v>0</v>
      </c>
      <c r="E194" s="69">
        <v>0</v>
      </c>
      <c r="F194" s="69">
        <v>0</v>
      </c>
      <c r="G194" s="69">
        <v>0</v>
      </c>
      <c r="H194" s="69">
        <f>[3]Salary_Bdgt!$L$45</f>
        <v>0</v>
      </c>
      <c r="I194" s="69">
        <f t="shared" si="21"/>
        <v>0</v>
      </c>
      <c r="J194" s="69">
        <f t="shared" si="21"/>
        <v>0</v>
      </c>
      <c r="M194" s="57"/>
    </row>
    <row r="195" spans="1:13" x14ac:dyDescent="0.2">
      <c r="A195" s="60">
        <v>1006</v>
      </c>
      <c r="B195" s="70" t="s">
        <v>3530</v>
      </c>
      <c r="C195" s="69">
        <v>0</v>
      </c>
      <c r="D195" s="69">
        <v>0</v>
      </c>
      <c r="E195" s="69">
        <v>0</v>
      </c>
      <c r="F195" s="69">
        <v>0</v>
      </c>
      <c r="G195" s="69">
        <v>0</v>
      </c>
      <c r="H195" s="69">
        <f>[3]Salary_Bdgt!$N$45</f>
        <v>29105</v>
      </c>
      <c r="I195" s="69">
        <f t="shared" si="21"/>
        <v>31433</v>
      </c>
      <c r="J195" s="69">
        <f t="shared" si="21"/>
        <v>33948</v>
      </c>
      <c r="M195" s="57"/>
    </row>
    <row r="196" spans="1:13" x14ac:dyDescent="0.2">
      <c r="A196" s="60">
        <v>1007</v>
      </c>
      <c r="B196" s="70" t="s">
        <v>3541</v>
      </c>
      <c r="C196" s="69">
        <v>0</v>
      </c>
      <c r="D196" s="69">
        <v>0</v>
      </c>
      <c r="E196" s="69">
        <v>0</v>
      </c>
      <c r="F196" s="69">
        <v>0</v>
      </c>
      <c r="G196" s="69">
        <v>0</v>
      </c>
      <c r="H196" s="69">
        <f>[3]Salary_Bdgt!$I$45</f>
        <v>2801</v>
      </c>
      <c r="I196" s="69">
        <f t="shared" si="21"/>
        <v>3025</v>
      </c>
      <c r="J196" s="69">
        <f t="shared" si="21"/>
        <v>3267</v>
      </c>
      <c r="M196" s="57"/>
    </row>
    <row r="197" spans="1:13" x14ac:dyDescent="0.2">
      <c r="A197" s="60">
        <v>1009</v>
      </c>
      <c r="B197" s="70" t="s">
        <v>3534</v>
      </c>
      <c r="C197" s="69">
        <v>0</v>
      </c>
      <c r="D197" s="69">
        <v>0</v>
      </c>
      <c r="E197" s="69">
        <v>0</v>
      </c>
      <c r="F197" s="69">
        <v>0</v>
      </c>
      <c r="G197" s="69">
        <v>0</v>
      </c>
      <c r="H197" s="69">
        <f>[3]Salary_Bdgt!$M$45</f>
        <v>0</v>
      </c>
      <c r="I197" s="69">
        <f t="shared" si="21"/>
        <v>0</v>
      </c>
      <c r="J197" s="69">
        <f t="shared" si="21"/>
        <v>0</v>
      </c>
      <c r="M197" s="57"/>
    </row>
    <row r="198" spans="1:13" x14ac:dyDescent="0.2">
      <c r="A198" s="60">
        <v>1010</v>
      </c>
      <c r="B198" s="70" t="s">
        <v>3524</v>
      </c>
      <c r="C198" s="69">
        <v>0</v>
      </c>
      <c r="D198" s="69">
        <v>0</v>
      </c>
      <c r="E198" s="69">
        <v>0</v>
      </c>
      <c r="F198" s="69">
        <v>0</v>
      </c>
      <c r="G198" s="69">
        <f>F198/$F$11*$G$11</f>
        <v>0</v>
      </c>
      <c r="H198" s="69">
        <f>[3]Salary_Bdgt!$Q$45</f>
        <v>11672</v>
      </c>
      <c r="I198" s="69">
        <f t="shared" si="21"/>
        <v>12606</v>
      </c>
      <c r="J198" s="69">
        <f t="shared" si="21"/>
        <v>13614</v>
      </c>
      <c r="M198" s="57"/>
    </row>
    <row r="199" spans="1:13" x14ac:dyDescent="0.2">
      <c r="A199" s="60">
        <v>1011</v>
      </c>
      <c r="B199" s="70" t="s">
        <v>3521</v>
      </c>
      <c r="C199" s="69">
        <v>0</v>
      </c>
      <c r="D199" s="69">
        <v>0</v>
      </c>
      <c r="E199" s="69">
        <v>0</v>
      </c>
      <c r="F199" s="69">
        <v>0</v>
      </c>
      <c r="G199" s="69">
        <f>F199/$F$11*$G$11</f>
        <v>0</v>
      </c>
      <c r="H199" s="69">
        <f>[3]Salary_Bdgt!$U$45</f>
        <v>0</v>
      </c>
      <c r="I199" s="69">
        <f t="shared" si="21"/>
        <v>0</v>
      </c>
      <c r="J199" s="69">
        <f t="shared" si="21"/>
        <v>0</v>
      </c>
      <c r="M199" s="57"/>
    </row>
    <row r="200" spans="1:13" x14ac:dyDescent="0.2">
      <c r="A200" s="60">
        <v>1014</v>
      </c>
      <c r="B200" s="70" t="s">
        <v>3532</v>
      </c>
      <c r="C200" s="69">
        <v>0</v>
      </c>
      <c r="D200" s="69">
        <v>0</v>
      </c>
      <c r="E200" s="69">
        <v>0</v>
      </c>
      <c r="F200" s="69">
        <v>0</v>
      </c>
      <c r="G200" s="69">
        <v>0</v>
      </c>
      <c r="H200" s="69">
        <f>[3]Salary_Bdgt!$S$45</f>
        <v>0</v>
      </c>
      <c r="I200" s="69">
        <f t="shared" si="21"/>
        <v>0</v>
      </c>
      <c r="J200" s="69">
        <f t="shared" si="21"/>
        <v>0</v>
      </c>
      <c r="M200" s="57"/>
    </row>
    <row r="201" spans="1:13" x14ac:dyDescent="0.2">
      <c r="A201" s="60">
        <v>1015</v>
      </c>
      <c r="B201" s="70" t="s">
        <v>3535</v>
      </c>
      <c r="C201" s="69">
        <v>0</v>
      </c>
      <c r="D201" s="69">
        <v>0</v>
      </c>
      <c r="E201" s="69">
        <v>0</v>
      </c>
      <c r="F201" s="69">
        <v>0</v>
      </c>
      <c r="G201" s="69">
        <v>0</v>
      </c>
      <c r="H201" s="69">
        <f>[3]Salary_Bdgt!$O$45+[3]Salary_Bdgt!$P$45+[3]Salary_Bdgt!$W$45</f>
        <v>0</v>
      </c>
      <c r="I201" s="69">
        <f t="shared" si="21"/>
        <v>0</v>
      </c>
      <c r="J201" s="69">
        <f t="shared" si="21"/>
        <v>0</v>
      </c>
      <c r="M201" s="57"/>
    </row>
    <row r="202" spans="1:13" x14ac:dyDescent="0.2">
      <c r="A202" s="60">
        <v>1016</v>
      </c>
      <c r="B202" s="70" t="s">
        <v>3517</v>
      </c>
      <c r="C202" s="69">
        <v>0</v>
      </c>
      <c r="D202" s="69">
        <v>0</v>
      </c>
      <c r="E202" s="69">
        <v>0</v>
      </c>
      <c r="F202" s="69">
        <v>0</v>
      </c>
      <c r="G202" s="69">
        <f>F202/$F$11*$G$11</f>
        <v>0</v>
      </c>
      <c r="H202" s="69">
        <f>[3]Salary_Bdgt!$T$45+[3]Salary_Bdgt!$V$45</f>
        <v>0</v>
      </c>
      <c r="I202" s="69">
        <f t="shared" si="21"/>
        <v>0</v>
      </c>
      <c r="J202" s="69">
        <f t="shared" si="21"/>
        <v>0</v>
      </c>
      <c r="M202" s="57"/>
    </row>
    <row r="203" spans="1:13" x14ac:dyDescent="0.2">
      <c r="A203" s="60">
        <v>1017</v>
      </c>
      <c r="B203" s="70" t="s">
        <v>3539</v>
      </c>
      <c r="C203" s="69">
        <v>0</v>
      </c>
      <c r="D203" s="69">
        <v>0</v>
      </c>
      <c r="E203" s="69">
        <v>0</v>
      </c>
      <c r="F203" s="69">
        <v>0</v>
      </c>
      <c r="G203" s="69">
        <v>0</v>
      </c>
      <c r="H203" s="69">
        <f>[3]Salary_Bdgt!$J$45</f>
        <v>2801</v>
      </c>
      <c r="I203" s="69">
        <f t="shared" si="21"/>
        <v>3025</v>
      </c>
      <c r="J203" s="69">
        <f t="shared" si="21"/>
        <v>3267</v>
      </c>
      <c r="M203" s="57"/>
    </row>
    <row r="204" spans="1:13" x14ac:dyDescent="0.2">
      <c r="A204" s="60">
        <v>1046</v>
      </c>
      <c r="B204" s="70" t="s">
        <v>3522</v>
      </c>
      <c r="C204" s="69">
        <v>0</v>
      </c>
      <c r="D204" s="69">
        <v>0</v>
      </c>
      <c r="E204" s="69">
        <v>0</v>
      </c>
      <c r="F204" s="69">
        <v>0</v>
      </c>
      <c r="G204" s="69">
        <f>F204/$F$11*$G$11</f>
        <v>0</v>
      </c>
      <c r="H204" s="69">
        <f>[3]Salary_Bdgt!$R$45</f>
        <v>0</v>
      </c>
      <c r="I204" s="69">
        <f t="shared" si="21"/>
        <v>0</v>
      </c>
      <c r="J204" s="69">
        <f t="shared" si="21"/>
        <v>0</v>
      </c>
      <c r="M204" s="57"/>
    </row>
    <row r="205" spans="1:13" x14ac:dyDescent="0.2">
      <c r="A205" s="60">
        <v>1182</v>
      </c>
      <c r="B205" s="71" t="s">
        <v>3526</v>
      </c>
      <c r="C205" s="56">
        <v>2121</v>
      </c>
      <c r="D205" s="56">
        <v>0</v>
      </c>
      <c r="E205" s="56">
        <v>0</v>
      </c>
      <c r="F205" s="56">
        <v>0</v>
      </c>
      <c r="G205" s="56">
        <v>0</v>
      </c>
      <c r="H205" s="56">
        <f>[3]Salary_Bdgt!$K$45</f>
        <v>2605</v>
      </c>
      <c r="I205" s="56">
        <f t="shared" si="21"/>
        <v>2813</v>
      </c>
      <c r="J205" s="56">
        <f t="shared" si="21"/>
        <v>3038</v>
      </c>
      <c r="M205" s="57"/>
    </row>
    <row r="206" spans="1:13" x14ac:dyDescent="0.2">
      <c r="A206" s="60"/>
      <c r="B206" s="58" t="s">
        <v>416</v>
      </c>
      <c r="C206" s="72">
        <f t="shared" ref="C206:J206" si="22">SUM(C180:C205)</f>
        <v>209609.76</v>
      </c>
      <c r="D206" s="72">
        <f t="shared" si="22"/>
        <v>660331</v>
      </c>
      <c r="E206" s="72">
        <f t="shared" si="22"/>
        <v>660331</v>
      </c>
      <c r="F206" s="72">
        <f t="shared" si="22"/>
        <v>554476</v>
      </c>
      <c r="G206" s="72">
        <f t="shared" si="22"/>
        <v>665371.19999999995</v>
      </c>
      <c r="H206" s="72">
        <f t="shared" si="22"/>
        <v>958434</v>
      </c>
      <c r="I206" s="72">
        <f t="shared" si="22"/>
        <v>1035110</v>
      </c>
      <c r="J206" s="72">
        <f t="shared" si="22"/>
        <v>1117918</v>
      </c>
      <c r="M206" s="57"/>
    </row>
    <row r="207" spans="1:13" x14ac:dyDescent="0.2">
      <c r="A207" s="60"/>
      <c r="B207" s="58"/>
      <c r="C207" s="69"/>
      <c r="D207" s="69"/>
      <c r="E207" s="69"/>
      <c r="F207" s="24"/>
      <c r="G207" s="69"/>
      <c r="H207" s="69"/>
      <c r="I207" s="69"/>
      <c r="J207" s="69"/>
      <c r="M207" s="57"/>
    </row>
    <row r="208" spans="1:13" x14ac:dyDescent="0.2">
      <c r="A208" s="60"/>
      <c r="B208" s="58" t="s">
        <v>435</v>
      </c>
      <c r="C208" s="69"/>
      <c r="D208" s="69"/>
      <c r="E208" s="69"/>
      <c r="F208" s="24"/>
      <c r="G208" s="69"/>
      <c r="H208" s="69"/>
      <c r="I208" s="69"/>
      <c r="J208" s="69"/>
      <c r="M208" s="57"/>
    </row>
    <row r="209" spans="1:13" s="9" customFormat="1" x14ac:dyDescent="0.2">
      <c r="A209" s="60">
        <v>2113</v>
      </c>
      <c r="B209" s="70" t="s">
        <v>4062</v>
      </c>
      <c r="C209" s="69">
        <v>0</v>
      </c>
      <c r="D209" s="69">
        <v>10500</v>
      </c>
      <c r="E209" s="69">
        <f>10500</f>
        <v>10500</v>
      </c>
      <c r="F209" s="69">
        <v>129</v>
      </c>
      <c r="G209" s="69">
        <f t="shared" ref="G209:G215" si="23">F209/$F$11*$G$11</f>
        <v>154.80000000000001</v>
      </c>
      <c r="H209" s="69">
        <f>ROUND(E209*1.05,0)</f>
        <v>11025</v>
      </c>
      <c r="I209" s="69">
        <f t="shared" ref="I209:J211" si="24">ROUND(H209*1.05,0)</f>
        <v>11576</v>
      </c>
      <c r="J209" s="69">
        <f t="shared" si="24"/>
        <v>12155</v>
      </c>
      <c r="M209" s="57"/>
    </row>
    <row r="210" spans="1:13" s="9" customFormat="1" x14ac:dyDescent="0.2">
      <c r="A210" s="60">
        <v>2207</v>
      </c>
      <c r="B210" s="70" t="s">
        <v>4063</v>
      </c>
      <c r="C210" s="69">
        <v>0</v>
      </c>
      <c r="D210" s="69">
        <v>21000</v>
      </c>
      <c r="E210" s="69">
        <v>21000</v>
      </c>
      <c r="F210" s="69">
        <v>0</v>
      </c>
      <c r="G210" s="69">
        <f t="shared" si="23"/>
        <v>0</v>
      </c>
      <c r="H210" s="69">
        <v>0</v>
      </c>
      <c r="I210" s="69">
        <f t="shared" si="24"/>
        <v>0</v>
      </c>
      <c r="J210" s="69">
        <f t="shared" si="24"/>
        <v>0</v>
      </c>
      <c r="M210" s="57"/>
    </row>
    <row r="211" spans="1:13" s="9" customFormat="1" x14ac:dyDescent="0.2">
      <c r="A211" s="60">
        <v>2226</v>
      </c>
      <c r="B211" s="70" t="s">
        <v>4051</v>
      </c>
      <c r="C211" s="69">
        <v>0</v>
      </c>
      <c r="D211" s="69">
        <v>5250</v>
      </c>
      <c r="E211" s="69">
        <v>5250</v>
      </c>
      <c r="F211" s="69">
        <v>0</v>
      </c>
      <c r="G211" s="69">
        <f t="shared" si="23"/>
        <v>0</v>
      </c>
      <c r="H211" s="69">
        <f>ROUND(E211*1.05,0)</f>
        <v>5513</v>
      </c>
      <c r="I211" s="69">
        <f t="shared" si="24"/>
        <v>5789</v>
      </c>
      <c r="J211" s="69">
        <f t="shared" si="24"/>
        <v>6078</v>
      </c>
      <c r="M211" s="57"/>
    </row>
    <row r="212" spans="1:13" s="9" customFormat="1" x14ac:dyDescent="0.2">
      <c r="A212" s="60">
        <v>2227</v>
      </c>
      <c r="B212" s="70" t="s">
        <v>448</v>
      </c>
      <c r="C212" s="69">
        <v>339</v>
      </c>
      <c r="D212" s="69">
        <v>0</v>
      </c>
      <c r="E212" s="69">
        <v>0</v>
      </c>
      <c r="F212" s="69">
        <v>61</v>
      </c>
      <c r="G212" s="69">
        <f t="shared" si="23"/>
        <v>73.199999999999989</v>
      </c>
      <c r="H212" s="69">
        <f>ROUND(E212*1.05,0)</f>
        <v>0</v>
      </c>
      <c r="I212" s="69">
        <v>0</v>
      </c>
      <c r="J212" s="69">
        <v>0</v>
      </c>
      <c r="M212" s="57"/>
    </row>
    <row r="213" spans="1:13" s="9" customFormat="1" x14ac:dyDescent="0.2">
      <c r="A213" s="60">
        <v>2231</v>
      </c>
      <c r="B213" s="70" t="s">
        <v>478</v>
      </c>
      <c r="C213" s="69">
        <v>21443</v>
      </c>
      <c r="D213" s="69">
        <v>10500</v>
      </c>
      <c r="E213" s="69">
        <v>10500</v>
      </c>
      <c r="F213" s="69">
        <v>24387</v>
      </c>
      <c r="G213" s="69">
        <f t="shared" si="23"/>
        <v>29264.399999999998</v>
      </c>
      <c r="H213" s="69">
        <f>ROUND(E213*1.05,0)</f>
        <v>11025</v>
      </c>
      <c r="I213" s="69">
        <f t="shared" ref="I213:J215" si="25">ROUND(H213*1.05,0)</f>
        <v>11576</v>
      </c>
      <c r="J213" s="69">
        <f t="shared" si="25"/>
        <v>12155</v>
      </c>
      <c r="M213" s="57"/>
    </row>
    <row r="214" spans="1:13" s="9" customFormat="1" x14ac:dyDescent="0.2">
      <c r="A214" s="60">
        <v>2233</v>
      </c>
      <c r="B214" s="70" t="s">
        <v>497</v>
      </c>
      <c r="C214" s="69">
        <v>0</v>
      </c>
      <c r="D214" s="69">
        <v>10500</v>
      </c>
      <c r="E214" s="69">
        <v>10500</v>
      </c>
      <c r="F214" s="69">
        <v>0</v>
      </c>
      <c r="G214" s="69">
        <f t="shared" si="23"/>
        <v>0</v>
      </c>
      <c r="H214" s="69">
        <v>0</v>
      </c>
      <c r="I214" s="69">
        <f t="shared" si="25"/>
        <v>0</v>
      </c>
      <c r="J214" s="69">
        <f t="shared" si="25"/>
        <v>0</v>
      </c>
      <c r="M214" s="57"/>
    </row>
    <row r="215" spans="1:13" s="9" customFormat="1" x14ac:dyDescent="0.2">
      <c r="A215" s="60">
        <v>2238</v>
      </c>
      <c r="B215" s="71" t="s">
        <v>479</v>
      </c>
      <c r="C215" s="56">
        <v>107521</v>
      </c>
      <c r="D215" s="56">
        <v>75000</v>
      </c>
      <c r="E215" s="56">
        <f>75000+150000</f>
        <v>225000</v>
      </c>
      <c r="F215" s="56">
        <v>163543</v>
      </c>
      <c r="G215" s="56">
        <f t="shared" si="23"/>
        <v>196251.59999999998</v>
      </c>
      <c r="H215" s="56">
        <f>ROUND(E215*1.05,0)</f>
        <v>236250</v>
      </c>
      <c r="I215" s="56">
        <f t="shared" si="25"/>
        <v>248063</v>
      </c>
      <c r="J215" s="56">
        <f t="shared" si="25"/>
        <v>260466</v>
      </c>
      <c r="M215" s="57"/>
    </row>
    <row r="216" spans="1:13" s="5" customFormat="1" x14ac:dyDescent="0.2">
      <c r="A216" s="41"/>
      <c r="B216" s="58" t="s">
        <v>436</v>
      </c>
      <c r="C216" s="72">
        <f t="shared" ref="C216:J216" si="26">SUM(C209:C215)</f>
        <v>129303</v>
      </c>
      <c r="D216" s="72">
        <f t="shared" si="26"/>
        <v>132750</v>
      </c>
      <c r="E216" s="72">
        <f t="shared" si="26"/>
        <v>282750</v>
      </c>
      <c r="F216" s="72">
        <f t="shared" si="26"/>
        <v>188120</v>
      </c>
      <c r="G216" s="72">
        <f t="shared" si="26"/>
        <v>225743.99999999997</v>
      </c>
      <c r="H216" s="72">
        <f t="shared" si="26"/>
        <v>263813</v>
      </c>
      <c r="I216" s="72">
        <f t="shared" si="26"/>
        <v>277004</v>
      </c>
      <c r="J216" s="72">
        <f t="shared" si="26"/>
        <v>290854</v>
      </c>
      <c r="M216" s="57"/>
    </row>
    <row r="217" spans="1:13" s="5" customFormat="1" x14ac:dyDescent="0.2">
      <c r="A217" s="41"/>
      <c r="B217" s="61"/>
      <c r="C217" s="89"/>
      <c r="D217" s="89"/>
      <c r="E217" s="89"/>
      <c r="F217" s="90"/>
      <c r="G217" s="56"/>
      <c r="H217" s="56"/>
      <c r="I217" s="89"/>
      <c r="J217" s="89"/>
      <c r="M217" s="57"/>
    </row>
    <row r="218" spans="1:13" x14ac:dyDescent="0.2">
      <c r="A218" s="64"/>
      <c r="B218" s="58" t="s">
        <v>4055</v>
      </c>
      <c r="C218" s="73">
        <f t="shared" ref="C218:J218" si="27">+C206+C216</f>
        <v>338912.76</v>
      </c>
      <c r="D218" s="73">
        <f t="shared" si="27"/>
        <v>793081</v>
      </c>
      <c r="E218" s="73">
        <f t="shared" si="27"/>
        <v>943081</v>
      </c>
      <c r="F218" s="73">
        <f t="shared" si="27"/>
        <v>742596</v>
      </c>
      <c r="G218" s="73">
        <f t="shared" si="27"/>
        <v>891115.2</v>
      </c>
      <c r="H218" s="73">
        <f t="shared" si="27"/>
        <v>1222247</v>
      </c>
      <c r="I218" s="73">
        <f t="shared" si="27"/>
        <v>1312114</v>
      </c>
      <c r="J218" s="73">
        <f t="shared" si="27"/>
        <v>1408772</v>
      </c>
      <c r="M218" s="57"/>
    </row>
    <row r="219" spans="1:13" x14ac:dyDescent="0.2">
      <c r="A219" s="64"/>
      <c r="B219" s="58"/>
      <c r="C219" s="73"/>
      <c r="D219" s="73"/>
      <c r="E219" s="73"/>
      <c r="G219" s="69"/>
      <c r="H219" s="69"/>
      <c r="I219" s="73"/>
      <c r="J219" s="73"/>
      <c r="M219" s="57"/>
    </row>
    <row r="220" spans="1:13" x14ac:dyDescent="0.2">
      <c r="A220" s="64"/>
      <c r="B220" s="58" t="s">
        <v>418</v>
      </c>
      <c r="C220" s="73"/>
      <c r="D220" s="73"/>
      <c r="E220" s="73"/>
      <c r="F220" s="69"/>
      <c r="G220" s="69"/>
      <c r="H220" s="69"/>
      <c r="I220" s="73"/>
      <c r="J220" s="73"/>
      <c r="M220" s="57"/>
    </row>
    <row r="221" spans="1:13" x14ac:dyDescent="0.2">
      <c r="A221" s="64">
        <v>4207</v>
      </c>
      <c r="B221" s="70" t="s">
        <v>222</v>
      </c>
      <c r="C221" s="96">
        <v>12490</v>
      </c>
      <c r="D221" s="96">
        <v>0</v>
      </c>
      <c r="E221" s="96">
        <v>0</v>
      </c>
      <c r="F221" s="69">
        <v>0</v>
      </c>
      <c r="G221" s="69">
        <v>0</v>
      </c>
      <c r="H221" s="69">
        <v>0</v>
      </c>
      <c r="I221" s="96">
        <v>0</v>
      </c>
      <c r="J221" s="96">
        <v>0</v>
      </c>
      <c r="M221" s="57"/>
    </row>
    <row r="222" spans="1:13" x14ac:dyDescent="0.2">
      <c r="A222" s="64">
        <v>4209</v>
      </c>
      <c r="B222" s="70" t="s">
        <v>1062</v>
      </c>
      <c r="C222" s="96">
        <v>1050</v>
      </c>
      <c r="D222" s="96">
        <v>0</v>
      </c>
      <c r="E222" s="96">
        <v>0</v>
      </c>
      <c r="F222" s="69">
        <v>0</v>
      </c>
      <c r="G222" s="69">
        <v>0</v>
      </c>
      <c r="H222" s="69">
        <v>0</v>
      </c>
      <c r="I222" s="96">
        <v>0</v>
      </c>
      <c r="J222" s="96">
        <v>0</v>
      </c>
      <c r="M222" s="57"/>
    </row>
    <row r="223" spans="1:13" s="9" customFormat="1" x14ac:dyDescent="0.2">
      <c r="A223" s="64">
        <v>4105</v>
      </c>
      <c r="B223" s="71" t="s">
        <v>1061</v>
      </c>
      <c r="C223" s="56">
        <v>0</v>
      </c>
      <c r="D223" s="56">
        <v>0</v>
      </c>
      <c r="E223" s="56">
        <v>0</v>
      </c>
      <c r="F223" s="56">
        <v>0</v>
      </c>
      <c r="G223" s="56">
        <f>F223/$F$11*$G$11</f>
        <v>0</v>
      </c>
      <c r="H223" s="56">
        <v>0</v>
      </c>
      <c r="I223" s="56">
        <f>ROUND(D223*1.05,0)</f>
        <v>0</v>
      </c>
      <c r="J223" s="56">
        <f>ROUND(I223*1.05,0)</f>
        <v>0</v>
      </c>
      <c r="M223" s="57"/>
    </row>
    <row r="224" spans="1:13" x14ac:dyDescent="0.2">
      <c r="A224" s="64"/>
      <c r="B224" s="58" t="s">
        <v>419</v>
      </c>
      <c r="C224" s="72">
        <f t="shared" ref="C224:J224" si="28">SUM(C221:C223)</f>
        <v>13540</v>
      </c>
      <c r="D224" s="72">
        <f t="shared" si="28"/>
        <v>0</v>
      </c>
      <c r="E224" s="72">
        <f t="shared" si="28"/>
        <v>0</v>
      </c>
      <c r="F224" s="72">
        <f t="shared" si="28"/>
        <v>0</v>
      </c>
      <c r="G224" s="72">
        <f t="shared" si="28"/>
        <v>0</v>
      </c>
      <c r="H224" s="72">
        <f t="shared" si="28"/>
        <v>0</v>
      </c>
      <c r="I224" s="72">
        <f t="shared" si="28"/>
        <v>0</v>
      </c>
      <c r="J224" s="72">
        <f t="shared" si="28"/>
        <v>0</v>
      </c>
      <c r="M224" s="57"/>
    </row>
    <row r="225" spans="1:13" x14ac:dyDescent="0.2">
      <c r="A225" s="64"/>
      <c r="B225" s="58"/>
      <c r="C225" s="73"/>
      <c r="D225" s="73"/>
      <c r="E225" s="73"/>
      <c r="G225" s="69"/>
      <c r="H225" s="69"/>
      <c r="I225" s="73"/>
      <c r="J225" s="73"/>
      <c r="M225" s="57"/>
    </row>
    <row r="226" spans="1:13" ht="13.5" thickBot="1" x14ac:dyDescent="0.25">
      <c r="A226" s="64"/>
      <c r="B226" s="65" t="s">
        <v>4033</v>
      </c>
      <c r="C226" s="76">
        <f t="shared" ref="C226:J226" si="29">C218+C224</f>
        <v>352452.76</v>
      </c>
      <c r="D226" s="76">
        <f t="shared" si="29"/>
        <v>793081</v>
      </c>
      <c r="E226" s="76">
        <f t="shared" si="29"/>
        <v>943081</v>
      </c>
      <c r="F226" s="76">
        <f t="shared" si="29"/>
        <v>742596</v>
      </c>
      <c r="G226" s="76">
        <f t="shared" si="29"/>
        <v>891115.2</v>
      </c>
      <c r="H226" s="76">
        <f t="shared" si="29"/>
        <v>1222247</v>
      </c>
      <c r="I226" s="76">
        <f t="shared" si="29"/>
        <v>1312114</v>
      </c>
      <c r="J226" s="76">
        <f t="shared" si="29"/>
        <v>1408772</v>
      </c>
      <c r="M226" s="57"/>
    </row>
    <row r="227" spans="1:13" ht="13.5" thickTop="1" x14ac:dyDescent="0.2">
      <c r="A227" s="64"/>
      <c r="B227" s="58"/>
      <c r="C227" s="72"/>
      <c r="D227" s="72"/>
      <c r="E227" s="72"/>
      <c r="F227" s="72"/>
      <c r="G227" s="72"/>
      <c r="H227" s="72"/>
      <c r="I227" s="72"/>
      <c r="J227" s="72"/>
      <c r="M227" s="57"/>
    </row>
    <row r="228" spans="1:13" ht="13.5" thickBot="1" x14ac:dyDescent="0.25">
      <c r="A228" s="67"/>
      <c r="B228" s="65" t="s">
        <v>4059</v>
      </c>
      <c r="C228" s="77">
        <f t="shared" ref="C228:J228" si="30">+C175-C226</f>
        <v>-247497.76</v>
      </c>
      <c r="D228" s="77">
        <f t="shared" si="30"/>
        <v>-317081</v>
      </c>
      <c r="E228" s="77">
        <f t="shared" si="30"/>
        <v>-467081</v>
      </c>
      <c r="F228" s="77">
        <f t="shared" si="30"/>
        <v>-742596</v>
      </c>
      <c r="G228" s="77">
        <f t="shared" si="30"/>
        <v>-415115.19999999995</v>
      </c>
      <c r="H228" s="77">
        <f t="shared" si="30"/>
        <v>-755247</v>
      </c>
      <c r="I228" s="77">
        <f t="shared" si="30"/>
        <v>-1312114</v>
      </c>
      <c r="J228" s="77">
        <f t="shared" si="30"/>
        <v>-1408772</v>
      </c>
      <c r="M228" s="57"/>
    </row>
    <row r="229" spans="1:13" ht="13.5" thickTop="1" x14ac:dyDescent="0.2">
      <c r="A229" s="67"/>
      <c r="B229" s="58"/>
      <c r="C229" s="78"/>
      <c r="D229" s="78"/>
      <c r="E229" s="78"/>
      <c r="F229" s="24"/>
      <c r="G229" s="69"/>
      <c r="H229" s="69"/>
      <c r="I229" s="78"/>
      <c r="J229" s="78"/>
      <c r="M229" s="57"/>
    </row>
    <row r="230" spans="1:13" x14ac:dyDescent="0.2">
      <c r="A230" s="67"/>
      <c r="B230" s="58"/>
      <c r="C230" s="78"/>
      <c r="D230" s="78"/>
      <c r="E230" s="78"/>
      <c r="F230" s="24"/>
      <c r="G230" s="69"/>
      <c r="H230" s="69"/>
      <c r="I230" s="78"/>
      <c r="J230" s="78"/>
      <c r="M230" s="57"/>
    </row>
    <row r="231" spans="1:13" x14ac:dyDescent="0.2">
      <c r="A231" s="67"/>
      <c r="B231" s="58"/>
      <c r="C231" s="78"/>
      <c r="D231" s="78"/>
      <c r="E231" s="78"/>
      <c r="F231" s="24"/>
      <c r="G231" s="69"/>
      <c r="H231" s="69"/>
      <c r="I231" s="78"/>
      <c r="J231" s="78"/>
      <c r="M231" s="57"/>
    </row>
    <row r="232" spans="1:13" x14ac:dyDescent="0.2">
      <c r="A232" s="67"/>
      <c r="B232" s="58"/>
      <c r="C232" s="78"/>
      <c r="D232" s="78"/>
      <c r="E232" s="78"/>
      <c r="F232" s="24"/>
      <c r="G232" s="69"/>
      <c r="H232" s="69"/>
      <c r="I232" s="78"/>
      <c r="J232" s="78"/>
      <c r="M232" s="57"/>
    </row>
    <row r="233" spans="1:13" x14ac:dyDescent="0.2">
      <c r="A233" s="67"/>
      <c r="B233" s="58"/>
      <c r="C233" s="78"/>
      <c r="D233" s="78"/>
      <c r="E233" s="78"/>
      <c r="F233" s="24"/>
      <c r="G233" s="69"/>
      <c r="H233" s="69"/>
      <c r="I233" s="78"/>
      <c r="J233" s="78"/>
      <c r="M233" s="57"/>
    </row>
    <row r="234" spans="1:13" x14ac:dyDescent="0.2">
      <c r="A234" s="67"/>
      <c r="B234" s="58"/>
      <c r="C234" s="78"/>
      <c r="D234" s="78"/>
      <c r="E234" s="78"/>
      <c r="F234" s="24"/>
      <c r="G234" s="69"/>
      <c r="H234" s="69"/>
      <c r="I234" s="78"/>
      <c r="J234" s="78"/>
      <c r="M234" s="57"/>
    </row>
    <row r="235" spans="1:13" x14ac:dyDescent="0.2">
      <c r="A235" s="67"/>
      <c r="B235" s="58"/>
      <c r="C235" s="78"/>
      <c r="D235" s="78"/>
      <c r="E235" s="78"/>
      <c r="F235" s="24"/>
      <c r="G235" s="69"/>
      <c r="H235" s="69"/>
      <c r="I235" s="78"/>
      <c r="J235" s="78"/>
      <c r="M235" s="57"/>
    </row>
    <row r="236" spans="1:13" x14ac:dyDescent="0.2">
      <c r="A236" s="67"/>
      <c r="B236" s="58"/>
      <c r="C236" s="78"/>
      <c r="D236" s="78"/>
      <c r="E236" s="78"/>
      <c r="F236" s="24"/>
      <c r="G236" s="69"/>
      <c r="H236" s="69"/>
      <c r="I236" s="78"/>
      <c r="J236" s="78"/>
      <c r="M236" s="57"/>
    </row>
    <row r="237" spans="1:13" x14ac:dyDescent="0.2">
      <c r="A237" s="67"/>
      <c r="B237" s="58"/>
      <c r="C237" s="78"/>
      <c r="D237" s="78"/>
      <c r="E237" s="78"/>
      <c r="F237" s="24"/>
      <c r="G237" s="69"/>
      <c r="H237" s="69"/>
      <c r="I237" s="78"/>
      <c r="J237" s="78"/>
      <c r="M237" s="57"/>
    </row>
    <row r="238" spans="1:13" x14ac:dyDescent="0.2">
      <c r="A238" s="67"/>
      <c r="B238" s="58"/>
      <c r="C238" s="78"/>
      <c r="D238" s="78"/>
      <c r="E238" s="78"/>
      <c r="F238" s="24"/>
      <c r="G238" s="69"/>
      <c r="H238" s="69"/>
      <c r="I238" s="78"/>
      <c r="J238" s="78"/>
      <c r="M238" s="57"/>
    </row>
    <row r="239" spans="1:13" x14ac:dyDescent="0.2">
      <c r="A239" s="67"/>
      <c r="B239" s="58"/>
      <c r="C239" s="78"/>
      <c r="D239" s="78"/>
      <c r="E239" s="78"/>
      <c r="F239" s="24"/>
      <c r="G239" s="69"/>
      <c r="H239" s="69"/>
      <c r="I239" s="78"/>
      <c r="J239" s="78"/>
      <c r="M239" s="57"/>
    </row>
    <row r="240" spans="1:13" x14ac:dyDescent="0.2">
      <c r="A240" s="67"/>
      <c r="B240" s="58"/>
      <c r="C240" s="78"/>
      <c r="D240" s="78"/>
      <c r="E240" s="78"/>
      <c r="F240" s="24"/>
      <c r="G240" s="69"/>
      <c r="H240" s="69"/>
      <c r="I240" s="78"/>
      <c r="J240" s="78"/>
      <c r="M240" s="57"/>
    </row>
    <row r="241" spans="1:13" x14ac:dyDescent="0.2">
      <c r="A241" s="67"/>
      <c r="B241" s="58"/>
      <c r="C241" s="78"/>
      <c r="D241" s="78"/>
      <c r="E241" s="78"/>
      <c r="F241" s="24"/>
      <c r="G241" s="69"/>
      <c r="H241" s="69"/>
      <c r="I241" s="78"/>
      <c r="J241" s="78"/>
      <c r="M241" s="57"/>
    </row>
    <row r="242" spans="1:13" x14ac:dyDescent="0.2">
      <c r="A242" s="67"/>
      <c r="B242" s="58"/>
      <c r="C242" s="78"/>
      <c r="D242" s="78"/>
      <c r="E242" s="78"/>
      <c r="F242" s="24"/>
      <c r="G242" s="69"/>
      <c r="H242" s="69"/>
      <c r="I242" s="78"/>
      <c r="J242" s="78"/>
      <c r="M242" s="57"/>
    </row>
    <row r="243" spans="1:13" x14ac:dyDescent="0.2">
      <c r="A243" s="67"/>
      <c r="B243" s="58"/>
      <c r="C243" s="78"/>
      <c r="D243" s="78"/>
      <c r="E243" s="78"/>
      <c r="F243" s="24"/>
      <c r="G243" s="69"/>
      <c r="H243" s="69"/>
      <c r="I243" s="78"/>
      <c r="J243" s="78"/>
      <c r="M243" s="57"/>
    </row>
    <row r="244" spans="1:13" x14ac:dyDescent="0.2">
      <c r="A244" s="67"/>
      <c r="B244" s="58"/>
      <c r="C244" s="78"/>
      <c r="D244" s="78"/>
      <c r="E244" s="78"/>
      <c r="F244" s="24"/>
      <c r="G244" s="69"/>
      <c r="H244" s="69"/>
      <c r="I244" s="78"/>
      <c r="J244" s="78"/>
      <c r="M244" s="57"/>
    </row>
    <row r="245" spans="1:13" x14ac:dyDescent="0.2">
      <c r="A245" s="67"/>
      <c r="B245" s="58"/>
      <c r="C245" s="78"/>
      <c r="D245" s="78"/>
      <c r="E245" s="78"/>
      <c r="F245" s="24"/>
      <c r="G245" s="69"/>
      <c r="H245" s="69"/>
      <c r="I245" s="78"/>
      <c r="J245" s="78"/>
      <c r="M245" s="57"/>
    </row>
    <row r="246" spans="1:13" x14ac:dyDescent="0.2">
      <c r="A246" s="67"/>
      <c r="B246" s="58"/>
      <c r="C246" s="78"/>
      <c r="D246" s="78"/>
      <c r="E246" s="78"/>
      <c r="F246" s="24"/>
      <c r="G246" s="69"/>
      <c r="H246" s="69"/>
      <c r="I246" s="78"/>
      <c r="J246" s="78"/>
      <c r="M246" s="57"/>
    </row>
    <row r="247" spans="1:13" x14ac:dyDescent="0.2">
      <c r="A247" s="67"/>
      <c r="B247" s="58"/>
      <c r="C247" s="78"/>
      <c r="D247" s="78"/>
      <c r="E247" s="78"/>
      <c r="F247" s="24"/>
      <c r="G247" s="69"/>
      <c r="H247" s="69"/>
      <c r="I247" s="78"/>
      <c r="J247" s="78"/>
      <c r="M247" s="57"/>
    </row>
    <row r="248" spans="1:13" x14ac:dyDescent="0.2">
      <c r="A248" s="67"/>
      <c r="B248" s="58"/>
      <c r="C248" s="78"/>
      <c r="D248" s="78"/>
      <c r="E248" s="78"/>
      <c r="F248" s="24"/>
      <c r="G248" s="69"/>
      <c r="H248" s="69"/>
      <c r="I248" s="78"/>
      <c r="J248" s="78"/>
      <c r="M248" s="57"/>
    </row>
    <row r="249" spans="1:13" x14ac:dyDescent="0.2">
      <c r="A249" s="67"/>
      <c r="B249" s="58"/>
      <c r="C249" s="78"/>
      <c r="D249" s="78"/>
      <c r="E249" s="78"/>
      <c r="F249" s="24"/>
      <c r="G249" s="69"/>
      <c r="H249" s="69"/>
      <c r="I249" s="78"/>
      <c r="J249" s="78"/>
      <c r="M249" s="57"/>
    </row>
    <row r="250" spans="1:13" x14ac:dyDescent="0.2">
      <c r="A250" s="67"/>
      <c r="B250" s="58"/>
      <c r="C250" s="78"/>
      <c r="D250" s="78"/>
      <c r="E250" s="78"/>
      <c r="F250" s="24"/>
      <c r="G250" s="69"/>
      <c r="H250" s="69"/>
      <c r="I250" s="78"/>
      <c r="J250" s="78"/>
      <c r="M250" s="57"/>
    </row>
    <row r="251" spans="1:13" x14ac:dyDescent="0.2">
      <c r="A251" s="67"/>
      <c r="B251" s="58"/>
      <c r="C251" s="78"/>
      <c r="D251" s="78"/>
      <c r="E251" s="78"/>
      <c r="F251" s="24"/>
      <c r="G251" s="69"/>
      <c r="H251" s="69"/>
      <c r="I251" s="78"/>
      <c r="J251" s="78"/>
      <c r="M251" s="57"/>
    </row>
    <row r="252" spans="1:13" x14ac:dyDescent="0.2">
      <c r="A252" s="67"/>
      <c r="B252" s="58"/>
      <c r="C252" s="78"/>
      <c r="D252" s="78"/>
      <c r="E252" s="78"/>
      <c r="F252" s="24"/>
      <c r="G252" s="69"/>
      <c r="H252" s="69"/>
      <c r="I252" s="78"/>
      <c r="J252" s="78"/>
      <c r="M252" s="57"/>
    </row>
    <row r="253" spans="1:13" x14ac:dyDescent="0.2">
      <c r="A253" s="67"/>
      <c r="B253" s="58"/>
      <c r="C253" s="78"/>
      <c r="D253" s="78"/>
      <c r="E253" s="78"/>
      <c r="F253" s="24"/>
      <c r="G253" s="69"/>
      <c r="H253" s="69"/>
      <c r="I253" s="78"/>
      <c r="J253" s="78"/>
      <c r="M253" s="57"/>
    </row>
    <row r="254" spans="1:13" ht="15" x14ac:dyDescent="0.25">
      <c r="A254" s="91">
        <v>1020</v>
      </c>
      <c r="B254" s="92" t="s">
        <v>4065</v>
      </c>
      <c r="F254" s="24"/>
      <c r="G254" s="69"/>
      <c r="H254" s="69"/>
      <c r="M254" s="57"/>
    </row>
    <row r="255" spans="1:13" x14ac:dyDescent="0.2">
      <c r="A255" s="93">
        <v>1021</v>
      </c>
      <c r="B255" s="94" t="s">
        <v>4072</v>
      </c>
      <c r="F255" s="24"/>
      <c r="G255" s="69"/>
      <c r="H255" s="69"/>
      <c r="M255" s="57"/>
    </row>
    <row r="256" spans="1:13" x14ac:dyDescent="0.2">
      <c r="A256" s="93"/>
      <c r="B256" s="94"/>
      <c r="F256" s="24"/>
      <c r="G256" s="69"/>
      <c r="H256" s="69"/>
      <c r="M256" s="57"/>
    </row>
    <row r="257" spans="1:13" x14ac:dyDescent="0.2">
      <c r="A257" s="93"/>
      <c r="B257" s="50" t="s">
        <v>61</v>
      </c>
      <c r="C257" s="50"/>
      <c r="D257" s="50"/>
      <c r="E257" s="50"/>
      <c r="F257" s="24"/>
      <c r="G257" s="69"/>
      <c r="H257" s="69"/>
      <c r="I257" s="85"/>
      <c r="J257" s="85"/>
      <c r="M257" s="57"/>
    </row>
    <row r="258" spans="1:13" x14ac:dyDescent="0.2">
      <c r="A258" s="93"/>
      <c r="B258" s="50"/>
      <c r="C258" s="50"/>
      <c r="D258" s="50"/>
      <c r="E258" s="50"/>
      <c r="F258" s="24"/>
      <c r="G258" s="69"/>
      <c r="H258" s="69"/>
      <c r="I258" s="85"/>
      <c r="J258" s="85"/>
      <c r="M258" s="57"/>
    </row>
    <row r="259" spans="1:13" x14ac:dyDescent="0.2">
      <c r="A259" s="93"/>
      <c r="B259" s="58" t="s">
        <v>413</v>
      </c>
      <c r="C259" s="53"/>
      <c r="D259" s="53"/>
      <c r="E259" s="53"/>
      <c r="F259" s="24"/>
      <c r="G259" s="69"/>
      <c r="H259" s="69"/>
      <c r="I259" s="54"/>
      <c r="J259" s="54"/>
      <c r="M259" s="57"/>
    </row>
    <row r="260" spans="1:13" x14ac:dyDescent="0.2">
      <c r="A260" s="93"/>
      <c r="B260" s="55" t="s">
        <v>4061</v>
      </c>
      <c r="C260" s="56">
        <v>0</v>
      </c>
      <c r="D260" s="56">
        <v>476000</v>
      </c>
      <c r="E260" s="56">
        <v>476000</v>
      </c>
      <c r="F260" s="56">
        <v>476000</v>
      </c>
      <c r="G260" s="56">
        <v>476000</v>
      </c>
      <c r="H260" s="56">
        <v>476000</v>
      </c>
      <c r="I260" s="56">
        <v>0</v>
      </c>
      <c r="J260" s="56">
        <v>0</v>
      </c>
      <c r="M260" s="57"/>
    </row>
    <row r="261" spans="1:13" ht="15" x14ac:dyDescent="0.25">
      <c r="A261" s="91"/>
      <c r="B261" s="58" t="s">
        <v>414</v>
      </c>
      <c r="C261" s="59">
        <f t="shared" ref="C261:J261" si="31">SUM(C260)</f>
        <v>0</v>
      </c>
      <c r="D261" s="59">
        <f t="shared" si="31"/>
        <v>476000</v>
      </c>
      <c r="E261" s="59">
        <f t="shared" si="31"/>
        <v>476000</v>
      </c>
      <c r="F261" s="59">
        <f t="shared" si="31"/>
        <v>476000</v>
      </c>
      <c r="G261" s="59">
        <f t="shared" si="31"/>
        <v>476000</v>
      </c>
      <c r="H261" s="59">
        <f t="shared" si="31"/>
        <v>476000</v>
      </c>
      <c r="I261" s="59">
        <f t="shared" si="31"/>
        <v>0</v>
      </c>
      <c r="J261" s="59">
        <f t="shared" si="31"/>
        <v>0</v>
      </c>
      <c r="M261" s="57"/>
    </row>
    <row r="262" spans="1:13" ht="15" x14ac:dyDescent="0.25">
      <c r="A262" s="91"/>
      <c r="B262" s="58"/>
      <c r="C262" s="59"/>
      <c r="D262" s="59"/>
      <c r="E262" s="59"/>
      <c r="G262" s="69"/>
      <c r="H262" s="69"/>
      <c r="I262" s="59"/>
      <c r="J262" s="59"/>
      <c r="M262" s="57"/>
    </row>
    <row r="263" spans="1:13" ht="15.75" thickBot="1" x14ac:dyDescent="0.3">
      <c r="A263" s="91"/>
      <c r="B263" s="65" t="s">
        <v>4043</v>
      </c>
      <c r="C263" s="66">
        <f t="shared" ref="C263:J263" si="32">+C261</f>
        <v>0</v>
      </c>
      <c r="D263" s="66">
        <f t="shared" si="32"/>
        <v>476000</v>
      </c>
      <c r="E263" s="66">
        <f t="shared" si="32"/>
        <v>476000</v>
      </c>
      <c r="F263" s="66">
        <f t="shared" si="32"/>
        <v>476000</v>
      </c>
      <c r="G263" s="66">
        <f t="shared" si="32"/>
        <v>476000</v>
      </c>
      <c r="H263" s="66">
        <f t="shared" si="32"/>
        <v>476000</v>
      </c>
      <c r="I263" s="66">
        <f t="shared" si="32"/>
        <v>0</v>
      </c>
      <c r="J263" s="66">
        <f t="shared" si="32"/>
        <v>0</v>
      </c>
      <c r="M263" s="57"/>
    </row>
    <row r="264" spans="1:13" ht="15.75" thickTop="1" x14ac:dyDescent="0.25">
      <c r="A264" s="91"/>
      <c r="B264" s="58"/>
      <c r="C264" s="59"/>
      <c r="D264" s="59"/>
      <c r="E264" s="59"/>
      <c r="G264" s="69"/>
      <c r="H264" s="69"/>
      <c r="I264" s="59"/>
      <c r="J264" s="59"/>
      <c r="M264" s="57"/>
    </row>
    <row r="265" spans="1:13" x14ac:dyDescent="0.2">
      <c r="A265" s="49"/>
      <c r="B265" s="50" t="s">
        <v>4018</v>
      </c>
      <c r="C265" s="50"/>
      <c r="D265" s="50"/>
      <c r="E265" s="50"/>
      <c r="G265" s="69"/>
      <c r="H265" s="69"/>
      <c r="I265" s="50"/>
      <c r="J265" s="50"/>
      <c r="M265" s="57"/>
    </row>
    <row r="266" spans="1:13" x14ac:dyDescent="0.2">
      <c r="A266" s="49"/>
      <c r="B266" s="50"/>
      <c r="C266" s="50"/>
      <c r="D266" s="50"/>
      <c r="E266" s="50"/>
      <c r="F266" s="24"/>
      <c r="G266" s="69"/>
      <c r="H266" s="69"/>
      <c r="I266" s="50"/>
      <c r="J266" s="50"/>
      <c r="M266" s="57"/>
    </row>
    <row r="267" spans="1:13" x14ac:dyDescent="0.2">
      <c r="A267" s="60"/>
      <c r="B267" s="58" t="s">
        <v>4019</v>
      </c>
      <c r="C267" s="69"/>
      <c r="D267" s="69"/>
      <c r="E267" s="69"/>
      <c r="G267" s="69"/>
      <c r="H267" s="69"/>
      <c r="I267" s="69"/>
      <c r="J267" s="69"/>
      <c r="M267" s="57"/>
    </row>
    <row r="268" spans="1:13" x14ac:dyDescent="0.2">
      <c r="A268" s="60">
        <v>1001</v>
      </c>
      <c r="B268" s="70" t="s">
        <v>3543</v>
      </c>
      <c r="C268" s="69">
        <v>166374</v>
      </c>
      <c r="D268" s="69">
        <f>[2]Sal_RIA!$H$44</f>
        <v>326593</v>
      </c>
      <c r="E268" s="69">
        <f>+D268</f>
        <v>326593</v>
      </c>
      <c r="F268" s="69">
        <v>0</v>
      </c>
      <c r="G268" s="69">
        <f t="shared" ref="G268:G277" si="33">F268/$F$11*$G$11</f>
        <v>0</v>
      </c>
      <c r="H268" s="69">
        <f>[3]Salary_Bdgt!$H$51</f>
        <v>352721</v>
      </c>
      <c r="I268" s="69">
        <f t="shared" ref="I268:J293" si="34">ROUND(H268*1.08,0)</f>
        <v>380939</v>
      </c>
      <c r="J268" s="69">
        <f t="shared" si="34"/>
        <v>411414</v>
      </c>
      <c r="M268" s="57"/>
    </row>
    <row r="269" spans="1:13" x14ac:dyDescent="0.2">
      <c r="A269" s="60">
        <v>1002</v>
      </c>
      <c r="B269" s="70" t="s">
        <v>3542</v>
      </c>
      <c r="C269" s="69">
        <v>0</v>
      </c>
      <c r="D269" s="69">
        <v>0</v>
      </c>
      <c r="E269" s="69">
        <v>0</v>
      </c>
      <c r="F269" s="69">
        <v>0</v>
      </c>
      <c r="G269" s="69">
        <f t="shared" si="33"/>
        <v>0</v>
      </c>
      <c r="H269" s="69">
        <f>[3]Salary_Bdgt!$X$51</f>
        <v>0</v>
      </c>
      <c r="I269" s="69">
        <f t="shared" si="34"/>
        <v>0</v>
      </c>
      <c r="J269" s="69">
        <f t="shared" si="34"/>
        <v>0</v>
      </c>
      <c r="M269" s="57"/>
    </row>
    <row r="270" spans="1:13" x14ac:dyDescent="0.2">
      <c r="A270" s="60">
        <v>1005</v>
      </c>
      <c r="B270" s="70" t="s">
        <v>3544</v>
      </c>
      <c r="C270" s="69">
        <v>5242</v>
      </c>
      <c r="D270" s="69">
        <f>[2]Sal_RIA!$L$44</f>
        <v>0</v>
      </c>
      <c r="E270" s="69">
        <v>0</v>
      </c>
      <c r="F270" s="69">
        <v>0</v>
      </c>
      <c r="G270" s="69">
        <f t="shared" si="33"/>
        <v>0</v>
      </c>
      <c r="H270" s="69">
        <f>[3]Salary_Bdgt!$L$51</f>
        <v>0</v>
      </c>
      <c r="I270" s="69">
        <f t="shared" si="34"/>
        <v>0</v>
      </c>
      <c r="J270" s="69">
        <f t="shared" si="34"/>
        <v>0</v>
      </c>
      <c r="M270" s="57"/>
    </row>
    <row r="271" spans="1:13" x14ac:dyDescent="0.2">
      <c r="A271" s="60">
        <v>1006</v>
      </c>
      <c r="B271" s="70" t="s">
        <v>3545</v>
      </c>
      <c r="C271" s="69">
        <v>0</v>
      </c>
      <c r="D271" s="69">
        <f>[2]Sal_RIA!$N$44</f>
        <v>0</v>
      </c>
      <c r="E271" s="69">
        <v>0</v>
      </c>
      <c r="F271" s="69">
        <v>0</v>
      </c>
      <c r="G271" s="69">
        <f t="shared" si="33"/>
        <v>0</v>
      </c>
      <c r="H271" s="69">
        <f>[3]Salary_Bdgt!$N$51</f>
        <v>0</v>
      </c>
      <c r="I271" s="69">
        <f t="shared" si="34"/>
        <v>0</v>
      </c>
      <c r="J271" s="69">
        <f t="shared" si="34"/>
        <v>0</v>
      </c>
      <c r="M271" s="57"/>
    </row>
    <row r="272" spans="1:13" x14ac:dyDescent="0.2">
      <c r="A272" s="60">
        <v>1007</v>
      </c>
      <c r="B272" s="70" t="s">
        <v>3546</v>
      </c>
      <c r="C272" s="69">
        <v>1123</v>
      </c>
      <c r="D272" s="69">
        <f>[2]Sal_RIA!$I$44</f>
        <v>0</v>
      </c>
      <c r="E272" s="69">
        <v>0</v>
      </c>
      <c r="F272" s="69">
        <v>0</v>
      </c>
      <c r="G272" s="69">
        <f t="shared" si="33"/>
        <v>0</v>
      </c>
      <c r="H272" s="69">
        <f>[3]Salary_Bdgt!$I$51</f>
        <v>1617</v>
      </c>
      <c r="I272" s="69">
        <f t="shared" si="34"/>
        <v>1746</v>
      </c>
      <c r="J272" s="69">
        <f t="shared" si="34"/>
        <v>1886</v>
      </c>
      <c r="M272" s="57"/>
    </row>
    <row r="273" spans="1:13" x14ac:dyDescent="0.2">
      <c r="A273" s="60">
        <v>1009</v>
      </c>
      <c r="B273" s="70" t="s">
        <v>3547</v>
      </c>
      <c r="C273" s="69">
        <v>31</v>
      </c>
      <c r="D273" s="69">
        <f>[2]Sal_RIA!$M$44</f>
        <v>0</v>
      </c>
      <c r="E273" s="69">
        <v>0</v>
      </c>
      <c r="F273" s="69">
        <v>0</v>
      </c>
      <c r="G273" s="69">
        <f t="shared" si="33"/>
        <v>0</v>
      </c>
      <c r="H273" s="69">
        <f>[3]Salary_Bdgt!$M$51</f>
        <v>0</v>
      </c>
      <c r="I273" s="69">
        <f t="shared" si="34"/>
        <v>0</v>
      </c>
      <c r="J273" s="69">
        <f t="shared" si="34"/>
        <v>0</v>
      </c>
      <c r="M273" s="57"/>
    </row>
    <row r="274" spans="1:13" x14ac:dyDescent="0.2">
      <c r="A274" s="60">
        <v>1010</v>
      </c>
      <c r="B274" s="70" t="s">
        <v>3548</v>
      </c>
      <c r="C274" s="69">
        <v>14027</v>
      </c>
      <c r="D274" s="69">
        <v>29938</v>
      </c>
      <c r="E274" s="69">
        <f>+D274</f>
        <v>29938</v>
      </c>
      <c r="F274" s="69">
        <v>0</v>
      </c>
      <c r="G274" s="69">
        <f t="shared" si="33"/>
        <v>0</v>
      </c>
      <c r="H274" s="69">
        <f>[3]Salary_Bdgt!$Q$51</f>
        <v>29393</v>
      </c>
      <c r="I274" s="69">
        <f t="shared" si="34"/>
        <v>31744</v>
      </c>
      <c r="J274" s="69">
        <f t="shared" si="34"/>
        <v>34284</v>
      </c>
      <c r="M274" s="57"/>
    </row>
    <row r="275" spans="1:13" x14ac:dyDescent="0.2">
      <c r="A275" s="60">
        <v>1011</v>
      </c>
      <c r="B275" s="70" t="s">
        <v>3549</v>
      </c>
      <c r="C275" s="69">
        <v>0</v>
      </c>
      <c r="D275" s="69">
        <v>0</v>
      </c>
      <c r="E275" s="69">
        <v>0</v>
      </c>
      <c r="F275" s="69">
        <v>0</v>
      </c>
      <c r="G275" s="69">
        <f t="shared" si="33"/>
        <v>0</v>
      </c>
      <c r="H275" s="69">
        <f>[3]Salary_Bdgt!$U$51</f>
        <v>28771</v>
      </c>
      <c r="I275" s="69">
        <f t="shared" si="34"/>
        <v>31073</v>
      </c>
      <c r="J275" s="69">
        <f t="shared" si="34"/>
        <v>33559</v>
      </c>
      <c r="M275" s="57"/>
    </row>
    <row r="276" spans="1:13" x14ac:dyDescent="0.2">
      <c r="A276" s="60">
        <v>1014</v>
      </c>
      <c r="B276" s="70" t="s">
        <v>3550</v>
      </c>
      <c r="C276" s="69">
        <v>0</v>
      </c>
      <c r="D276" s="69">
        <v>32619</v>
      </c>
      <c r="E276" s="69">
        <f>+D276</f>
        <v>32619</v>
      </c>
      <c r="F276" s="69">
        <v>0</v>
      </c>
      <c r="G276" s="69">
        <f t="shared" si="33"/>
        <v>0</v>
      </c>
      <c r="H276" s="69">
        <f>[3]Salary_Bdgt!$S$51</f>
        <v>31693</v>
      </c>
      <c r="I276" s="69">
        <f t="shared" si="34"/>
        <v>34228</v>
      </c>
      <c r="J276" s="69">
        <f t="shared" si="34"/>
        <v>36966</v>
      </c>
      <c r="M276" s="57"/>
    </row>
    <row r="277" spans="1:13" x14ac:dyDescent="0.2">
      <c r="A277" s="60">
        <v>1016</v>
      </c>
      <c r="B277" s="70" t="s">
        <v>3551</v>
      </c>
      <c r="C277" s="69">
        <v>0</v>
      </c>
      <c r="D277" s="69">
        <v>29304</v>
      </c>
      <c r="E277" s="69">
        <f>+D277</f>
        <v>29304</v>
      </c>
      <c r="F277" s="69">
        <v>0</v>
      </c>
      <c r="G277" s="69">
        <f t="shared" si="33"/>
        <v>0</v>
      </c>
      <c r="H277" s="69">
        <f>[3]Salary_Bdgt!$T$51+[3]Salary_Bdgt!$V$51</f>
        <v>0</v>
      </c>
      <c r="I277" s="69">
        <f t="shared" si="34"/>
        <v>0</v>
      </c>
      <c r="J277" s="69">
        <f t="shared" si="34"/>
        <v>0</v>
      </c>
      <c r="M277" s="57"/>
    </row>
    <row r="278" spans="1:13" x14ac:dyDescent="0.2">
      <c r="A278" s="60">
        <v>1017</v>
      </c>
      <c r="B278" s="70" t="s">
        <v>3552</v>
      </c>
      <c r="C278" s="69">
        <v>1302</v>
      </c>
      <c r="D278" s="69">
        <v>0</v>
      </c>
      <c r="E278" s="69">
        <v>0</v>
      </c>
      <c r="F278" s="69">
        <v>0</v>
      </c>
      <c r="G278" s="69">
        <v>0</v>
      </c>
      <c r="H278" s="69">
        <f>[3]Salary_Bdgt!$J$51</f>
        <v>9112</v>
      </c>
      <c r="I278" s="69">
        <f t="shared" si="34"/>
        <v>9841</v>
      </c>
      <c r="J278" s="69">
        <f t="shared" si="34"/>
        <v>10628</v>
      </c>
      <c r="M278" s="57"/>
    </row>
    <row r="279" spans="1:13" x14ac:dyDescent="0.2">
      <c r="A279" s="60">
        <v>1046</v>
      </c>
      <c r="B279" s="70" t="s">
        <v>3520</v>
      </c>
      <c r="C279" s="69">
        <v>90692</v>
      </c>
      <c r="D279" s="69">
        <v>147646</v>
      </c>
      <c r="E279" s="69">
        <f>+D279</f>
        <v>147646</v>
      </c>
      <c r="F279" s="69">
        <v>0</v>
      </c>
      <c r="G279" s="69">
        <f>F279/$F$11*$G$11</f>
        <v>0</v>
      </c>
      <c r="H279" s="69">
        <f>[3]Salary_Bdgt!$R$51</f>
        <v>145295</v>
      </c>
      <c r="I279" s="69">
        <f t="shared" si="34"/>
        <v>156919</v>
      </c>
      <c r="J279" s="69">
        <f t="shared" si="34"/>
        <v>169473</v>
      </c>
      <c r="M279" s="57"/>
    </row>
    <row r="280" spans="1:13" s="14" customFormat="1" x14ac:dyDescent="0.2">
      <c r="A280" s="60">
        <v>1182</v>
      </c>
      <c r="B280" s="70" t="s">
        <v>3553</v>
      </c>
      <c r="C280" s="69">
        <v>2800</v>
      </c>
      <c r="D280" s="69">
        <v>0</v>
      </c>
      <c r="E280" s="69">
        <v>0</v>
      </c>
      <c r="F280" s="69">
        <v>0</v>
      </c>
      <c r="G280" s="69">
        <v>0</v>
      </c>
      <c r="H280" s="69">
        <f>[3]Salary_Bdgt!$K$51</f>
        <v>8474</v>
      </c>
      <c r="I280" s="69">
        <f t="shared" si="34"/>
        <v>9152</v>
      </c>
      <c r="J280" s="69">
        <f t="shared" si="34"/>
        <v>9884</v>
      </c>
      <c r="K280" s="537"/>
      <c r="L280" s="537"/>
      <c r="M280" s="122"/>
    </row>
    <row r="281" spans="1:13" x14ac:dyDescent="0.2">
      <c r="A281" s="60">
        <v>1001</v>
      </c>
      <c r="B281" s="70" t="s">
        <v>472</v>
      </c>
      <c r="C281" s="69">
        <v>0</v>
      </c>
      <c r="D281" s="69">
        <v>0</v>
      </c>
      <c r="E281" s="69">
        <v>0</v>
      </c>
      <c r="F281" s="69">
        <v>0</v>
      </c>
      <c r="G281" s="69">
        <f>F281/$F$11*$G$11</f>
        <v>0</v>
      </c>
      <c r="H281" s="69">
        <f>[3]Salary_Bdgt!$H$57</f>
        <v>68482</v>
      </c>
      <c r="I281" s="69">
        <f t="shared" si="34"/>
        <v>73961</v>
      </c>
      <c r="J281" s="69">
        <f t="shared" si="34"/>
        <v>79878</v>
      </c>
      <c r="M281" s="57"/>
    </row>
    <row r="282" spans="1:13" x14ac:dyDescent="0.2">
      <c r="A282" s="60">
        <v>1005</v>
      </c>
      <c r="B282" s="70" t="s">
        <v>473</v>
      </c>
      <c r="C282" s="69">
        <v>0</v>
      </c>
      <c r="D282" s="69">
        <v>0</v>
      </c>
      <c r="E282" s="69">
        <v>0</v>
      </c>
      <c r="F282" s="69">
        <v>0</v>
      </c>
      <c r="G282" s="69">
        <v>0</v>
      </c>
      <c r="H282" s="69">
        <f>[3]Salary_Bdgt!$L$57</f>
        <v>0</v>
      </c>
      <c r="I282" s="69">
        <f t="shared" si="34"/>
        <v>0</v>
      </c>
      <c r="J282" s="69">
        <f t="shared" si="34"/>
        <v>0</v>
      </c>
    </row>
    <row r="283" spans="1:13" x14ac:dyDescent="0.2">
      <c r="A283" s="60">
        <v>1006</v>
      </c>
      <c r="B283" s="70" t="s">
        <v>474</v>
      </c>
      <c r="C283" s="69">
        <v>0</v>
      </c>
      <c r="D283" s="69">
        <v>0</v>
      </c>
      <c r="E283" s="69">
        <v>0</v>
      </c>
      <c r="F283" s="69">
        <v>0</v>
      </c>
      <c r="G283" s="69">
        <v>0</v>
      </c>
      <c r="H283" s="69">
        <f>[3]Salary_Bdgt!$N$57</f>
        <v>13026</v>
      </c>
      <c r="I283" s="69">
        <f t="shared" si="34"/>
        <v>14068</v>
      </c>
      <c r="J283" s="69">
        <f t="shared" si="34"/>
        <v>15193</v>
      </c>
    </row>
    <row r="284" spans="1:13" x14ac:dyDescent="0.2">
      <c r="A284" s="60">
        <v>1007</v>
      </c>
      <c r="B284" s="70" t="s">
        <v>481</v>
      </c>
      <c r="C284" s="69">
        <v>0</v>
      </c>
      <c r="D284" s="69">
        <v>0</v>
      </c>
      <c r="E284" s="69">
        <v>0</v>
      </c>
      <c r="F284" s="69">
        <v>0</v>
      </c>
      <c r="G284" s="69">
        <v>0</v>
      </c>
      <c r="H284" s="69">
        <f>[3]Salary_Bdgt!$I$57</f>
        <v>1385</v>
      </c>
      <c r="I284" s="69">
        <f t="shared" si="34"/>
        <v>1496</v>
      </c>
      <c r="J284" s="69">
        <f t="shared" si="34"/>
        <v>1616</v>
      </c>
    </row>
    <row r="285" spans="1:13" x14ac:dyDescent="0.2">
      <c r="A285" s="60">
        <v>1009</v>
      </c>
      <c r="B285" s="70" t="s">
        <v>482</v>
      </c>
      <c r="C285" s="69">
        <v>0</v>
      </c>
      <c r="D285" s="69">
        <v>0</v>
      </c>
      <c r="E285" s="69"/>
      <c r="F285" s="69">
        <v>0</v>
      </c>
      <c r="G285" s="69">
        <v>0</v>
      </c>
      <c r="H285" s="69">
        <f>[3]Salary_Bdgt!$M$57</f>
        <v>45</v>
      </c>
      <c r="I285" s="69">
        <f t="shared" si="34"/>
        <v>49</v>
      </c>
      <c r="J285" s="69">
        <f t="shared" si="34"/>
        <v>53</v>
      </c>
    </row>
    <row r="286" spans="1:13" x14ac:dyDescent="0.2">
      <c r="A286" s="60">
        <v>1010</v>
      </c>
      <c r="B286" s="70" t="s">
        <v>28</v>
      </c>
      <c r="C286" s="69">
        <v>0</v>
      </c>
      <c r="D286" s="69">
        <v>0</v>
      </c>
      <c r="E286" s="69">
        <v>0</v>
      </c>
      <c r="F286" s="69">
        <v>0</v>
      </c>
      <c r="G286" s="69">
        <v>0</v>
      </c>
      <c r="H286" s="69">
        <f>[3]Salary_Bdgt!$Q$57</f>
        <v>5707</v>
      </c>
      <c r="I286" s="69">
        <f t="shared" si="34"/>
        <v>6164</v>
      </c>
      <c r="J286" s="69">
        <f t="shared" si="34"/>
        <v>6657</v>
      </c>
    </row>
    <row r="287" spans="1:13" x14ac:dyDescent="0.2">
      <c r="A287" s="60">
        <v>1011</v>
      </c>
      <c r="B287" s="70" t="s">
        <v>4045</v>
      </c>
      <c r="C287" s="69">
        <v>0</v>
      </c>
      <c r="D287" s="69">
        <v>0</v>
      </c>
      <c r="E287" s="69">
        <v>0</v>
      </c>
      <c r="F287" s="69">
        <v>0</v>
      </c>
      <c r="G287" s="69">
        <v>0</v>
      </c>
      <c r="H287" s="69">
        <f>[3]Salary_Bdgt!$U$57</f>
        <v>0</v>
      </c>
      <c r="I287" s="69">
        <f t="shared" si="34"/>
        <v>0</v>
      </c>
      <c r="J287" s="69">
        <f t="shared" si="34"/>
        <v>0</v>
      </c>
    </row>
    <row r="288" spans="1:13" x14ac:dyDescent="0.2">
      <c r="A288" s="60">
        <v>1014</v>
      </c>
      <c r="B288" s="70" t="s">
        <v>36</v>
      </c>
      <c r="C288" s="69">
        <v>0</v>
      </c>
      <c r="D288" s="69">
        <v>0</v>
      </c>
      <c r="E288" s="69">
        <v>0</v>
      </c>
      <c r="F288" s="69">
        <v>0</v>
      </c>
      <c r="G288" s="69">
        <v>0</v>
      </c>
      <c r="H288" s="69">
        <f>[3]Salary_Bdgt!$S$57</f>
        <v>0</v>
      </c>
      <c r="I288" s="69">
        <f t="shared" si="34"/>
        <v>0</v>
      </c>
      <c r="J288" s="69">
        <f t="shared" si="34"/>
        <v>0</v>
      </c>
    </row>
    <row r="289" spans="1:13" x14ac:dyDescent="0.2">
      <c r="A289" s="60">
        <v>1015</v>
      </c>
      <c r="B289" s="70" t="s">
        <v>445</v>
      </c>
      <c r="C289" s="69">
        <v>0</v>
      </c>
      <c r="D289" s="69">
        <v>0</v>
      </c>
      <c r="E289" s="69">
        <v>0</v>
      </c>
      <c r="F289" s="69">
        <v>0</v>
      </c>
      <c r="G289" s="69">
        <v>0</v>
      </c>
      <c r="H289" s="69">
        <f>[3]Salary_Bdgt!$O$57+[3]Salary_Bdgt!$P$57+[3]Salary_Bdgt!$W$57</f>
        <v>0</v>
      </c>
      <c r="I289" s="69">
        <f t="shared" si="34"/>
        <v>0</v>
      </c>
      <c r="J289" s="69">
        <f t="shared" si="34"/>
        <v>0</v>
      </c>
      <c r="M289" s="57"/>
    </row>
    <row r="290" spans="1:13" x14ac:dyDescent="0.2">
      <c r="A290" s="60">
        <v>1016</v>
      </c>
      <c r="B290" s="70" t="s">
        <v>475</v>
      </c>
      <c r="C290" s="69">
        <v>0</v>
      </c>
      <c r="D290" s="69">
        <v>0</v>
      </c>
      <c r="E290" s="69">
        <v>0</v>
      </c>
      <c r="F290" s="69">
        <v>0</v>
      </c>
      <c r="G290" s="69">
        <v>0</v>
      </c>
      <c r="H290" s="69">
        <f>[3]Salary_Bdgt!$T$57+[3]Salary_Bdgt!$V$57</f>
        <v>15856</v>
      </c>
      <c r="I290" s="69">
        <f t="shared" si="34"/>
        <v>17124</v>
      </c>
      <c r="J290" s="69">
        <f t="shared" si="34"/>
        <v>18494</v>
      </c>
    </row>
    <row r="291" spans="1:13" x14ac:dyDescent="0.2">
      <c r="A291" s="60">
        <v>1017</v>
      </c>
      <c r="B291" s="70" t="s">
        <v>4044</v>
      </c>
      <c r="C291" s="69">
        <v>0</v>
      </c>
      <c r="D291" s="69">
        <v>0</v>
      </c>
      <c r="E291" s="69">
        <v>0</v>
      </c>
      <c r="F291" s="69">
        <v>0</v>
      </c>
      <c r="G291" s="69">
        <v>0</v>
      </c>
      <c r="H291" s="69">
        <f>[3]Salary_Bdgt!$J$57</f>
        <v>1385</v>
      </c>
      <c r="I291" s="69">
        <f t="shared" si="34"/>
        <v>1496</v>
      </c>
      <c r="J291" s="69">
        <f t="shared" si="34"/>
        <v>1616</v>
      </c>
    </row>
    <row r="292" spans="1:13" x14ac:dyDescent="0.2">
      <c r="A292" s="60">
        <v>1046</v>
      </c>
      <c r="B292" s="70" t="s">
        <v>491</v>
      </c>
      <c r="C292" s="69">
        <v>0</v>
      </c>
      <c r="D292" s="69">
        <v>0</v>
      </c>
      <c r="E292" s="69">
        <v>0</v>
      </c>
      <c r="F292" s="69">
        <v>0</v>
      </c>
      <c r="G292" s="69">
        <v>0</v>
      </c>
      <c r="H292" s="69">
        <f>[3]Salary_Bdgt!$R$57</f>
        <v>0</v>
      </c>
      <c r="I292" s="69">
        <f t="shared" si="34"/>
        <v>0</v>
      </c>
      <c r="J292" s="69">
        <f t="shared" si="34"/>
        <v>0</v>
      </c>
    </row>
    <row r="293" spans="1:13" x14ac:dyDescent="0.2">
      <c r="A293" s="60">
        <v>1182</v>
      </c>
      <c r="B293" s="71" t="s">
        <v>1065</v>
      </c>
      <c r="C293" s="56">
        <v>0</v>
      </c>
      <c r="D293" s="56">
        <v>0</v>
      </c>
      <c r="E293" s="56">
        <v>0</v>
      </c>
      <c r="F293" s="56">
        <v>0</v>
      </c>
      <c r="G293" s="56">
        <v>0</v>
      </c>
      <c r="H293" s="56">
        <f>[3]Salary_Bdgt!$K$57</f>
        <v>1288</v>
      </c>
      <c r="I293" s="56">
        <f t="shared" si="34"/>
        <v>1391</v>
      </c>
      <c r="J293" s="56">
        <f t="shared" si="34"/>
        <v>1502</v>
      </c>
    </row>
    <row r="294" spans="1:13" x14ac:dyDescent="0.2">
      <c r="A294" s="60"/>
      <c r="B294" s="58" t="s">
        <v>416</v>
      </c>
      <c r="C294" s="72">
        <f t="shared" ref="C294:J294" si="35">SUM(C268:C293)</f>
        <v>281591</v>
      </c>
      <c r="D294" s="72">
        <f t="shared" si="35"/>
        <v>566100</v>
      </c>
      <c r="E294" s="72">
        <f t="shared" si="35"/>
        <v>566100</v>
      </c>
      <c r="F294" s="72">
        <f t="shared" si="35"/>
        <v>0</v>
      </c>
      <c r="G294" s="72">
        <f t="shared" si="35"/>
        <v>0</v>
      </c>
      <c r="H294" s="72">
        <f t="shared" si="35"/>
        <v>714250</v>
      </c>
      <c r="I294" s="72">
        <f t="shared" si="35"/>
        <v>771391</v>
      </c>
      <c r="J294" s="72">
        <f t="shared" si="35"/>
        <v>833103</v>
      </c>
      <c r="M294" s="57"/>
    </row>
    <row r="295" spans="1:13" x14ac:dyDescent="0.2">
      <c r="A295" s="60"/>
      <c r="B295" s="58"/>
      <c r="C295" s="72"/>
      <c r="D295" s="72"/>
      <c r="E295" s="72"/>
      <c r="F295" s="24"/>
      <c r="G295" s="69"/>
      <c r="H295" s="69"/>
      <c r="I295" s="72"/>
      <c r="J295" s="72"/>
      <c r="M295" s="57"/>
    </row>
    <row r="296" spans="1:13" x14ac:dyDescent="0.2">
      <c r="A296" s="60"/>
      <c r="B296" s="58" t="s">
        <v>435</v>
      </c>
      <c r="C296" s="69"/>
      <c r="D296" s="69"/>
      <c r="E296" s="69"/>
      <c r="F296" s="24"/>
      <c r="G296" s="69"/>
      <c r="H296" s="69"/>
      <c r="I296" s="69"/>
      <c r="J296" s="69"/>
      <c r="M296" s="57"/>
    </row>
    <row r="297" spans="1:13" x14ac:dyDescent="0.2">
      <c r="A297" s="60">
        <v>2113</v>
      </c>
      <c r="B297" s="70" t="s">
        <v>4062</v>
      </c>
      <c r="C297" s="69">
        <v>36113</v>
      </c>
      <c r="D297" s="69">
        <v>5250</v>
      </c>
      <c r="E297" s="69">
        <v>5250</v>
      </c>
      <c r="F297" s="69">
        <v>0</v>
      </c>
      <c r="G297" s="69">
        <f>F297/$F$11*$G$11</f>
        <v>0</v>
      </c>
      <c r="H297" s="69">
        <f>ROUND(E297*1.05,0)</f>
        <v>5513</v>
      </c>
      <c r="I297" s="69">
        <f t="shared" ref="I297:J301" si="36">ROUND(H297*1.06,0)</f>
        <v>5844</v>
      </c>
      <c r="J297" s="69">
        <f t="shared" si="36"/>
        <v>6195</v>
      </c>
      <c r="M297" s="57"/>
    </row>
    <row r="298" spans="1:13" x14ac:dyDescent="0.2">
      <c r="A298" s="60">
        <v>2207</v>
      </c>
      <c r="B298" s="70" t="s">
        <v>4063</v>
      </c>
      <c r="C298" s="69">
        <v>0</v>
      </c>
      <c r="D298" s="69">
        <v>10500</v>
      </c>
      <c r="E298" s="69">
        <v>10500</v>
      </c>
      <c r="F298" s="69">
        <v>0</v>
      </c>
      <c r="G298" s="69">
        <f>F298/$F$11*$G$11</f>
        <v>0</v>
      </c>
      <c r="H298" s="69">
        <v>0</v>
      </c>
      <c r="I298" s="69">
        <f t="shared" si="36"/>
        <v>0</v>
      </c>
      <c r="J298" s="69">
        <f t="shared" si="36"/>
        <v>0</v>
      </c>
      <c r="M298" s="57"/>
    </row>
    <row r="299" spans="1:13" x14ac:dyDescent="0.2">
      <c r="A299" s="60">
        <v>2226</v>
      </c>
      <c r="B299" s="70" t="s">
        <v>4051</v>
      </c>
      <c r="C299" s="69">
        <v>0</v>
      </c>
      <c r="D299" s="69">
        <v>5250</v>
      </c>
      <c r="E299" s="69">
        <v>5250</v>
      </c>
      <c r="F299" s="69">
        <v>0</v>
      </c>
      <c r="G299" s="69">
        <f>F299/$F$11*$G$11</f>
        <v>0</v>
      </c>
      <c r="H299" s="69">
        <f>ROUND(E299*1.05,0)</f>
        <v>5513</v>
      </c>
      <c r="I299" s="69">
        <f t="shared" si="36"/>
        <v>5844</v>
      </c>
      <c r="J299" s="69">
        <f t="shared" si="36"/>
        <v>6195</v>
      </c>
      <c r="M299" s="57"/>
    </row>
    <row r="300" spans="1:13" x14ac:dyDescent="0.2">
      <c r="A300" s="60">
        <v>2231</v>
      </c>
      <c r="B300" s="70" t="s">
        <v>478</v>
      </c>
      <c r="C300" s="69">
        <v>4909</v>
      </c>
      <c r="D300" s="69">
        <v>5250</v>
      </c>
      <c r="E300" s="69">
        <v>5250</v>
      </c>
      <c r="F300" s="69">
        <v>3301</v>
      </c>
      <c r="G300" s="69">
        <f>F300/$F$11*$G$11</f>
        <v>3961.2000000000003</v>
      </c>
      <c r="H300" s="69">
        <f>ROUND(E300*1.05,0)</f>
        <v>5513</v>
      </c>
      <c r="I300" s="69">
        <f t="shared" si="36"/>
        <v>5844</v>
      </c>
      <c r="J300" s="69">
        <f t="shared" si="36"/>
        <v>6195</v>
      </c>
      <c r="M300" s="57"/>
    </row>
    <row r="301" spans="1:13" x14ac:dyDescent="0.2">
      <c r="A301" s="60">
        <v>2238</v>
      </c>
      <c r="B301" s="71" t="s">
        <v>479</v>
      </c>
      <c r="C301" s="56">
        <v>13495</v>
      </c>
      <c r="D301" s="56">
        <v>50000</v>
      </c>
      <c r="E301" s="56">
        <v>50000</v>
      </c>
      <c r="F301" s="56">
        <v>2370</v>
      </c>
      <c r="G301" s="56">
        <f>F301/$F$11*$G$11</f>
        <v>2844</v>
      </c>
      <c r="H301" s="56">
        <f>ROUND(E301*1.05,0)</f>
        <v>52500</v>
      </c>
      <c r="I301" s="56">
        <f t="shared" si="36"/>
        <v>55650</v>
      </c>
      <c r="J301" s="56">
        <f t="shared" si="36"/>
        <v>58989</v>
      </c>
      <c r="M301" s="57"/>
    </row>
    <row r="302" spans="1:13" x14ac:dyDescent="0.2">
      <c r="A302" s="41"/>
      <c r="B302" s="58" t="s">
        <v>436</v>
      </c>
      <c r="C302" s="72">
        <f t="shared" ref="C302:J302" si="37">SUM(C297:C301)</f>
        <v>54517</v>
      </c>
      <c r="D302" s="72">
        <f t="shared" si="37"/>
        <v>76250</v>
      </c>
      <c r="E302" s="72">
        <f t="shared" si="37"/>
        <v>76250</v>
      </c>
      <c r="F302" s="72">
        <f t="shared" si="37"/>
        <v>5671</v>
      </c>
      <c r="G302" s="72">
        <f t="shared" si="37"/>
        <v>6805.2000000000007</v>
      </c>
      <c r="H302" s="72">
        <f t="shared" si="37"/>
        <v>69039</v>
      </c>
      <c r="I302" s="72">
        <f t="shared" si="37"/>
        <v>73182</v>
      </c>
      <c r="J302" s="72">
        <f t="shared" si="37"/>
        <v>77574</v>
      </c>
      <c r="M302" s="57"/>
    </row>
    <row r="303" spans="1:13" x14ac:dyDescent="0.2">
      <c r="A303" s="64"/>
      <c r="B303" s="58"/>
      <c r="C303" s="73"/>
      <c r="D303" s="73"/>
      <c r="E303" s="73"/>
      <c r="G303" s="69"/>
      <c r="H303" s="69"/>
      <c r="I303" s="73"/>
      <c r="J303" s="73"/>
      <c r="M303" s="57"/>
    </row>
    <row r="304" spans="1:13" ht="13.5" thickBot="1" x14ac:dyDescent="0.25">
      <c r="A304" s="64"/>
      <c r="B304" s="65" t="s">
        <v>4025</v>
      </c>
      <c r="C304" s="76">
        <f t="shared" ref="C304:J304" si="38">C294+C302</f>
        <v>336108</v>
      </c>
      <c r="D304" s="76">
        <f t="shared" si="38"/>
        <v>642350</v>
      </c>
      <c r="E304" s="76">
        <f t="shared" si="38"/>
        <v>642350</v>
      </c>
      <c r="F304" s="76">
        <f t="shared" si="38"/>
        <v>5671</v>
      </c>
      <c r="G304" s="76">
        <f t="shared" si="38"/>
        <v>6805.2000000000007</v>
      </c>
      <c r="H304" s="76">
        <f t="shared" si="38"/>
        <v>783289</v>
      </c>
      <c r="I304" s="76">
        <f t="shared" si="38"/>
        <v>844573</v>
      </c>
      <c r="J304" s="76">
        <f t="shared" si="38"/>
        <v>910677</v>
      </c>
      <c r="M304" s="57"/>
    </row>
    <row r="305" spans="1:13" ht="13.5" thickTop="1" x14ac:dyDescent="0.2">
      <c r="A305" s="64"/>
      <c r="B305" s="58"/>
      <c r="C305" s="72"/>
      <c r="D305" s="72"/>
      <c r="E305" s="72"/>
      <c r="F305" s="72"/>
      <c r="G305" s="72"/>
      <c r="H305" s="72"/>
      <c r="I305" s="72"/>
      <c r="J305" s="72"/>
      <c r="M305" s="57"/>
    </row>
    <row r="306" spans="1:13" ht="13.5" thickBot="1" x14ac:dyDescent="0.25">
      <c r="A306" s="67"/>
      <c r="B306" s="65" t="s">
        <v>4059</v>
      </c>
      <c r="C306" s="77">
        <f t="shared" ref="C306:J306" si="39">C263-C304</f>
        <v>-336108</v>
      </c>
      <c r="D306" s="77">
        <f t="shared" si="39"/>
        <v>-166350</v>
      </c>
      <c r="E306" s="77">
        <f t="shared" si="39"/>
        <v>-166350</v>
      </c>
      <c r="F306" s="77">
        <f t="shared" si="39"/>
        <v>470329</v>
      </c>
      <c r="G306" s="77">
        <f t="shared" si="39"/>
        <v>469194.8</v>
      </c>
      <c r="H306" s="77">
        <f t="shared" si="39"/>
        <v>-307289</v>
      </c>
      <c r="I306" s="77">
        <f t="shared" si="39"/>
        <v>-844573</v>
      </c>
      <c r="J306" s="77">
        <f t="shared" si="39"/>
        <v>-910677</v>
      </c>
      <c r="M306" s="57"/>
    </row>
    <row r="307" spans="1:13" ht="13.5" thickTop="1" x14ac:dyDescent="0.2">
      <c r="A307" s="67"/>
      <c r="B307" s="58"/>
      <c r="C307" s="78"/>
      <c r="D307" s="78"/>
      <c r="E307" s="78"/>
      <c r="G307" s="69"/>
      <c r="H307" s="69"/>
      <c r="I307" s="78"/>
      <c r="J307" s="78"/>
      <c r="M307" s="57"/>
    </row>
    <row r="308" spans="1:13" x14ac:dyDescent="0.2">
      <c r="A308" s="67"/>
      <c r="B308" s="58"/>
      <c r="C308" s="78"/>
      <c r="D308" s="78"/>
      <c r="E308" s="78"/>
      <c r="G308" s="69"/>
      <c r="H308" s="69"/>
      <c r="I308" s="78"/>
      <c r="J308" s="78"/>
      <c r="M308" s="57"/>
    </row>
    <row r="309" spans="1:13" x14ac:dyDescent="0.2">
      <c r="A309" s="67"/>
      <c r="B309" s="58"/>
      <c r="C309" s="78"/>
      <c r="D309" s="78"/>
      <c r="E309" s="78"/>
      <c r="G309" s="69"/>
      <c r="H309" s="69"/>
      <c r="I309" s="78"/>
      <c r="J309" s="78"/>
      <c r="M309" s="57"/>
    </row>
    <row r="310" spans="1:13" x14ac:dyDescent="0.2">
      <c r="A310" s="67"/>
      <c r="B310" s="58"/>
      <c r="C310" s="78"/>
      <c r="D310" s="78"/>
      <c r="E310" s="78"/>
      <c r="G310" s="69"/>
      <c r="H310" s="69"/>
      <c r="I310" s="78"/>
      <c r="J310" s="78"/>
      <c r="M310" s="57"/>
    </row>
    <row r="311" spans="1:13" x14ac:dyDescent="0.2">
      <c r="A311" s="67"/>
      <c r="B311" s="58"/>
      <c r="C311" s="78"/>
      <c r="D311" s="78"/>
      <c r="E311" s="78"/>
      <c r="G311" s="69"/>
      <c r="H311" s="69"/>
      <c r="I311" s="78"/>
      <c r="J311" s="78"/>
      <c r="M311" s="57"/>
    </row>
    <row r="312" spans="1:13" x14ac:dyDescent="0.2">
      <c r="A312" s="67"/>
      <c r="B312" s="58"/>
      <c r="C312" s="78"/>
      <c r="D312" s="78"/>
      <c r="E312" s="78"/>
      <c r="G312" s="69"/>
      <c r="H312" s="69"/>
      <c r="I312" s="78"/>
      <c r="J312" s="78"/>
      <c r="M312" s="57"/>
    </row>
    <row r="313" spans="1:13" x14ac:dyDescent="0.2">
      <c r="A313" s="67"/>
      <c r="B313" s="58"/>
      <c r="C313" s="78"/>
      <c r="D313" s="78"/>
      <c r="E313" s="78"/>
      <c r="G313" s="69"/>
      <c r="H313" s="69"/>
      <c r="I313" s="78"/>
      <c r="J313" s="78"/>
      <c r="M313" s="57"/>
    </row>
    <row r="314" spans="1:13" x14ac:dyDescent="0.2">
      <c r="A314" s="67"/>
      <c r="B314" s="58"/>
      <c r="C314" s="78"/>
      <c r="D314" s="78"/>
      <c r="E314" s="78"/>
      <c r="G314" s="69"/>
      <c r="H314" s="69"/>
      <c r="I314" s="78"/>
      <c r="J314" s="78"/>
      <c r="M314" s="57"/>
    </row>
    <row r="315" spans="1:13" x14ac:dyDescent="0.2">
      <c r="A315" s="67"/>
      <c r="B315" s="58"/>
      <c r="C315" s="78"/>
      <c r="D315" s="78"/>
      <c r="E315" s="78"/>
      <c r="G315" s="69"/>
      <c r="H315" s="69"/>
      <c r="I315" s="78"/>
      <c r="J315" s="78"/>
      <c r="M315" s="57"/>
    </row>
    <row r="316" spans="1:13" x14ac:dyDescent="0.2">
      <c r="A316" s="67"/>
      <c r="B316" s="58"/>
      <c r="C316" s="78"/>
      <c r="D316" s="78"/>
      <c r="E316" s="78"/>
      <c r="G316" s="69"/>
      <c r="H316" s="69"/>
      <c r="I316" s="78"/>
      <c r="J316" s="78"/>
      <c r="M316" s="57"/>
    </row>
    <row r="317" spans="1:13" x14ac:dyDescent="0.2">
      <c r="A317" s="67"/>
      <c r="B317" s="58"/>
      <c r="C317" s="78"/>
      <c r="D317" s="78"/>
      <c r="E317" s="78"/>
      <c r="G317" s="69"/>
      <c r="H317" s="69"/>
      <c r="I317" s="78"/>
      <c r="J317" s="78"/>
      <c r="M317" s="57"/>
    </row>
    <row r="318" spans="1:13" x14ac:dyDescent="0.2">
      <c r="A318" s="67"/>
      <c r="B318" s="58"/>
      <c r="C318" s="78"/>
      <c r="D318" s="78"/>
      <c r="E318" s="78"/>
      <c r="G318" s="69"/>
      <c r="H318" s="69"/>
      <c r="I318" s="78"/>
      <c r="J318" s="78"/>
      <c r="M318" s="57"/>
    </row>
    <row r="319" spans="1:13" x14ac:dyDescent="0.2">
      <c r="A319" s="67"/>
      <c r="B319" s="58"/>
      <c r="C319" s="78"/>
      <c r="D319" s="78"/>
      <c r="E319" s="78"/>
      <c r="G319" s="69"/>
      <c r="H319" s="69"/>
      <c r="I319" s="78"/>
      <c r="J319" s="78"/>
      <c r="M319" s="57"/>
    </row>
    <row r="320" spans="1:13" x14ac:dyDescent="0.2">
      <c r="A320" s="67"/>
      <c r="B320" s="58"/>
      <c r="C320" s="78"/>
      <c r="D320" s="78"/>
      <c r="E320" s="78"/>
      <c r="G320" s="69"/>
      <c r="H320" s="69"/>
      <c r="I320" s="78"/>
      <c r="J320" s="78"/>
      <c r="M320" s="57"/>
    </row>
    <row r="321" spans="1:13" x14ac:dyDescent="0.2">
      <c r="A321" s="67"/>
      <c r="B321" s="58"/>
      <c r="C321" s="78"/>
      <c r="D321" s="78"/>
      <c r="E321" s="78"/>
      <c r="G321" s="69"/>
      <c r="H321" s="69"/>
      <c r="I321" s="78"/>
      <c r="J321" s="78"/>
      <c r="M321" s="57"/>
    </row>
    <row r="322" spans="1:13" x14ac:dyDescent="0.2">
      <c r="A322" s="67"/>
      <c r="B322" s="58"/>
      <c r="C322" s="78"/>
      <c r="D322" s="78"/>
      <c r="E322" s="78"/>
      <c r="G322" s="69"/>
      <c r="H322" s="69"/>
      <c r="I322" s="78"/>
      <c r="J322" s="78"/>
      <c r="M322" s="57"/>
    </row>
    <row r="323" spans="1:13" x14ac:dyDescent="0.2">
      <c r="A323" s="67"/>
      <c r="B323" s="58"/>
      <c r="C323" s="78"/>
      <c r="D323" s="78"/>
      <c r="E323" s="78"/>
      <c r="G323" s="69"/>
      <c r="H323" s="69"/>
      <c r="I323" s="78"/>
      <c r="J323" s="78"/>
      <c r="M323" s="57"/>
    </row>
    <row r="324" spans="1:13" x14ac:dyDescent="0.2">
      <c r="A324" s="67"/>
      <c r="B324" s="58"/>
      <c r="C324" s="78"/>
      <c r="D324" s="78"/>
      <c r="E324" s="78"/>
      <c r="G324" s="69"/>
      <c r="H324" s="69"/>
      <c r="I324" s="78"/>
      <c r="J324" s="78"/>
      <c r="M324" s="57"/>
    </row>
    <row r="325" spans="1:13" x14ac:dyDescent="0.2">
      <c r="A325" s="67"/>
      <c r="B325" s="58"/>
      <c r="C325" s="78"/>
      <c r="D325" s="78"/>
      <c r="E325" s="78"/>
      <c r="G325" s="69"/>
      <c r="H325" s="69"/>
      <c r="I325" s="78"/>
      <c r="J325" s="78"/>
      <c r="M325" s="57"/>
    </row>
    <row r="326" spans="1:13" x14ac:dyDescent="0.2">
      <c r="A326" s="67"/>
      <c r="B326" s="58"/>
      <c r="C326" s="78"/>
      <c r="D326" s="78"/>
      <c r="E326" s="78"/>
      <c r="G326" s="69"/>
      <c r="H326" s="69"/>
      <c r="I326" s="78"/>
      <c r="J326" s="78"/>
      <c r="M326" s="57"/>
    </row>
    <row r="327" spans="1:13" x14ac:dyDescent="0.2">
      <c r="A327" s="67"/>
      <c r="B327" s="58"/>
      <c r="C327" s="78"/>
      <c r="D327" s="78"/>
      <c r="E327" s="78"/>
      <c r="G327" s="69"/>
      <c r="H327" s="69"/>
      <c r="I327" s="78"/>
      <c r="J327" s="78"/>
      <c r="M327" s="57"/>
    </row>
    <row r="328" spans="1:13" x14ac:dyDescent="0.2">
      <c r="A328" s="67"/>
      <c r="B328" s="58"/>
      <c r="C328" s="78"/>
      <c r="D328" s="78"/>
      <c r="E328" s="78"/>
      <c r="G328" s="69"/>
      <c r="H328" s="69"/>
      <c r="I328" s="78"/>
      <c r="J328" s="78"/>
      <c r="M328" s="57"/>
    </row>
    <row r="329" spans="1:13" x14ac:dyDescent="0.2">
      <c r="A329" s="67"/>
      <c r="B329" s="58"/>
      <c r="C329" s="78"/>
      <c r="D329" s="78"/>
      <c r="E329" s="78"/>
      <c r="G329" s="69"/>
      <c r="H329" s="69"/>
      <c r="I329" s="78"/>
      <c r="J329" s="78"/>
      <c r="M329" s="57"/>
    </row>
    <row r="330" spans="1:13" x14ac:dyDescent="0.2">
      <c r="A330" s="67"/>
      <c r="B330" s="58"/>
      <c r="C330" s="78"/>
      <c r="D330" s="78"/>
      <c r="E330" s="78"/>
      <c r="G330" s="69"/>
      <c r="H330" s="69"/>
      <c r="I330" s="78"/>
      <c r="J330" s="78"/>
      <c r="M330" s="57"/>
    </row>
    <row r="331" spans="1:13" x14ac:dyDescent="0.2">
      <c r="A331" s="67"/>
      <c r="B331" s="58"/>
      <c r="C331" s="78"/>
      <c r="D331" s="78"/>
      <c r="E331" s="78"/>
      <c r="G331" s="69"/>
      <c r="H331" s="69"/>
      <c r="I331" s="78"/>
      <c r="J331" s="78"/>
      <c r="M331" s="57"/>
    </row>
    <row r="332" spans="1:13" x14ac:dyDescent="0.2">
      <c r="A332" s="67"/>
      <c r="B332" s="58"/>
      <c r="C332" s="78"/>
      <c r="D332" s="78"/>
      <c r="E332" s="78"/>
      <c r="G332" s="69"/>
      <c r="H332" s="69"/>
      <c r="I332" s="78"/>
      <c r="J332" s="78"/>
      <c r="M332" s="57"/>
    </row>
    <row r="333" spans="1:13" x14ac:dyDescent="0.2">
      <c r="A333" s="67"/>
      <c r="B333" s="58"/>
      <c r="C333" s="78"/>
      <c r="D333" s="78"/>
      <c r="E333" s="78"/>
      <c r="G333" s="69"/>
      <c r="H333" s="69"/>
      <c r="I333" s="78"/>
      <c r="J333" s="78"/>
      <c r="M333" s="57"/>
    </row>
    <row r="334" spans="1:13" x14ac:dyDescent="0.2">
      <c r="A334" s="67"/>
      <c r="B334" s="58"/>
      <c r="C334" s="78"/>
      <c r="D334" s="78"/>
      <c r="E334" s="78"/>
      <c r="G334" s="69"/>
      <c r="H334" s="69"/>
      <c r="I334" s="78"/>
      <c r="J334" s="78"/>
      <c r="M334" s="57"/>
    </row>
    <row r="335" spans="1:13" x14ac:dyDescent="0.2">
      <c r="A335" s="67"/>
      <c r="B335" s="58"/>
      <c r="C335" s="78"/>
      <c r="D335" s="78"/>
      <c r="E335" s="78"/>
      <c r="G335" s="69"/>
      <c r="H335" s="69"/>
      <c r="I335" s="78"/>
      <c r="J335" s="78"/>
      <c r="M335" s="57"/>
    </row>
    <row r="336" spans="1:13" x14ac:dyDescent="0.2">
      <c r="A336" s="67"/>
      <c r="B336" s="58"/>
      <c r="C336" s="78"/>
      <c r="D336" s="78"/>
      <c r="E336" s="78"/>
      <c r="G336" s="69"/>
      <c r="H336" s="69"/>
      <c r="I336" s="78"/>
      <c r="J336" s="78"/>
      <c r="M336" s="57"/>
    </row>
    <row r="337" spans="1:13" x14ac:dyDescent="0.2">
      <c r="A337" s="67"/>
      <c r="B337" s="58"/>
      <c r="C337" s="78"/>
      <c r="D337" s="78"/>
      <c r="E337" s="78"/>
      <c r="G337" s="69"/>
      <c r="H337" s="69"/>
      <c r="I337" s="78"/>
      <c r="J337" s="78"/>
      <c r="M337" s="57"/>
    </row>
    <row r="338" spans="1:13" x14ac:dyDescent="0.2">
      <c r="G338" s="69"/>
      <c r="H338" s="69"/>
      <c r="M338" s="57"/>
    </row>
    <row r="339" spans="1:13" x14ac:dyDescent="0.2">
      <c r="A339" s="6"/>
      <c r="B339" s="6"/>
      <c r="C339" s="6"/>
      <c r="D339" s="6"/>
      <c r="E339" s="6"/>
      <c r="G339" s="69"/>
      <c r="H339" s="69"/>
      <c r="I339" s="6"/>
      <c r="J339" s="6"/>
      <c r="M339" s="57"/>
    </row>
    <row r="340" spans="1:13" ht="15" x14ac:dyDescent="0.25">
      <c r="A340" s="91">
        <v>1020</v>
      </c>
      <c r="B340" s="92" t="s">
        <v>4065</v>
      </c>
      <c r="G340" s="69"/>
      <c r="H340" s="69"/>
      <c r="M340" s="57"/>
    </row>
    <row r="341" spans="1:13" x14ac:dyDescent="0.2">
      <c r="A341" s="93">
        <v>1022</v>
      </c>
      <c r="B341" s="94" t="s">
        <v>483</v>
      </c>
      <c r="G341" s="69"/>
      <c r="H341" s="69"/>
      <c r="M341" s="57"/>
    </row>
    <row r="342" spans="1:13" ht="15" x14ac:dyDescent="0.25">
      <c r="A342" s="91"/>
      <c r="B342" s="95"/>
      <c r="G342" s="69"/>
      <c r="H342" s="69"/>
      <c r="M342" s="57"/>
    </row>
    <row r="343" spans="1:13" ht="15" x14ac:dyDescent="0.25">
      <c r="A343" s="91"/>
      <c r="B343" s="50" t="s">
        <v>61</v>
      </c>
      <c r="C343" s="50"/>
      <c r="D343" s="50"/>
      <c r="E343" s="50"/>
      <c r="G343" s="69"/>
      <c r="H343" s="69"/>
      <c r="I343" s="85"/>
      <c r="J343" s="85"/>
      <c r="M343" s="57"/>
    </row>
    <row r="344" spans="1:13" ht="15" x14ac:dyDescent="0.25">
      <c r="A344" s="91"/>
      <c r="B344" s="50"/>
      <c r="C344" s="50"/>
      <c r="D344" s="50"/>
      <c r="E344" s="50"/>
      <c r="G344" s="69"/>
      <c r="H344" s="69"/>
      <c r="I344" s="85"/>
      <c r="J344" s="85"/>
      <c r="M344" s="57"/>
    </row>
    <row r="345" spans="1:13" ht="15" x14ac:dyDescent="0.25">
      <c r="A345" s="91"/>
      <c r="B345" s="58" t="s">
        <v>413</v>
      </c>
      <c r="C345" s="53"/>
      <c r="D345" s="53"/>
      <c r="E345" s="53"/>
      <c r="G345" s="69"/>
      <c r="H345" s="69"/>
      <c r="I345" s="54"/>
      <c r="J345" s="54"/>
      <c r="M345" s="57"/>
    </row>
    <row r="346" spans="1:13" ht="15" x14ac:dyDescent="0.25">
      <c r="A346" s="91"/>
      <c r="B346" s="55" t="s">
        <v>4061</v>
      </c>
      <c r="C346" s="56">
        <v>65037</v>
      </c>
      <c r="D346" s="56">
        <v>476000</v>
      </c>
      <c r="E346" s="56">
        <v>476000</v>
      </c>
      <c r="F346" s="56">
        <v>476000</v>
      </c>
      <c r="G346" s="56">
        <v>476000</v>
      </c>
      <c r="H346" s="56">
        <v>476000</v>
      </c>
      <c r="I346" s="56">
        <v>0</v>
      </c>
      <c r="J346" s="56">
        <v>0</v>
      </c>
      <c r="M346" s="57"/>
    </row>
    <row r="347" spans="1:13" ht="15" x14ac:dyDescent="0.25">
      <c r="A347" s="91"/>
      <c r="B347" s="58" t="s">
        <v>414</v>
      </c>
      <c r="C347" s="59">
        <f t="shared" ref="C347:J347" si="40">SUM(C346)</f>
        <v>65037</v>
      </c>
      <c r="D347" s="59">
        <f t="shared" si="40"/>
        <v>476000</v>
      </c>
      <c r="E347" s="59">
        <f t="shared" si="40"/>
        <v>476000</v>
      </c>
      <c r="F347" s="59">
        <f t="shared" si="40"/>
        <v>476000</v>
      </c>
      <c r="G347" s="59">
        <f t="shared" si="40"/>
        <v>476000</v>
      </c>
      <c r="H347" s="59">
        <f t="shared" si="40"/>
        <v>476000</v>
      </c>
      <c r="I347" s="59">
        <f t="shared" si="40"/>
        <v>0</v>
      </c>
      <c r="J347" s="59">
        <f t="shared" si="40"/>
        <v>0</v>
      </c>
      <c r="M347" s="57"/>
    </row>
    <row r="348" spans="1:13" ht="15" x14ac:dyDescent="0.25">
      <c r="A348" s="91"/>
      <c r="B348" s="58"/>
      <c r="C348" s="59"/>
      <c r="D348" s="59"/>
      <c r="E348" s="59"/>
      <c r="G348" s="69"/>
      <c r="H348" s="69"/>
      <c r="I348" s="59"/>
      <c r="J348" s="59"/>
      <c r="M348" s="57"/>
    </row>
    <row r="349" spans="1:13" ht="15.75" thickBot="1" x14ac:dyDescent="0.3">
      <c r="A349" s="91"/>
      <c r="B349" s="65" t="s">
        <v>4043</v>
      </c>
      <c r="C349" s="66">
        <f t="shared" ref="C349:J349" si="41">+C347</f>
        <v>65037</v>
      </c>
      <c r="D349" s="66">
        <f t="shared" si="41"/>
        <v>476000</v>
      </c>
      <c r="E349" s="66">
        <f t="shared" si="41"/>
        <v>476000</v>
      </c>
      <c r="F349" s="66">
        <f t="shared" si="41"/>
        <v>476000</v>
      </c>
      <c r="G349" s="66">
        <f t="shared" si="41"/>
        <v>476000</v>
      </c>
      <c r="H349" s="66">
        <f t="shared" si="41"/>
        <v>476000</v>
      </c>
      <c r="I349" s="66">
        <f t="shared" si="41"/>
        <v>0</v>
      </c>
      <c r="J349" s="66">
        <f t="shared" si="41"/>
        <v>0</v>
      </c>
      <c r="M349" s="57"/>
    </row>
    <row r="350" spans="1:13" ht="15.75" thickTop="1" x14ac:dyDescent="0.25">
      <c r="A350" s="91"/>
      <c r="B350" s="58"/>
      <c r="C350" s="73"/>
      <c r="D350" s="73"/>
      <c r="E350" s="73"/>
      <c r="G350" s="69"/>
      <c r="H350" s="69"/>
      <c r="I350" s="73"/>
      <c r="J350" s="73"/>
      <c r="M350" s="57"/>
    </row>
    <row r="351" spans="1:13" x14ac:dyDescent="0.2">
      <c r="A351" s="49"/>
      <c r="B351" s="50" t="s">
        <v>4018</v>
      </c>
      <c r="C351" s="50"/>
      <c r="D351" s="50"/>
      <c r="E351" s="50"/>
      <c r="G351" s="69"/>
      <c r="H351" s="69"/>
      <c r="I351" s="50"/>
      <c r="J351" s="50"/>
      <c r="M351" s="57"/>
    </row>
    <row r="352" spans="1:13" x14ac:dyDescent="0.2">
      <c r="A352" s="49"/>
      <c r="B352" s="50"/>
      <c r="C352" s="50"/>
      <c r="D352" s="50"/>
      <c r="E352" s="50"/>
      <c r="G352" s="69"/>
      <c r="H352" s="69"/>
      <c r="I352" s="50"/>
      <c r="J352" s="50"/>
      <c r="M352" s="57"/>
    </row>
    <row r="353" spans="1:13" x14ac:dyDescent="0.2">
      <c r="A353" s="60"/>
      <c r="B353" s="58" t="s">
        <v>4019</v>
      </c>
      <c r="C353" s="69"/>
      <c r="D353" s="69"/>
      <c r="E353" s="69"/>
      <c r="G353" s="69"/>
      <c r="H353" s="69"/>
      <c r="I353" s="69"/>
      <c r="J353" s="69"/>
      <c r="M353" s="57"/>
    </row>
    <row r="354" spans="1:13" x14ac:dyDescent="0.2">
      <c r="A354" s="60">
        <v>1001</v>
      </c>
      <c r="B354" s="70" t="s">
        <v>3543</v>
      </c>
      <c r="C354" s="69">
        <v>81446</v>
      </c>
      <c r="D354" s="69">
        <v>359252</v>
      </c>
      <c r="E354" s="69">
        <f>+D354-80429</f>
        <v>278823</v>
      </c>
      <c r="F354" s="69">
        <v>298932</v>
      </c>
      <c r="G354" s="69">
        <f t="shared" ref="G354:G379" si="42">F354/$F$11*$G$11</f>
        <v>358718.4</v>
      </c>
      <c r="H354" s="69">
        <f>[3]Salary_Bdgt!$H$63</f>
        <v>358153</v>
      </c>
      <c r="I354" s="69">
        <f t="shared" ref="I354:J360" si="43">ROUND(H354*1.08,0)</f>
        <v>386805</v>
      </c>
      <c r="J354" s="69">
        <f t="shared" si="43"/>
        <v>417749</v>
      </c>
      <c r="M354" s="57"/>
    </row>
    <row r="355" spans="1:13" x14ac:dyDescent="0.2">
      <c r="A355" s="60">
        <v>1002</v>
      </c>
      <c r="B355" s="70" t="s">
        <v>3542</v>
      </c>
      <c r="C355" s="69">
        <v>0</v>
      </c>
      <c r="D355" s="69">
        <v>0</v>
      </c>
      <c r="E355" s="69">
        <v>0</v>
      </c>
      <c r="F355" s="69">
        <v>0</v>
      </c>
      <c r="G355" s="69">
        <f t="shared" si="42"/>
        <v>0</v>
      </c>
      <c r="H355" s="69">
        <f>[3]Salary_Bdgt!$X$63</f>
        <v>29846</v>
      </c>
      <c r="I355" s="69">
        <f t="shared" si="43"/>
        <v>32234</v>
      </c>
      <c r="J355" s="69">
        <f t="shared" si="43"/>
        <v>34813</v>
      </c>
      <c r="M355" s="57"/>
    </row>
    <row r="356" spans="1:13" x14ac:dyDescent="0.2">
      <c r="A356" s="60">
        <v>1005</v>
      </c>
      <c r="B356" s="70" t="s">
        <v>3544</v>
      </c>
      <c r="C356" s="69">
        <v>3791</v>
      </c>
      <c r="D356" s="69">
        <v>0</v>
      </c>
      <c r="E356" s="69">
        <v>16349</v>
      </c>
      <c r="F356" s="69">
        <v>17030</v>
      </c>
      <c r="G356" s="69">
        <f t="shared" si="42"/>
        <v>20436</v>
      </c>
      <c r="H356" s="69">
        <f>[3]Salary_Bdgt!$L$63</f>
        <v>20436</v>
      </c>
      <c r="I356" s="69">
        <f t="shared" si="43"/>
        <v>22071</v>
      </c>
      <c r="J356" s="69">
        <f t="shared" si="43"/>
        <v>23837</v>
      </c>
      <c r="M356" s="57"/>
    </row>
    <row r="357" spans="1:13" x14ac:dyDescent="0.2">
      <c r="A357" s="60">
        <v>1006</v>
      </c>
      <c r="B357" s="70" t="s">
        <v>3545</v>
      </c>
      <c r="C357" s="69">
        <v>11000</v>
      </c>
      <c r="D357" s="69">
        <v>0</v>
      </c>
      <c r="E357" s="69">
        <v>52800</v>
      </c>
      <c r="F357" s="69">
        <v>55000</v>
      </c>
      <c r="G357" s="69">
        <f t="shared" si="42"/>
        <v>66000</v>
      </c>
      <c r="H357" s="69">
        <f>[3]Salary_Bdgt!$N$63</f>
        <v>71280</v>
      </c>
      <c r="I357" s="69">
        <f t="shared" si="43"/>
        <v>76982</v>
      </c>
      <c r="J357" s="69">
        <f t="shared" si="43"/>
        <v>83141</v>
      </c>
      <c r="M357" s="57"/>
    </row>
    <row r="358" spans="1:13" x14ac:dyDescent="0.2">
      <c r="A358" s="60">
        <v>1007</v>
      </c>
      <c r="B358" s="70" t="s">
        <v>3546</v>
      </c>
      <c r="C358" s="69">
        <v>250</v>
      </c>
      <c r="D358" s="69">
        <v>0</v>
      </c>
      <c r="E358" s="69">
        <v>1198</v>
      </c>
      <c r="F358" s="69">
        <v>1248</v>
      </c>
      <c r="G358" s="69">
        <f t="shared" si="42"/>
        <v>1497.6</v>
      </c>
      <c r="H358" s="69">
        <f>[3]Salary_Bdgt!$I$63</f>
        <v>1617</v>
      </c>
      <c r="I358" s="69">
        <f t="shared" si="43"/>
        <v>1746</v>
      </c>
      <c r="J358" s="69">
        <f t="shared" si="43"/>
        <v>1886</v>
      </c>
      <c r="M358" s="57"/>
    </row>
    <row r="359" spans="1:13" x14ac:dyDescent="0.2">
      <c r="A359" s="60">
        <v>1009</v>
      </c>
      <c r="B359" s="70" t="s">
        <v>3547</v>
      </c>
      <c r="C359" s="69">
        <v>7</v>
      </c>
      <c r="D359" s="69">
        <v>0</v>
      </c>
      <c r="E359" s="69">
        <v>36</v>
      </c>
      <c r="F359" s="69">
        <v>38</v>
      </c>
      <c r="G359" s="69">
        <f t="shared" si="42"/>
        <v>45.599999999999994</v>
      </c>
      <c r="H359" s="69">
        <f>[3]Salary_Bdgt!$M$63</f>
        <v>45</v>
      </c>
      <c r="I359" s="69">
        <f t="shared" si="43"/>
        <v>49</v>
      </c>
      <c r="J359" s="69">
        <f t="shared" si="43"/>
        <v>53</v>
      </c>
      <c r="M359" s="57"/>
    </row>
    <row r="360" spans="1:13" x14ac:dyDescent="0.2">
      <c r="A360" s="60">
        <v>1010</v>
      </c>
      <c r="B360" s="70" t="s">
        <v>3548</v>
      </c>
      <c r="C360" s="69">
        <v>0</v>
      </c>
      <c r="D360" s="69">
        <v>29938</v>
      </c>
      <c r="E360" s="69">
        <f>+D360</f>
        <v>29938</v>
      </c>
      <c r="F360" s="69">
        <v>18460</v>
      </c>
      <c r="G360" s="69">
        <f t="shared" si="42"/>
        <v>22152</v>
      </c>
      <c r="H360" s="69">
        <f>[3]Salary_Bdgt!$Q$63</f>
        <v>29846</v>
      </c>
      <c r="I360" s="69">
        <f t="shared" si="43"/>
        <v>32234</v>
      </c>
      <c r="J360" s="69">
        <f t="shared" si="43"/>
        <v>34813</v>
      </c>
      <c r="M360" s="57"/>
    </row>
    <row r="361" spans="1:13" x14ac:dyDescent="0.2">
      <c r="A361" s="60">
        <v>1011</v>
      </c>
      <c r="B361" s="70" t="s">
        <v>3549</v>
      </c>
      <c r="C361" s="69">
        <v>0</v>
      </c>
      <c r="D361" s="69">
        <v>0</v>
      </c>
      <c r="E361" s="69">
        <v>0</v>
      </c>
      <c r="F361" s="69">
        <v>6956</v>
      </c>
      <c r="G361" s="69">
        <f t="shared" si="42"/>
        <v>8347.2000000000007</v>
      </c>
      <c r="H361" s="69">
        <f>[3]Salary_Bdgt!$U$63</f>
        <v>22537</v>
      </c>
      <c r="I361" s="69"/>
      <c r="J361" s="69"/>
      <c r="M361" s="57"/>
    </row>
    <row r="362" spans="1:13" x14ac:dyDescent="0.2">
      <c r="A362" s="60">
        <v>1014</v>
      </c>
      <c r="B362" s="70" t="s">
        <v>3550</v>
      </c>
      <c r="C362" s="69">
        <v>5635</v>
      </c>
      <c r="D362" s="69">
        <v>32280</v>
      </c>
      <c r="E362" s="69">
        <f>+D362</f>
        <v>32280</v>
      </c>
      <c r="F362" s="69">
        <v>33472</v>
      </c>
      <c r="G362" s="69">
        <f t="shared" si="42"/>
        <v>40166.399999999994</v>
      </c>
      <c r="H362" s="69">
        <f>[3]Salary_Bdgt!$S$63</f>
        <v>47749</v>
      </c>
      <c r="I362" s="69">
        <f t="shared" ref="I362:J379" si="44">ROUND(H362*1.08,0)</f>
        <v>51569</v>
      </c>
      <c r="J362" s="69">
        <f t="shared" si="44"/>
        <v>55695</v>
      </c>
      <c r="M362" s="57"/>
    </row>
    <row r="363" spans="1:13" x14ac:dyDescent="0.2">
      <c r="A363" s="60">
        <v>1016</v>
      </c>
      <c r="B363" s="70" t="s">
        <v>3551</v>
      </c>
      <c r="C363" s="69">
        <v>4440</v>
      </c>
      <c r="D363" s="69">
        <v>29304</v>
      </c>
      <c r="E363" s="69">
        <f>+D363+10046</f>
        <v>39350</v>
      </c>
      <c r="F363" s="69">
        <v>20355</v>
      </c>
      <c r="G363" s="69">
        <f t="shared" si="42"/>
        <v>24426</v>
      </c>
      <c r="H363" s="69">
        <f>[3]Salary_Bdgt!$T$63+[3]Salary_Bdgt!$V$63</f>
        <v>0</v>
      </c>
      <c r="I363" s="69">
        <f t="shared" si="44"/>
        <v>0</v>
      </c>
      <c r="J363" s="69">
        <f t="shared" si="44"/>
        <v>0</v>
      </c>
      <c r="M363" s="57"/>
    </row>
    <row r="364" spans="1:13" x14ac:dyDescent="0.2">
      <c r="A364" s="60">
        <v>1017</v>
      </c>
      <c r="B364" s="70" t="s">
        <v>3552</v>
      </c>
      <c r="C364" s="69">
        <v>289</v>
      </c>
      <c r="D364" s="69">
        <v>0</v>
      </c>
      <c r="E364" s="69">
        <v>0</v>
      </c>
      <c r="F364" s="69">
        <v>2377</v>
      </c>
      <c r="G364" s="69">
        <f t="shared" si="42"/>
        <v>2852.3999999999996</v>
      </c>
      <c r="H364" s="69">
        <f>[3]Salary_Bdgt!$J$63</f>
        <v>8816</v>
      </c>
      <c r="I364" s="69">
        <f t="shared" si="44"/>
        <v>9521</v>
      </c>
      <c r="J364" s="69">
        <f t="shared" si="44"/>
        <v>10283</v>
      </c>
      <c r="M364" s="57"/>
    </row>
    <row r="365" spans="1:13" x14ac:dyDescent="0.2">
      <c r="A365" s="60">
        <v>1046</v>
      </c>
      <c r="B365" s="70" t="s">
        <v>3520</v>
      </c>
      <c r="C365" s="69">
        <v>11422</v>
      </c>
      <c r="D365" s="69">
        <v>147985</v>
      </c>
      <c r="E365" s="69">
        <f>+D365</f>
        <v>147985</v>
      </c>
      <c r="F365" s="69">
        <v>65216</v>
      </c>
      <c r="G365" s="69">
        <f t="shared" si="42"/>
        <v>78259.200000000012</v>
      </c>
      <c r="H365" s="69">
        <f>[3]Salary_Bdgt!$R$63</f>
        <v>95024</v>
      </c>
      <c r="I365" s="69">
        <f t="shared" si="44"/>
        <v>102626</v>
      </c>
      <c r="J365" s="69">
        <f t="shared" si="44"/>
        <v>110836</v>
      </c>
      <c r="M365" s="57"/>
    </row>
    <row r="366" spans="1:13" x14ac:dyDescent="0.2">
      <c r="A366" s="60">
        <v>1182</v>
      </c>
      <c r="B366" s="70" t="s">
        <v>3553</v>
      </c>
      <c r="C366" s="69">
        <v>1117</v>
      </c>
      <c r="D366" s="69">
        <v>0</v>
      </c>
      <c r="E366" s="69">
        <v>0</v>
      </c>
      <c r="F366" s="69">
        <v>0</v>
      </c>
      <c r="G366" s="69">
        <f t="shared" si="42"/>
        <v>0</v>
      </c>
      <c r="H366" s="69">
        <f>[3]Salary_Bdgt!$K$63</f>
        <v>8199</v>
      </c>
      <c r="I366" s="69">
        <f t="shared" si="44"/>
        <v>8855</v>
      </c>
      <c r="J366" s="69">
        <f t="shared" si="44"/>
        <v>9563</v>
      </c>
      <c r="M366" s="57"/>
    </row>
    <row r="367" spans="1:13" x14ac:dyDescent="0.2">
      <c r="A367" s="60">
        <v>1001</v>
      </c>
      <c r="B367" s="70" t="s">
        <v>472</v>
      </c>
      <c r="C367" s="69">
        <v>0</v>
      </c>
      <c r="D367" s="69">
        <v>0</v>
      </c>
      <c r="E367" s="69">
        <v>0</v>
      </c>
      <c r="F367" s="69">
        <v>0</v>
      </c>
      <c r="G367" s="69">
        <f t="shared" si="42"/>
        <v>0</v>
      </c>
      <c r="H367" s="69">
        <f>[3]Salary_Bdgt!$H$69</f>
        <v>70031</v>
      </c>
      <c r="I367" s="69">
        <f t="shared" si="44"/>
        <v>75633</v>
      </c>
      <c r="J367" s="69">
        <f t="shared" si="44"/>
        <v>81684</v>
      </c>
      <c r="M367" s="57"/>
    </row>
    <row r="368" spans="1:13" x14ac:dyDescent="0.2">
      <c r="A368" s="60">
        <v>1005</v>
      </c>
      <c r="B368" s="70" t="s">
        <v>473</v>
      </c>
      <c r="C368" s="69">
        <v>0</v>
      </c>
      <c r="D368" s="69">
        <v>0</v>
      </c>
      <c r="E368" s="69">
        <v>0</v>
      </c>
      <c r="F368" s="69">
        <v>0</v>
      </c>
      <c r="G368" s="69">
        <f t="shared" si="42"/>
        <v>0</v>
      </c>
      <c r="H368" s="69">
        <f>[3]Salary_Bdgt!$L$69</f>
        <v>0</v>
      </c>
      <c r="I368" s="69">
        <f t="shared" si="44"/>
        <v>0</v>
      </c>
      <c r="J368" s="69">
        <f t="shared" si="44"/>
        <v>0</v>
      </c>
      <c r="M368" s="57"/>
    </row>
    <row r="369" spans="1:13" x14ac:dyDescent="0.2">
      <c r="A369" s="60">
        <v>1006</v>
      </c>
      <c r="B369" s="70" t="s">
        <v>474</v>
      </c>
      <c r="C369" s="69">
        <v>0</v>
      </c>
      <c r="D369" s="69">
        <v>0</v>
      </c>
      <c r="E369" s="69">
        <v>0</v>
      </c>
      <c r="F369" s="69">
        <v>0</v>
      </c>
      <c r="G369" s="69">
        <f t="shared" si="42"/>
        <v>0</v>
      </c>
      <c r="H369" s="69">
        <f>[3]Salary_Bdgt!$N$69</f>
        <v>0</v>
      </c>
      <c r="I369" s="69">
        <f t="shared" si="44"/>
        <v>0</v>
      </c>
      <c r="J369" s="69">
        <f t="shared" si="44"/>
        <v>0</v>
      </c>
      <c r="M369" s="57"/>
    </row>
    <row r="370" spans="1:13" x14ac:dyDescent="0.2">
      <c r="A370" s="60">
        <v>1007</v>
      </c>
      <c r="B370" s="70" t="s">
        <v>481</v>
      </c>
      <c r="C370" s="69">
        <v>0</v>
      </c>
      <c r="D370" s="69">
        <v>0</v>
      </c>
      <c r="E370" s="69">
        <v>0</v>
      </c>
      <c r="F370" s="69">
        <v>0</v>
      </c>
      <c r="G370" s="69">
        <f t="shared" si="42"/>
        <v>0</v>
      </c>
      <c r="H370" s="69">
        <f>[3]Salary_Bdgt!$I$69</f>
        <v>1401</v>
      </c>
      <c r="I370" s="69">
        <f t="shared" si="44"/>
        <v>1513</v>
      </c>
      <c r="J370" s="69">
        <f t="shared" si="44"/>
        <v>1634</v>
      </c>
      <c r="M370" s="57"/>
    </row>
    <row r="371" spans="1:13" x14ac:dyDescent="0.2">
      <c r="A371" s="60">
        <v>1009</v>
      </c>
      <c r="B371" s="70" t="s">
        <v>482</v>
      </c>
      <c r="C371" s="69">
        <v>0</v>
      </c>
      <c r="D371" s="69">
        <v>0</v>
      </c>
      <c r="E371" s="69">
        <v>0</v>
      </c>
      <c r="F371" s="69">
        <v>0</v>
      </c>
      <c r="G371" s="69">
        <f t="shared" si="42"/>
        <v>0</v>
      </c>
      <c r="H371" s="69">
        <f>[3]Salary_Bdgt!$M$69</f>
        <v>45</v>
      </c>
      <c r="I371" s="69">
        <f t="shared" si="44"/>
        <v>49</v>
      </c>
      <c r="J371" s="69">
        <f t="shared" si="44"/>
        <v>53</v>
      </c>
      <c r="M371" s="57"/>
    </row>
    <row r="372" spans="1:13" x14ac:dyDescent="0.2">
      <c r="A372" s="60">
        <v>1010</v>
      </c>
      <c r="B372" s="70" t="s">
        <v>28</v>
      </c>
      <c r="C372" s="69">
        <v>0</v>
      </c>
      <c r="D372" s="69">
        <v>0</v>
      </c>
      <c r="E372" s="69">
        <v>0</v>
      </c>
      <c r="F372" s="69">
        <v>0</v>
      </c>
      <c r="G372" s="69">
        <f t="shared" si="42"/>
        <v>0</v>
      </c>
      <c r="H372" s="69">
        <f>[3]Salary_Bdgt!$Q$69</f>
        <v>5836</v>
      </c>
      <c r="I372" s="69">
        <f t="shared" si="44"/>
        <v>6303</v>
      </c>
      <c r="J372" s="69">
        <f t="shared" si="44"/>
        <v>6807</v>
      </c>
      <c r="M372" s="57"/>
    </row>
    <row r="373" spans="1:13" x14ac:dyDescent="0.2">
      <c r="A373" s="60">
        <v>1011</v>
      </c>
      <c r="B373" s="70" t="s">
        <v>4045</v>
      </c>
      <c r="C373" s="69">
        <v>0</v>
      </c>
      <c r="D373" s="69">
        <v>0</v>
      </c>
      <c r="E373" s="69">
        <v>0</v>
      </c>
      <c r="F373" s="69">
        <v>0</v>
      </c>
      <c r="G373" s="69">
        <f t="shared" si="42"/>
        <v>0</v>
      </c>
      <c r="H373" s="69">
        <f>[3]Salary_Bdgt!$U$69</f>
        <v>0</v>
      </c>
      <c r="I373" s="69">
        <f t="shared" si="44"/>
        <v>0</v>
      </c>
      <c r="J373" s="69">
        <f t="shared" si="44"/>
        <v>0</v>
      </c>
      <c r="M373" s="57"/>
    </row>
    <row r="374" spans="1:13" x14ac:dyDescent="0.2">
      <c r="A374" s="60">
        <v>1014</v>
      </c>
      <c r="B374" s="70" t="s">
        <v>36</v>
      </c>
      <c r="C374" s="69">
        <v>0</v>
      </c>
      <c r="D374" s="69">
        <v>0</v>
      </c>
      <c r="E374" s="69">
        <v>0</v>
      </c>
      <c r="F374" s="69">
        <v>0</v>
      </c>
      <c r="G374" s="69">
        <f t="shared" si="42"/>
        <v>0</v>
      </c>
      <c r="H374" s="69">
        <f>[3]Salary_Bdgt!$S$69</f>
        <v>0</v>
      </c>
      <c r="I374" s="69">
        <f t="shared" si="44"/>
        <v>0</v>
      </c>
      <c r="J374" s="69">
        <f t="shared" si="44"/>
        <v>0</v>
      </c>
      <c r="M374" s="57"/>
    </row>
    <row r="375" spans="1:13" x14ac:dyDescent="0.2">
      <c r="A375" s="60">
        <v>1015</v>
      </c>
      <c r="B375" s="70" t="s">
        <v>445</v>
      </c>
      <c r="C375" s="69">
        <v>0</v>
      </c>
      <c r="D375" s="69">
        <v>0</v>
      </c>
      <c r="E375" s="69">
        <v>0</v>
      </c>
      <c r="F375" s="69">
        <v>0</v>
      </c>
      <c r="G375" s="69">
        <f t="shared" si="42"/>
        <v>0</v>
      </c>
      <c r="H375" s="69">
        <f>[3]Salary_Bdgt!$O$69+[3]Salary_Bdgt!$P$69+[3]Salary_Bdgt!$W$69</f>
        <v>0</v>
      </c>
      <c r="I375" s="69">
        <f t="shared" si="44"/>
        <v>0</v>
      </c>
      <c r="J375" s="69">
        <f t="shared" si="44"/>
        <v>0</v>
      </c>
      <c r="M375" s="57"/>
    </row>
    <row r="376" spans="1:13" x14ac:dyDescent="0.2">
      <c r="A376" s="60">
        <v>1016</v>
      </c>
      <c r="B376" s="70" t="s">
        <v>475</v>
      </c>
      <c r="C376" s="69">
        <v>0</v>
      </c>
      <c r="D376" s="69">
        <v>0</v>
      </c>
      <c r="E376" s="69">
        <v>0</v>
      </c>
      <c r="F376" s="69">
        <v>0</v>
      </c>
      <c r="G376" s="69">
        <f t="shared" si="42"/>
        <v>0</v>
      </c>
      <c r="H376" s="69">
        <f>[3]Salary_Bdgt!$T$69+[3]Salary_Bdgt!$V$69</f>
        <v>0</v>
      </c>
      <c r="I376" s="69">
        <f t="shared" si="44"/>
        <v>0</v>
      </c>
      <c r="J376" s="69">
        <f t="shared" si="44"/>
        <v>0</v>
      </c>
      <c r="M376" s="57"/>
    </row>
    <row r="377" spans="1:13" x14ac:dyDescent="0.2">
      <c r="A377" s="60">
        <v>1017</v>
      </c>
      <c r="B377" s="70" t="s">
        <v>4044</v>
      </c>
      <c r="C377" s="69">
        <v>0</v>
      </c>
      <c r="D377" s="69">
        <v>0</v>
      </c>
      <c r="E377" s="69">
        <v>0</v>
      </c>
      <c r="F377" s="69">
        <v>0</v>
      </c>
      <c r="G377" s="69">
        <f t="shared" si="42"/>
        <v>0</v>
      </c>
      <c r="H377" s="69">
        <f>[3]Salary_Bdgt!$J$69</f>
        <v>1401</v>
      </c>
      <c r="I377" s="69">
        <f t="shared" si="44"/>
        <v>1513</v>
      </c>
      <c r="J377" s="69">
        <f t="shared" si="44"/>
        <v>1634</v>
      </c>
      <c r="M377" s="57"/>
    </row>
    <row r="378" spans="1:13" x14ac:dyDescent="0.2">
      <c r="A378" s="60">
        <v>1046</v>
      </c>
      <c r="B378" s="70" t="s">
        <v>491</v>
      </c>
      <c r="C378" s="69">
        <v>0</v>
      </c>
      <c r="D378" s="69">
        <v>0</v>
      </c>
      <c r="E378" s="69">
        <v>0</v>
      </c>
      <c r="F378" s="69">
        <v>0</v>
      </c>
      <c r="G378" s="69">
        <f t="shared" si="42"/>
        <v>0</v>
      </c>
      <c r="H378" s="69">
        <f>[3]Salary_Bdgt!$R$69</f>
        <v>0</v>
      </c>
      <c r="I378" s="69">
        <f t="shared" si="44"/>
        <v>0</v>
      </c>
      <c r="J378" s="69">
        <f t="shared" si="44"/>
        <v>0</v>
      </c>
      <c r="M378" s="57"/>
    </row>
    <row r="379" spans="1:13" x14ac:dyDescent="0.2">
      <c r="A379" s="60">
        <v>1182</v>
      </c>
      <c r="B379" s="71" t="s">
        <v>1065</v>
      </c>
      <c r="C379" s="56">
        <v>0</v>
      </c>
      <c r="D379" s="56">
        <v>0</v>
      </c>
      <c r="E379" s="56">
        <v>0</v>
      </c>
      <c r="F379" s="56">
        <v>0</v>
      </c>
      <c r="G379" s="56">
        <f t="shared" si="42"/>
        <v>0</v>
      </c>
      <c r="H379" s="56">
        <f>[3]Salary_Bdgt!$K$69</f>
        <v>1303</v>
      </c>
      <c r="I379" s="56">
        <f t="shared" si="44"/>
        <v>1407</v>
      </c>
      <c r="J379" s="56">
        <f t="shared" si="44"/>
        <v>1520</v>
      </c>
      <c r="M379" s="57"/>
    </row>
    <row r="380" spans="1:13" x14ac:dyDescent="0.2">
      <c r="A380" s="60"/>
      <c r="B380" s="58" t="s">
        <v>416</v>
      </c>
      <c r="C380" s="72">
        <f t="shared" ref="C380:J380" si="45">SUM(C354:C379)</f>
        <v>119397</v>
      </c>
      <c r="D380" s="72">
        <f t="shared" si="45"/>
        <v>598759</v>
      </c>
      <c r="E380" s="72">
        <f t="shared" si="45"/>
        <v>598759</v>
      </c>
      <c r="F380" s="72">
        <f t="shared" si="45"/>
        <v>519084</v>
      </c>
      <c r="G380" s="72">
        <f t="shared" si="45"/>
        <v>622900.80000000005</v>
      </c>
      <c r="H380" s="72">
        <f t="shared" si="45"/>
        <v>773565</v>
      </c>
      <c r="I380" s="72">
        <f t="shared" si="45"/>
        <v>811110</v>
      </c>
      <c r="J380" s="72">
        <f t="shared" si="45"/>
        <v>876001</v>
      </c>
      <c r="M380" s="57"/>
    </row>
    <row r="381" spans="1:13" x14ac:dyDescent="0.2">
      <c r="A381" s="60"/>
      <c r="B381" s="58"/>
      <c r="C381" s="72"/>
      <c r="D381" s="72"/>
      <c r="E381" s="72"/>
      <c r="G381" s="69"/>
      <c r="H381" s="69"/>
      <c r="I381" s="72"/>
      <c r="J381" s="72"/>
      <c r="M381" s="57"/>
    </row>
    <row r="382" spans="1:13" x14ac:dyDescent="0.2">
      <c r="A382" s="60"/>
      <c r="B382" s="58" t="s">
        <v>435</v>
      </c>
      <c r="C382" s="69"/>
      <c r="D382" s="69"/>
      <c r="E382" s="69"/>
      <c r="G382" s="69"/>
      <c r="H382" s="69"/>
      <c r="I382" s="69"/>
      <c r="J382" s="69"/>
      <c r="M382" s="57"/>
    </row>
    <row r="383" spans="1:13" x14ac:dyDescent="0.2">
      <c r="A383" s="60">
        <v>2113</v>
      </c>
      <c r="B383" s="70" t="s">
        <v>4062</v>
      </c>
      <c r="C383" s="69">
        <v>0</v>
      </c>
      <c r="D383" s="69">
        <v>10500</v>
      </c>
      <c r="E383" s="69">
        <f>10500</f>
        <v>10500</v>
      </c>
      <c r="F383" s="69">
        <v>0</v>
      </c>
      <c r="G383" s="69">
        <f>F383/$F$11*$G$11</f>
        <v>0</v>
      </c>
      <c r="H383" s="69">
        <f>ROUND(E383*1.05,0)</f>
        <v>11025</v>
      </c>
      <c r="I383" s="69">
        <f t="shared" ref="I383:J387" si="46">ROUND(H383*1.06,0)</f>
        <v>11687</v>
      </c>
      <c r="J383" s="69">
        <f t="shared" si="46"/>
        <v>12388</v>
      </c>
      <c r="M383" s="57">
        <f>E383-D383</f>
        <v>0</v>
      </c>
    </row>
    <row r="384" spans="1:13" x14ac:dyDescent="0.2">
      <c r="A384" s="60">
        <v>2207</v>
      </c>
      <c r="B384" s="70" t="s">
        <v>4063</v>
      </c>
      <c r="C384" s="69">
        <v>17268</v>
      </c>
      <c r="D384" s="69">
        <v>5250</v>
      </c>
      <c r="E384" s="69">
        <f>5250</f>
        <v>5250</v>
      </c>
      <c r="F384" s="69">
        <v>0</v>
      </c>
      <c r="G384" s="69">
        <f>F384/$F$11*$G$11</f>
        <v>0</v>
      </c>
      <c r="H384" s="69">
        <v>0</v>
      </c>
      <c r="I384" s="69">
        <f t="shared" si="46"/>
        <v>0</v>
      </c>
      <c r="J384" s="69">
        <f t="shared" si="46"/>
        <v>0</v>
      </c>
      <c r="M384" s="57">
        <f>E384-D384</f>
        <v>0</v>
      </c>
    </row>
    <row r="385" spans="1:13" x14ac:dyDescent="0.2">
      <c r="A385" s="60">
        <v>2226</v>
      </c>
      <c r="B385" s="70" t="s">
        <v>4051</v>
      </c>
      <c r="C385" s="69">
        <v>0</v>
      </c>
      <c r="D385" s="69">
        <v>5250</v>
      </c>
      <c r="E385" s="69">
        <f>5250</f>
        <v>5250</v>
      </c>
      <c r="F385" s="69">
        <v>0</v>
      </c>
      <c r="G385" s="69">
        <f>F385/$F$11*$G$11</f>
        <v>0</v>
      </c>
      <c r="H385" s="69">
        <f>ROUND(E385*1.05,0)</f>
        <v>5513</v>
      </c>
      <c r="I385" s="69">
        <f t="shared" si="46"/>
        <v>5844</v>
      </c>
      <c r="J385" s="69">
        <f t="shared" si="46"/>
        <v>6195</v>
      </c>
      <c r="M385" s="57">
        <f>E385-D385</f>
        <v>0</v>
      </c>
    </row>
    <row r="386" spans="1:13" x14ac:dyDescent="0.2">
      <c r="A386" s="60">
        <v>2231</v>
      </c>
      <c r="B386" s="70" t="s">
        <v>478</v>
      </c>
      <c r="C386" s="69">
        <v>3567</v>
      </c>
      <c r="D386" s="69">
        <v>5250</v>
      </c>
      <c r="E386" s="69">
        <v>5250</v>
      </c>
      <c r="F386" s="69">
        <v>0</v>
      </c>
      <c r="G386" s="69">
        <f>F386/$F$11*$G$11</f>
        <v>0</v>
      </c>
      <c r="H386" s="69">
        <f>ROUND(E386*1.05,0)</f>
        <v>5513</v>
      </c>
      <c r="I386" s="69">
        <f t="shared" si="46"/>
        <v>5844</v>
      </c>
      <c r="J386" s="69">
        <f t="shared" si="46"/>
        <v>6195</v>
      </c>
      <c r="M386" s="57">
        <f>E386-D386</f>
        <v>0</v>
      </c>
    </row>
    <row r="387" spans="1:13" x14ac:dyDescent="0.2">
      <c r="A387" s="60">
        <v>2238</v>
      </c>
      <c r="B387" s="71" t="s">
        <v>479</v>
      </c>
      <c r="C387" s="56">
        <v>28226</v>
      </c>
      <c r="D387" s="56">
        <v>50000</v>
      </c>
      <c r="E387" s="56">
        <f>50000+100000</f>
        <v>150000</v>
      </c>
      <c r="F387" s="56">
        <v>139006</v>
      </c>
      <c r="G387" s="56">
        <f>F387/$F$11*$G$11</f>
        <v>166807.20000000001</v>
      </c>
      <c r="H387" s="56">
        <f>ROUND(E387*1.05,0)</f>
        <v>157500</v>
      </c>
      <c r="I387" s="56">
        <f t="shared" si="46"/>
        <v>166950</v>
      </c>
      <c r="J387" s="56">
        <f t="shared" si="46"/>
        <v>176967</v>
      </c>
      <c r="M387" s="57">
        <f>E387-D387</f>
        <v>100000</v>
      </c>
    </row>
    <row r="388" spans="1:13" x14ac:dyDescent="0.2">
      <c r="A388" s="41"/>
      <c r="B388" s="58" t="s">
        <v>436</v>
      </c>
      <c r="C388" s="72">
        <f t="shared" ref="C388:J388" si="47">SUM(C383:C387)</f>
        <v>49061</v>
      </c>
      <c r="D388" s="72">
        <f t="shared" si="47"/>
        <v>76250</v>
      </c>
      <c r="E388" s="72">
        <f t="shared" si="47"/>
        <v>176250</v>
      </c>
      <c r="F388" s="72">
        <f t="shared" si="47"/>
        <v>139006</v>
      </c>
      <c r="G388" s="72">
        <f t="shared" si="47"/>
        <v>166807.20000000001</v>
      </c>
      <c r="H388" s="72">
        <f t="shared" si="47"/>
        <v>179551</v>
      </c>
      <c r="I388" s="72">
        <f t="shared" si="47"/>
        <v>190325</v>
      </c>
      <c r="J388" s="72">
        <f t="shared" si="47"/>
        <v>201745</v>
      </c>
      <c r="M388" s="57"/>
    </row>
    <row r="389" spans="1:13" x14ac:dyDescent="0.2">
      <c r="A389" s="60"/>
      <c r="B389" s="61"/>
      <c r="C389" s="89"/>
      <c r="D389" s="89"/>
      <c r="E389" s="89"/>
      <c r="F389" s="89"/>
      <c r="G389" s="89"/>
      <c r="H389" s="89"/>
      <c r="I389" s="89"/>
      <c r="J389" s="89"/>
      <c r="M389" s="57"/>
    </row>
    <row r="390" spans="1:13" x14ac:dyDescent="0.2">
      <c r="A390" s="64"/>
      <c r="B390" s="58" t="s">
        <v>4055</v>
      </c>
      <c r="C390" s="73">
        <f t="shared" ref="C390:J390" si="48">C380+C388</f>
        <v>168458</v>
      </c>
      <c r="D390" s="73">
        <f t="shared" si="48"/>
        <v>675009</v>
      </c>
      <c r="E390" s="73">
        <f t="shared" si="48"/>
        <v>775009</v>
      </c>
      <c r="F390" s="73">
        <f t="shared" si="48"/>
        <v>658090</v>
      </c>
      <c r="G390" s="73">
        <f t="shared" si="48"/>
        <v>789708</v>
      </c>
      <c r="H390" s="73">
        <f t="shared" si="48"/>
        <v>953116</v>
      </c>
      <c r="I390" s="73">
        <f t="shared" si="48"/>
        <v>1001435</v>
      </c>
      <c r="J390" s="73">
        <f t="shared" si="48"/>
        <v>1077746</v>
      </c>
      <c r="M390" s="57"/>
    </row>
    <row r="391" spans="1:13" x14ac:dyDescent="0.2">
      <c r="A391" s="60"/>
      <c r="B391" s="58"/>
      <c r="C391" s="96"/>
      <c r="D391" s="96"/>
      <c r="E391" s="96"/>
      <c r="G391" s="69"/>
      <c r="H391" s="69"/>
      <c r="I391" s="96"/>
      <c r="J391" s="96"/>
      <c r="M391" s="57"/>
    </row>
    <row r="392" spans="1:13" x14ac:dyDescent="0.2">
      <c r="A392" s="60"/>
      <c r="B392" s="58" t="s">
        <v>418</v>
      </c>
      <c r="C392" s="96"/>
      <c r="D392" s="96"/>
      <c r="E392" s="96"/>
      <c r="G392" s="69"/>
      <c r="H392" s="69"/>
      <c r="I392" s="96"/>
      <c r="J392" s="96"/>
      <c r="M392" s="57"/>
    </row>
    <row r="393" spans="1:13" x14ac:dyDescent="0.2">
      <c r="A393" s="60">
        <v>4207</v>
      </c>
      <c r="B393" s="70" t="s">
        <v>222</v>
      </c>
      <c r="C393" s="69">
        <v>14484</v>
      </c>
      <c r="D393" s="69">
        <v>0</v>
      </c>
      <c r="E393" s="69">
        <v>0</v>
      </c>
      <c r="F393" s="69">
        <v>0</v>
      </c>
      <c r="G393" s="69">
        <f>F393/$F$11*$G$11</f>
        <v>0</v>
      </c>
      <c r="H393" s="69">
        <f>ROUND(C393*1.08,0)</f>
        <v>15643</v>
      </c>
      <c r="I393" s="69">
        <f>ROUND(H393*1.08,0)</f>
        <v>16894</v>
      </c>
      <c r="J393" s="69">
        <f>ROUND(I393*1.08,0)</f>
        <v>18246</v>
      </c>
      <c r="M393" s="57"/>
    </row>
    <row r="394" spans="1:13" x14ac:dyDescent="0.2">
      <c r="A394" s="60">
        <v>4209</v>
      </c>
      <c r="B394" s="71" t="s">
        <v>1066</v>
      </c>
      <c r="C394" s="56">
        <v>650</v>
      </c>
      <c r="D394" s="56">
        <v>0</v>
      </c>
      <c r="E394" s="56">
        <v>0</v>
      </c>
      <c r="F394" s="56">
        <v>0</v>
      </c>
      <c r="G394" s="56">
        <f>F394/$F$11*$G$11</f>
        <v>0</v>
      </c>
      <c r="H394" s="56">
        <f>ROUND(C394*1.08,0)</f>
        <v>702</v>
      </c>
      <c r="I394" s="56">
        <f>ROUND(H394*1.08,0)</f>
        <v>758</v>
      </c>
      <c r="J394" s="56">
        <f>ROUND(I394*1.08,0)</f>
        <v>819</v>
      </c>
      <c r="M394" s="57"/>
    </row>
    <row r="395" spans="1:13" x14ac:dyDescent="0.2">
      <c r="A395" s="60"/>
      <c r="B395" s="58" t="s">
        <v>419</v>
      </c>
      <c r="C395" s="72">
        <f t="shared" ref="C395:J395" si="49">SUM(C393:C394)</f>
        <v>15134</v>
      </c>
      <c r="D395" s="72">
        <f t="shared" si="49"/>
        <v>0</v>
      </c>
      <c r="E395" s="72">
        <f t="shared" si="49"/>
        <v>0</v>
      </c>
      <c r="F395" s="72">
        <f t="shared" si="49"/>
        <v>0</v>
      </c>
      <c r="G395" s="72">
        <f t="shared" si="49"/>
        <v>0</v>
      </c>
      <c r="H395" s="72">
        <f t="shared" si="49"/>
        <v>16345</v>
      </c>
      <c r="I395" s="72">
        <f t="shared" si="49"/>
        <v>17652</v>
      </c>
      <c r="J395" s="72">
        <f t="shared" si="49"/>
        <v>19065</v>
      </c>
      <c r="M395" s="57"/>
    </row>
    <row r="396" spans="1:13" x14ac:dyDescent="0.2">
      <c r="A396" s="60"/>
      <c r="B396" s="58"/>
      <c r="C396" s="96"/>
      <c r="D396" s="96"/>
      <c r="E396" s="96"/>
      <c r="G396" s="69"/>
      <c r="H396" s="69"/>
      <c r="I396" s="96"/>
      <c r="J396" s="96"/>
      <c r="M396" s="57"/>
    </row>
    <row r="397" spans="1:13" ht="13.5" thickBot="1" x14ac:dyDescent="0.25">
      <c r="A397" s="64"/>
      <c r="B397" s="65" t="s">
        <v>4033</v>
      </c>
      <c r="C397" s="76">
        <f t="shared" ref="C397:J397" si="50">C390+C395</f>
        <v>183592</v>
      </c>
      <c r="D397" s="76">
        <f t="shared" si="50"/>
        <v>675009</v>
      </c>
      <c r="E397" s="76">
        <f t="shared" si="50"/>
        <v>775009</v>
      </c>
      <c r="F397" s="76">
        <f t="shared" si="50"/>
        <v>658090</v>
      </c>
      <c r="G397" s="76">
        <f t="shared" si="50"/>
        <v>789708</v>
      </c>
      <c r="H397" s="76">
        <f t="shared" si="50"/>
        <v>969461</v>
      </c>
      <c r="I397" s="76">
        <f t="shared" si="50"/>
        <v>1019087</v>
      </c>
      <c r="J397" s="76">
        <f t="shared" si="50"/>
        <v>1096811</v>
      </c>
      <c r="M397" s="57"/>
    </row>
    <row r="398" spans="1:13" ht="13.5" thickTop="1" x14ac:dyDescent="0.2">
      <c r="A398" s="64"/>
      <c r="B398" s="58"/>
      <c r="C398" s="72"/>
      <c r="D398" s="72"/>
      <c r="E398" s="72"/>
      <c r="F398" s="72"/>
      <c r="G398" s="72"/>
      <c r="H398" s="72"/>
      <c r="I398" s="72"/>
      <c r="J398" s="72"/>
      <c r="M398" s="57"/>
    </row>
    <row r="399" spans="1:13" ht="13.5" thickBot="1" x14ac:dyDescent="0.25">
      <c r="A399" s="67"/>
      <c r="B399" s="65" t="s">
        <v>4059</v>
      </c>
      <c r="C399" s="77">
        <f t="shared" ref="C399:J399" si="51">C349-C397</f>
        <v>-118555</v>
      </c>
      <c r="D399" s="77">
        <f t="shared" si="51"/>
        <v>-199009</v>
      </c>
      <c r="E399" s="77">
        <f t="shared" si="51"/>
        <v>-299009</v>
      </c>
      <c r="F399" s="77">
        <f t="shared" si="51"/>
        <v>-182090</v>
      </c>
      <c r="G399" s="77">
        <f t="shared" si="51"/>
        <v>-313708</v>
      </c>
      <c r="H399" s="77">
        <f t="shared" si="51"/>
        <v>-493461</v>
      </c>
      <c r="I399" s="77">
        <f t="shared" si="51"/>
        <v>-1019087</v>
      </c>
      <c r="J399" s="77">
        <f t="shared" si="51"/>
        <v>-1096811</v>
      </c>
      <c r="M399" s="57"/>
    </row>
    <row r="400" spans="1:13" ht="13.5" thickTop="1" x14ac:dyDescent="0.2">
      <c r="A400" s="67"/>
      <c r="B400" s="58"/>
      <c r="C400" s="78"/>
      <c r="D400" s="78"/>
      <c r="E400" s="78"/>
      <c r="G400" s="69"/>
      <c r="H400" s="69"/>
      <c r="I400" s="78"/>
      <c r="J400" s="78"/>
      <c r="M400" s="57"/>
    </row>
    <row r="401" spans="1:13" ht="15" x14ac:dyDescent="0.25">
      <c r="A401" s="91"/>
      <c r="B401" s="95"/>
      <c r="G401" s="69"/>
      <c r="H401" s="69"/>
      <c r="M401" s="57"/>
    </row>
    <row r="402" spans="1:13" ht="15" x14ac:dyDescent="0.25">
      <c r="A402" s="91"/>
      <c r="B402" s="95"/>
      <c r="G402" s="69"/>
      <c r="H402" s="69"/>
      <c r="M402" s="57"/>
    </row>
    <row r="403" spans="1:13" ht="15" x14ac:dyDescent="0.25">
      <c r="A403" s="91"/>
      <c r="B403" s="95"/>
      <c r="G403" s="69"/>
      <c r="H403" s="69"/>
      <c r="M403" s="57"/>
    </row>
    <row r="404" spans="1:13" ht="15" x14ac:dyDescent="0.25">
      <c r="A404" s="91"/>
      <c r="B404" s="95"/>
      <c r="G404" s="69"/>
      <c r="H404" s="69"/>
      <c r="M404" s="57"/>
    </row>
    <row r="405" spans="1:13" ht="15" x14ac:dyDescent="0.25">
      <c r="A405" s="91"/>
      <c r="B405" s="95"/>
      <c r="G405" s="69"/>
      <c r="H405" s="69"/>
      <c r="M405" s="57"/>
    </row>
    <row r="406" spans="1:13" ht="15" x14ac:dyDescent="0.25">
      <c r="A406" s="91"/>
      <c r="B406" s="95"/>
      <c r="G406" s="69"/>
      <c r="H406" s="69"/>
      <c r="M406" s="57"/>
    </row>
    <row r="407" spans="1:13" ht="15" x14ac:dyDescent="0.25">
      <c r="A407" s="91"/>
      <c r="B407" s="95"/>
      <c r="G407" s="69"/>
      <c r="H407" s="69"/>
      <c r="M407" s="57"/>
    </row>
    <row r="408" spans="1:13" ht="15" x14ac:dyDescent="0.25">
      <c r="A408" s="91"/>
      <c r="B408" s="95"/>
      <c r="G408" s="69"/>
      <c r="H408" s="69"/>
      <c r="M408" s="57"/>
    </row>
    <row r="409" spans="1:13" ht="15" x14ac:dyDescent="0.25">
      <c r="A409" s="91"/>
      <c r="B409" s="95"/>
      <c r="G409" s="69"/>
      <c r="H409" s="69"/>
      <c r="M409" s="57"/>
    </row>
    <row r="410" spans="1:13" ht="15" x14ac:dyDescent="0.25">
      <c r="A410" s="91"/>
      <c r="B410" s="95"/>
      <c r="G410" s="69"/>
      <c r="H410" s="69"/>
      <c r="M410" s="57"/>
    </row>
    <row r="411" spans="1:13" ht="15" x14ac:dyDescent="0.25">
      <c r="A411" s="91"/>
      <c r="B411" s="95"/>
      <c r="G411" s="69"/>
      <c r="H411" s="69"/>
      <c r="M411" s="57"/>
    </row>
    <row r="412" spans="1:13" ht="15" x14ac:dyDescent="0.25">
      <c r="A412" s="91"/>
      <c r="B412" s="95"/>
      <c r="G412" s="69"/>
      <c r="H412" s="69"/>
      <c r="M412" s="57"/>
    </row>
    <row r="413" spans="1:13" ht="15" x14ac:dyDescent="0.25">
      <c r="A413" s="91"/>
      <c r="B413" s="95"/>
      <c r="G413" s="69"/>
      <c r="H413" s="69"/>
      <c r="M413" s="57"/>
    </row>
    <row r="414" spans="1:13" ht="15" x14ac:dyDescent="0.25">
      <c r="A414" s="91"/>
      <c r="B414" s="95"/>
      <c r="G414" s="69"/>
      <c r="H414" s="69"/>
      <c r="M414" s="57"/>
    </row>
    <row r="415" spans="1:13" ht="15" x14ac:dyDescent="0.25">
      <c r="A415" s="91"/>
      <c r="B415" s="95"/>
      <c r="G415" s="69"/>
      <c r="H415" s="69"/>
      <c r="M415" s="57"/>
    </row>
    <row r="416" spans="1:13" ht="15" x14ac:dyDescent="0.25">
      <c r="A416" s="91"/>
      <c r="B416" s="95"/>
      <c r="G416" s="69"/>
      <c r="H416" s="69"/>
      <c r="M416" s="57"/>
    </row>
    <row r="417" spans="1:13" ht="15" x14ac:dyDescent="0.25">
      <c r="A417" s="91"/>
      <c r="B417" s="95"/>
      <c r="G417" s="69"/>
      <c r="H417" s="69"/>
      <c r="M417" s="57"/>
    </row>
    <row r="418" spans="1:13" ht="15" x14ac:dyDescent="0.25">
      <c r="A418" s="91"/>
      <c r="B418" s="95"/>
      <c r="G418" s="69"/>
      <c r="H418" s="69"/>
      <c r="M418" s="57"/>
    </row>
    <row r="419" spans="1:13" ht="15" x14ac:dyDescent="0.25">
      <c r="A419" s="91"/>
      <c r="B419" s="95"/>
      <c r="G419" s="69"/>
      <c r="H419" s="69"/>
      <c r="M419" s="57"/>
    </row>
    <row r="420" spans="1:13" ht="15" x14ac:dyDescent="0.25">
      <c r="A420" s="91"/>
      <c r="B420" s="95"/>
      <c r="G420" s="69"/>
      <c r="H420" s="69"/>
      <c r="M420" s="57"/>
    </row>
    <row r="421" spans="1:13" ht="15" x14ac:dyDescent="0.25">
      <c r="A421" s="91">
        <v>1020</v>
      </c>
      <c r="B421" s="92" t="s">
        <v>4065</v>
      </c>
      <c r="G421" s="69"/>
      <c r="H421" s="69"/>
      <c r="M421" s="57"/>
    </row>
    <row r="422" spans="1:13" x14ac:dyDescent="0.2">
      <c r="A422" s="93">
        <v>1023</v>
      </c>
      <c r="B422" s="94" t="s">
        <v>484</v>
      </c>
      <c r="G422" s="69"/>
      <c r="H422" s="69"/>
      <c r="M422" s="57"/>
    </row>
    <row r="423" spans="1:13" ht="15" x14ac:dyDescent="0.25">
      <c r="A423" s="91"/>
      <c r="B423" s="95"/>
      <c r="G423" s="69"/>
      <c r="H423" s="69"/>
      <c r="M423" s="57"/>
    </row>
    <row r="424" spans="1:13" ht="15" x14ac:dyDescent="0.25">
      <c r="A424" s="91"/>
      <c r="B424" s="50" t="s">
        <v>61</v>
      </c>
      <c r="C424" s="50"/>
      <c r="D424" s="50"/>
      <c r="E424" s="50"/>
      <c r="G424" s="69"/>
      <c r="H424" s="69"/>
      <c r="I424" s="85"/>
      <c r="J424" s="85"/>
      <c r="M424" s="57"/>
    </row>
    <row r="425" spans="1:13" ht="15" x14ac:dyDescent="0.25">
      <c r="A425" s="91"/>
      <c r="B425" s="50"/>
      <c r="C425" s="50"/>
      <c r="D425" s="50"/>
      <c r="E425" s="50"/>
      <c r="G425" s="69"/>
      <c r="H425" s="69"/>
      <c r="I425" s="85"/>
      <c r="J425" s="85"/>
      <c r="M425" s="57"/>
    </row>
    <row r="426" spans="1:13" ht="15" x14ac:dyDescent="0.25">
      <c r="A426" s="91"/>
      <c r="B426" s="58" t="s">
        <v>413</v>
      </c>
      <c r="C426" s="53"/>
      <c r="D426" s="53"/>
      <c r="E426" s="53"/>
      <c r="G426" s="69"/>
      <c r="H426" s="69"/>
      <c r="I426" s="54"/>
      <c r="J426" s="54"/>
      <c r="M426" s="57"/>
    </row>
    <row r="427" spans="1:13" ht="15" x14ac:dyDescent="0.25">
      <c r="A427" s="91"/>
      <c r="B427" s="55" t="s">
        <v>4061</v>
      </c>
      <c r="C427" s="56">
        <v>0</v>
      </c>
      <c r="D427" s="56">
        <v>476000</v>
      </c>
      <c r="E427" s="56">
        <v>476000</v>
      </c>
      <c r="F427" s="56">
        <v>476000</v>
      </c>
      <c r="G427" s="56">
        <v>476000</v>
      </c>
      <c r="H427" s="56">
        <v>476000</v>
      </c>
      <c r="I427" s="56">
        <v>0</v>
      </c>
      <c r="J427" s="56">
        <v>0</v>
      </c>
      <c r="M427" s="57"/>
    </row>
    <row r="428" spans="1:13" ht="15" x14ac:dyDescent="0.25">
      <c r="A428" s="91"/>
      <c r="B428" s="58" t="s">
        <v>414</v>
      </c>
      <c r="C428" s="59">
        <f t="shared" ref="C428:J428" si="52">SUM(C427)</f>
        <v>0</v>
      </c>
      <c r="D428" s="59">
        <f t="shared" si="52"/>
        <v>476000</v>
      </c>
      <c r="E428" s="59">
        <f t="shared" si="52"/>
        <v>476000</v>
      </c>
      <c r="F428" s="59">
        <f t="shared" si="52"/>
        <v>476000</v>
      </c>
      <c r="G428" s="59">
        <f t="shared" si="52"/>
        <v>476000</v>
      </c>
      <c r="H428" s="59">
        <f t="shared" si="52"/>
        <v>476000</v>
      </c>
      <c r="I428" s="59">
        <f t="shared" si="52"/>
        <v>0</v>
      </c>
      <c r="J428" s="59">
        <f t="shared" si="52"/>
        <v>0</v>
      </c>
      <c r="M428" s="57"/>
    </row>
    <row r="429" spans="1:13" ht="15" x14ac:dyDescent="0.25">
      <c r="A429" s="91"/>
      <c r="B429" s="58"/>
      <c r="C429" s="59"/>
      <c r="D429" s="59"/>
      <c r="E429" s="59"/>
      <c r="G429" s="69"/>
      <c r="H429" s="69"/>
      <c r="I429" s="59"/>
      <c r="J429" s="59"/>
      <c r="M429" s="57"/>
    </row>
    <row r="430" spans="1:13" ht="15.75" thickBot="1" x14ac:dyDescent="0.3">
      <c r="A430" s="91"/>
      <c r="B430" s="65" t="s">
        <v>4043</v>
      </c>
      <c r="C430" s="66">
        <f t="shared" ref="C430:J430" si="53">+C428</f>
        <v>0</v>
      </c>
      <c r="D430" s="66">
        <f t="shared" si="53"/>
        <v>476000</v>
      </c>
      <c r="E430" s="66">
        <f t="shared" si="53"/>
        <v>476000</v>
      </c>
      <c r="F430" s="66">
        <f t="shared" si="53"/>
        <v>476000</v>
      </c>
      <c r="G430" s="66">
        <f t="shared" si="53"/>
        <v>476000</v>
      </c>
      <c r="H430" s="66">
        <f t="shared" si="53"/>
        <v>476000</v>
      </c>
      <c r="I430" s="66">
        <f t="shared" si="53"/>
        <v>0</v>
      </c>
      <c r="J430" s="66">
        <f t="shared" si="53"/>
        <v>0</v>
      </c>
      <c r="M430" s="57"/>
    </row>
    <row r="431" spans="1:13" ht="15.75" thickTop="1" x14ac:dyDescent="0.25">
      <c r="A431" s="91"/>
      <c r="B431" s="95"/>
      <c r="G431" s="69"/>
      <c r="H431" s="69"/>
      <c r="M431" s="57"/>
    </row>
    <row r="432" spans="1:13" x14ac:dyDescent="0.2">
      <c r="A432" s="49"/>
      <c r="B432" s="50" t="s">
        <v>4018</v>
      </c>
      <c r="C432" s="50"/>
      <c r="D432" s="50"/>
      <c r="E432" s="50"/>
      <c r="G432" s="69"/>
      <c r="H432" s="69"/>
      <c r="I432" s="50"/>
      <c r="J432" s="50"/>
      <c r="M432" s="57"/>
    </row>
    <row r="433" spans="1:13" x14ac:dyDescent="0.2">
      <c r="A433" s="49"/>
      <c r="B433" s="50"/>
      <c r="C433" s="50"/>
      <c r="D433" s="50"/>
      <c r="E433" s="50"/>
      <c r="G433" s="69"/>
      <c r="H433" s="69"/>
      <c r="I433" s="50"/>
      <c r="J433" s="50"/>
      <c r="M433" s="57"/>
    </row>
    <row r="434" spans="1:13" x14ac:dyDescent="0.2">
      <c r="A434" s="60"/>
      <c r="B434" s="58" t="s">
        <v>4019</v>
      </c>
      <c r="C434" s="69"/>
      <c r="D434" s="69"/>
      <c r="E434" s="69"/>
      <c r="G434" s="69"/>
      <c r="H434" s="69"/>
      <c r="I434" s="69"/>
      <c r="J434" s="69"/>
      <c r="M434" s="57"/>
    </row>
    <row r="435" spans="1:13" x14ac:dyDescent="0.2">
      <c r="A435" s="60">
        <v>1001</v>
      </c>
      <c r="B435" s="70" t="s">
        <v>3543</v>
      </c>
      <c r="C435" s="69">
        <v>92225</v>
      </c>
      <c r="D435" s="69">
        <f>[2]Sal_RIA!$H$56</f>
        <v>326593</v>
      </c>
      <c r="E435" s="69">
        <f>+D435</f>
        <v>326593</v>
      </c>
      <c r="F435" s="69">
        <v>100863</v>
      </c>
      <c r="G435" s="69">
        <f t="shared" ref="G435:G460" si="54">F435/$F$11*$G$11</f>
        <v>121035.59999999999</v>
      </c>
      <c r="H435" s="69">
        <f>[3]Salary_Bdgt!$H$75</f>
        <v>352721</v>
      </c>
      <c r="I435" s="69">
        <f t="shared" ref="I435:J460" si="55">ROUND(H435*1.08,0)</f>
        <v>380939</v>
      </c>
      <c r="J435" s="69">
        <f t="shared" si="55"/>
        <v>411414</v>
      </c>
      <c r="M435" s="57"/>
    </row>
    <row r="436" spans="1:13" x14ac:dyDescent="0.2">
      <c r="A436" s="60">
        <v>1002</v>
      </c>
      <c r="B436" s="70" t="s">
        <v>3542</v>
      </c>
      <c r="C436" s="69">
        <v>0</v>
      </c>
      <c r="D436" s="69">
        <v>0</v>
      </c>
      <c r="E436" s="69">
        <v>0</v>
      </c>
      <c r="F436" s="69">
        <v>0</v>
      </c>
      <c r="G436" s="69">
        <f t="shared" si="54"/>
        <v>0</v>
      </c>
      <c r="H436" s="69">
        <f>[3]Salary_Bdgt!$X$75</f>
        <v>0</v>
      </c>
      <c r="I436" s="69">
        <f t="shared" si="55"/>
        <v>0</v>
      </c>
      <c r="J436" s="69">
        <f t="shared" si="55"/>
        <v>0</v>
      </c>
      <c r="M436" s="57"/>
    </row>
    <row r="437" spans="1:13" x14ac:dyDescent="0.2">
      <c r="A437" s="60">
        <v>1005</v>
      </c>
      <c r="B437" s="70" t="s">
        <v>3544</v>
      </c>
      <c r="C437" s="69">
        <v>0</v>
      </c>
      <c r="D437" s="69">
        <v>0</v>
      </c>
      <c r="E437" s="69">
        <v>0</v>
      </c>
      <c r="F437" s="69">
        <v>0</v>
      </c>
      <c r="G437" s="69">
        <f t="shared" si="54"/>
        <v>0</v>
      </c>
      <c r="H437" s="69">
        <f>[3]Salary_Bdgt!$L$75</f>
        <v>0</v>
      </c>
      <c r="I437" s="69">
        <f t="shared" si="55"/>
        <v>0</v>
      </c>
      <c r="J437" s="69">
        <f t="shared" si="55"/>
        <v>0</v>
      </c>
      <c r="M437" s="57"/>
    </row>
    <row r="438" spans="1:13" x14ac:dyDescent="0.2">
      <c r="A438" s="60">
        <v>1006</v>
      </c>
      <c r="B438" s="70" t="s">
        <v>3545</v>
      </c>
      <c r="C438" s="69">
        <v>0</v>
      </c>
      <c r="D438" s="69">
        <v>0</v>
      </c>
      <c r="E438" s="69">
        <v>0</v>
      </c>
      <c r="F438" s="69">
        <v>0</v>
      </c>
      <c r="G438" s="69">
        <f t="shared" si="54"/>
        <v>0</v>
      </c>
      <c r="H438" s="69">
        <f>[3]Salary_Bdgt!$N$75</f>
        <v>0</v>
      </c>
      <c r="I438" s="69">
        <f t="shared" si="55"/>
        <v>0</v>
      </c>
      <c r="J438" s="69">
        <f t="shared" si="55"/>
        <v>0</v>
      </c>
      <c r="M438" s="57"/>
    </row>
    <row r="439" spans="1:13" x14ac:dyDescent="0.2">
      <c r="A439" s="60">
        <v>1007</v>
      </c>
      <c r="B439" s="70" t="s">
        <v>3546</v>
      </c>
      <c r="C439" s="69">
        <v>0</v>
      </c>
      <c r="D439" s="69">
        <v>0</v>
      </c>
      <c r="E439" s="69">
        <v>0</v>
      </c>
      <c r="F439" s="69">
        <v>0</v>
      </c>
      <c r="G439" s="69">
        <f t="shared" si="54"/>
        <v>0</v>
      </c>
      <c r="H439" s="69">
        <f>[3]Salary_Bdgt!$I$75</f>
        <v>1617</v>
      </c>
      <c r="I439" s="69">
        <f t="shared" si="55"/>
        <v>1746</v>
      </c>
      <c r="J439" s="69">
        <f t="shared" si="55"/>
        <v>1886</v>
      </c>
      <c r="M439" s="57"/>
    </row>
    <row r="440" spans="1:13" x14ac:dyDescent="0.2">
      <c r="A440" s="60">
        <v>1009</v>
      </c>
      <c r="B440" s="70" t="s">
        <v>3547</v>
      </c>
      <c r="C440" s="69">
        <v>0</v>
      </c>
      <c r="D440" s="69">
        <v>0</v>
      </c>
      <c r="E440" s="69">
        <v>0</v>
      </c>
      <c r="F440" s="69">
        <v>0</v>
      </c>
      <c r="G440" s="69">
        <f t="shared" si="54"/>
        <v>0</v>
      </c>
      <c r="H440" s="69">
        <f>[3]Salary_Bdgt!$M$75</f>
        <v>0</v>
      </c>
      <c r="I440" s="69">
        <f t="shared" si="55"/>
        <v>0</v>
      </c>
      <c r="J440" s="69">
        <f t="shared" si="55"/>
        <v>0</v>
      </c>
      <c r="M440" s="57"/>
    </row>
    <row r="441" spans="1:13" x14ac:dyDescent="0.2">
      <c r="A441" s="60">
        <v>1010</v>
      </c>
      <c r="B441" s="70" t="s">
        <v>3548</v>
      </c>
      <c r="C441" s="69">
        <v>0</v>
      </c>
      <c r="D441" s="69">
        <v>29938</v>
      </c>
      <c r="E441" s="69">
        <f>+D441</f>
        <v>29938</v>
      </c>
      <c r="F441" s="69">
        <v>0</v>
      </c>
      <c r="G441" s="69">
        <f t="shared" si="54"/>
        <v>0</v>
      </c>
      <c r="H441" s="69">
        <f>[3]Salary_Bdgt!$Q$75</f>
        <v>29393</v>
      </c>
      <c r="I441" s="69">
        <f t="shared" si="55"/>
        <v>31744</v>
      </c>
      <c r="J441" s="69">
        <f t="shared" si="55"/>
        <v>34284</v>
      </c>
      <c r="M441" s="57"/>
    </row>
    <row r="442" spans="1:13" x14ac:dyDescent="0.2">
      <c r="A442" s="60">
        <v>1011</v>
      </c>
      <c r="B442" s="70" t="s">
        <v>3549</v>
      </c>
      <c r="C442" s="69">
        <v>0</v>
      </c>
      <c r="D442" s="69">
        <v>0</v>
      </c>
      <c r="E442" s="69">
        <v>0</v>
      </c>
      <c r="F442" s="69">
        <v>0</v>
      </c>
      <c r="G442" s="69">
        <f t="shared" si="54"/>
        <v>0</v>
      </c>
      <c r="H442" s="69">
        <f>[3]Salary_Bdgt!$U$75</f>
        <v>28771</v>
      </c>
      <c r="I442" s="69">
        <f t="shared" si="55"/>
        <v>31073</v>
      </c>
      <c r="J442" s="69">
        <f t="shared" si="55"/>
        <v>33559</v>
      </c>
      <c r="M442" s="57"/>
    </row>
    <row r="443" spans="1:13" x14ac:dyDescent="0.2">
      <c r="A443" s="60">
        <v>1014</v>
      </c>
      <c r="B443" s="70" t="s">
        <v>3550</v>
      </c>
      <c r="C443" s="69">
        <v>0</v>
      </c>
      <c r="D443" s="69">
        <v>32280</v>
      </c>
      <c r="E443" s="69">
        <f>+D443</f>
        <v>32280</v>
      </c>
      <c r="F443" s="69">
        <v>0</v>
      </c>
      <c r="G443" s="69">
        <f t="shared" si="54"/>
        <v>0</v>
      </c>
      <c r="H443" s="69">
        <f>[3]Salary_Bdgt!$S$75</f>
        <v>31693</v>
      </c>
      <c r="I443" s="69">
        <f t="shared" si="55"/>
        <v>34228</v>
      </c>
      <c r="J443" s="69">
        <f t="shared" si="55"/>
        <v>36966</v>
      </c>
      <c r="M443" s="57"/>
    </row>
    <row r="444" spans="1:13" x14ac:dyDescent="0.2">
      <c r="A444" s="60">
        <v>1016</v>
      </c>
      <c r="B444" s="70" t="s">
        <v>3551</v>
      </c>
      <c r="C444" s="69">
        <v>0</v>
      </c>
      <c r="D444" s="69">
        <v>29304</v>
      </c>
      <c r="E444" s="69">
        <f>+D444</f>
        <v>29304</v>
      </c>
      <c r="F444" s="69">
        <v>0</v>
      </c>
      <c r="G444" s="69">
        <f t="shared" si="54"/>
        <v>0</v>
      </c>
      <c r="H444" s="69">
        <f>[3]Salary_Bdgt!$T$75+[3]Salary_Bdgt!$V$75</f>
        <v>0</v>
      </c>
      <c r="I444" s="69">
        <f t="shared" si="55"/>
        <v>0</v>
      </c>
      <c r="J444" s="69">
        <f t="shared" si="55"/>
        <v>0</v>
      </c>
      <c r="M444" s="57"/>
    </row>
    <row r="445" spans="1:13" x14ac:dyDescent="0.2">
      <c r="A445" s="60">
        <v>1017</v>
      </c>
      <c r="B445" s="70" t="s">
        <v>3552</v>
      </c>
      <c r="C445" s="69">
        <v>0</v>
      </c>
      <c r="D445" s="69">
        <v>0</v>
      </c>
      <c r="E445" s="69">
        <v>0</v>
      </c>
      <c r="F445" s="69">
        <v>0</v>
      </c>
      <c r="G445" s="69">
        <f t="shared" si="54"/>
        <v>0</v>
      </c>
      <c r="H445" s="69">
        <f>[3]Salary_Bdgt!$J$75</f>
        <v>9112</v>
      </c>
      <c r="I445" s="69">
        <f t="shared" si="55"/>
        <v>9841</v>
      </c>
      <c r="J445" s="69">
        <f t="shared" si="55"/>
        <v>10628</v>
      </c>
      <c r="M445" s="57"/>
    </row>
    <row r="446" spans="1:13" x14ac:dyDescent="0.2">
      <c r="A446" s="60">
        <v>1046</v>
      </c>
      <c r="B446" s="70" t="s">
        <v>3520</v>
      </c>
      <c r="C446" s="69">
        <v>0</v>
      </c>
      <c r="D446" s="69">
        <v>147985</v>
      </c>
      <c r="E446" s="69">
        <f>+D446</f>
        <v>147985</v>
      </c>
      <c r="F446" s="69">
        <v>0</v>
      </c>
      <c r="G446" s="69">
        <f t="shared" si="54"/>
        <v>0</v>
      </c>
      <c r="H446" s="69">
        <f>[3]Salary_Bdgt!$R$75</f>
        <v>145295</v>
      </c>
      <c r="I446" s="69">
        <f t="shared" si="55"/>
        <v>156919</v>
      </c>
      <c r="J446" s="69">
        <f t="shared" si="55"/>
        <v>169473</v>
      </c>
      <c r="M446" s="57"/>
    </row>
    <row r="447" spans="1:13" s="14" customFormat="1" x14ac:dyDescent="0.2">
      <c r="A447" s="60">
        <v>1182</v>
      </c>
      <c r="B447" s="70" t="s">
        <v>3553</v>
      </c>
      <c r="C447" s="69">
        <v>997</v>
      </c>
      <c r="D447" s="69">
        <v>0</v>
      </c>
      <c r="E447" s="69">
        <v>0</v>
      </c>
      <c r="F447" s="69">
        <v>0</v>
      </c>
      <c r="G447" s="69">
        <f t="shared" si="54"/>
        <v>0</v>
      </c>
      <c r="H447" s="69">
        <f>[3]Salary_Bdgt!$K$75</f>
        <v>8474</v>
      </c>
      <c r="I447" s="69">
        <f t="shared" si="55"/>
        <v>9152</v>
      </c>
      <c r="J447" s="69">
        <f t="shared" si="55"/>
        <v>9884</v>
      </c>
      <c r="K447" s="537"/>
      <c r="L447" s="537"/>
      <c r="M447" s="122"/>
    </row>
    <row r="448" spans="1:13" x14ac:dyDescent="0.2">
      <c r="A448" s="60">
        <v>1001</v>
      </c>
      <c r="B448" s="70" t="s">
        <v>472</v>
      </c>
      <c r="C448" s="69">
        <v>0</v>
      </c>
      <c r="D448" s="69">
        <v>0</v>
      </c>
      <c r="E448" s="69">
        <v>0</v>
      </c>
      <c r="F448" s="69">
        <v>0</v>
      </c>
      <c r="G448" s="69">
        <f t="shared" si="54"/>
        <v>0</v>
      </c>
      <c r="H448" s="69">
        <f>[3]Salary_Bdgt!$H$81</f>
        <v>0</v>
      </c>
      <c r="I448" s="69">
        <f t="shared" si="55"/>
        <v>0</v>
      </c>
      <c r="J448" s="69">
        <f t="shared" si="55"/>
        <v>0</v>
      </c>
      <c r="M448" s="57"/>
    </row>
    <row r="449" spans="1:13" x14ac:dyDescent="0.2">
      <c r="A449" s="60">
        <v>1005</v>
      </c>
      <c r="B449" s="70" t="s">
        <v>473</v>
      </c>
      <c r="C449" s="69">
        <v>0</v>
      </c>
      <c r="D449" s="69">
        <v>0</v>
      </c>
      <c r="E449" s="69">
        <v>0</v>
      </c>
      <c r="F449" s="69">
        <v>0</v>
      </c>
      <c r="G449" s="69">
        <f t="shared" si="54"/>
        <v>0</v>
      </c>
      <c r="H449" s="69">
        <f>[3]Salary_Bdgt!$L$81</f>
        <v>0</v>
      </c>
      <c r="I449" s="69">
        <f t="shared" si="55"/>
        <v>0</v>
      </c>
      <c r="J449" s="69">
        <f t="shared" si="55"/>
        <v>0</v>
      </c>
      <c r="M449" s="57"/>
    </row>
    <row r="450" spans="1:13" x14ac:dyDescent="0.2">
      <c r="A450" s="60">
        <v>1006</v>
      </c>
      <c r="B450" s="70" t="s">
        <v>474</v>
      </c>
      <c r="C450" s="69">
        <v>0</v>
      </c>
      <c r="D450" s="69">
        <v>0</v>
      </c>
      <c r="E450" s="69">
        <v>0</v>
      </c>
      <c r="F450" s="69">
        <v>0</v>
      </c>
      <c r="G450" s="69">
        <f t="shared" si="54"/>
        <v>0</v>
      </c>
      <c r="H450" s="69">
        <f>[3]Salary_Bdgt!$N$81</f>
        <v>0</v>
      </c>
      <c r="I450" s="69">
        <f t="shared" si="55"/>
        <v>0</v>
      </c>
      <c r="J450" s="69">
        <f t="shared" si="55"/>
        <v>0</v>
      </c>
      <c r="M450" s="57"/>
    </row>
    <row r="451" spans="1:13" x14ac:dyDescent="0.2">
      <c r="A451" s="60">
        <v>1007</v>
      </c>
      <c r="B451" s="70" t="s">
        <v>481</v>
      </c>
      <c r="C451" s="69">
        <v>0</v>
      </c>
      <c r="D451" s="69">
        <v>0</v>
      </c>
      <c r="E451" s="69">
        <v>0</v>
      </c>
      <c r="F451" s="69">
        <v>0</v>
      </c>
      <c r="G451" s="69">
        <f t="shared" si="54"/>
        <v>0</v>
      </c>
      <c r="H451" s="69">
        <f>[3]Salary_Bdgt!$I$81</f>
        <v>0</v>
      </c>
      <c r="I451" s="69">
        <f t="shared" si="55"/>
        <v>0</v>
      </c>
      <c r="J451" s="69">
        <f t="shared" si="55"/>
        <v>0</v>
      </c>
      <c r="M451" s="57"/>
    </row>
    <row r="452" spans="1:13" x14ac:dyDescent="0.2">
      <c r="A452" s="60">
        <v>1009</v>
      </c>
      <c r="B452" s="70" t="s">
        <v>482</v>
      </c>
      <c r="C452" s="69">
        <v>0</v>
      </c>
      <c r="D452" s="69">
        <v>0</v>
      </c>
      <c r="E452" s="69">
        <v>0</v>
      </c>
      <c r="F452" s="69">
        <v>0</v>
      </c>
      <c r="G452" s="69">
        <f t="shared" si="54"/>
        <v>0</v>
      </c>
      <c r="H452" s="69">
        <f>[3]Salary_Bdgt!$M$81</f>
        <v>0</v>
      </c>
      <c r="I452" s="69">
        <f t="shared" si="55"/>
        <v>0</v>
      </c>
      <c r="J452" s="69">
        <f t="shared" si="55"/>
        <v>0</v>
      </c>
      <c r="M452" s="57"/>
    </row>
    <row r="453" spans="1:13" x14ac:dyDescent="0.2">
      <c r="A453" s="60">
        <v>1010</v>
      </c>
      <c r="B453" s="70" t="s">
        <v>28</v>
      </c>
      <c r="C453" s="69">
        <v>0</v>
      </c>
      <c r="D453" s="69">
        <v>0</v>
      </c>
      <c r="E453" s="69">
        <v>0</v>
      </c>
      <c r="F453" s="69">
        <v>0</v>
      </c>
      <c r="G453" s="69">
        <f t="shared" si="54"/>
        <v>0</v>
      </c>
      <c r="H453" s="69">
        <f>[3]Salary_Bdgt!$Q$81</f>
        <v>0</v>
      </c>
      <c r="I453" s="69">
        <f t="shared" si="55"/>
        <v>0</v>
      </c>
      <c r="J453" s="69">
        <f t="shared" si="55"/>
        <v>0</v>
      </c>
      <c r="M453" s="57"/>
    </row>
    <row r="454" spans="1:13" x14ac:dyDescent="0.2">
      <c r="A454" s="60">
        <v>1011</v>
      </c>
      <c r="B454" s="70" t="s">
        <v>4045</v>
      </c>
      <c r="C454" s="69">
        <v>0</v>
      </c>
      <c r="D454" s="69">
        <v>0</v>
      </c>
      <c r="E454" s="69">
        <v>0</v>
      </c>
      <c r="F454" s="69">
        <v>0</v>
      </c>
      <c r="G454" s="69">
        <f t="shared" si="54"/>
        <v>0</v>
      </c>
      <c r="H454" s="69">
        <f>[3]Salary_Bdgt!$U$81</f>
        <v>0</v>
      </c>
      <c r="I454" s="69">
        <f t="shared" si="55"/>
        <v>0</v>
      </c>
      <c r="J454" s="69">
        <f t="shared" si="55"/>
        <v>0</v>
      </c>
      <c r="M454" s="57"/>
    </row>
    <row r="455" spans="1:13" x14ac:dyDescent="0.2">
      <c r="A455" s="60">
        <v>1014</v>
      </c>
      <c r="B455" s="70" t="s">
        <v>36</v>
      </c>
      <c r="C455" s="69">
        <v>0</v>
      </c>
      <c r="D455" s="69">
        <v>0</v>
      </c>
      <c r="E455" s="69">
        <v>0</v>
      </c>
      <c r="F455" s="69">
        <v>0</v>
      </c>
      <c r="G455" s="69">
        <f t="shared" si="54"/>
        <v>0</v>
      </c>
      <c r="H455" s="69">
        <f>[3]Salary_Bdgt!$S$81</f>
        <v>0</v>
      </c>
      <c r="I455" s="69">
        <f t="shared" si="55"/>
        <v>0</v>
      </c>
      <c r="J455" s="69">
        <f t="shared" si="55"/>
        <v>0</v>
      </c>
      <c r="M455" s="57"/>
    </row>
    <row r="456" spans="1:13" x14ac:dyDescent="0.2">
      <c r="A456" s="60">
        <v>1015</v>
      </c>
      <c r="B456" s="70" t="s">
        <v>445</v>
      </c>
      <c r="C456" s="69">
        <v>0</v>
      </c>
      <c r="D456" s="69">
        <v>0</v>
      </c>
      <c r="E456" s="69">
        <v>0</v>
      </c>
      <c r="F456" s="69">
        <v>0</v>
      </c>
      <c r="G456" s="69">
        <f t="shared" si="54"/>
        <v>0</v>
      </c>
      <c r="H456" s="69">
        <f>[3]Salary_Bdgt!$O$81+[3]Salary_Bdgt!$P$81+[3]Salary_Bdgt!$W$81</f>
        <v>0</v>
      </c>
      <c r="I456" s="69">
        <f t="shared" si="55"/>
        <v>0</v>
      </c>
      <c r="J456" s="69">
        <f t="shared" si="55"/>
        <v>0</v>
      </c>
      <c r="M456" s="57"/>
    </row>
    <row r="457" spans="1:13" x14ac:dyDescent="0.2">
      <c r="A457" s="60">
        <v>1016</v>
      </c>
      <c r="B457" s="70" t="s">
        <v>475</v>
      </c>
      <c r="C457" s="69">
        <v>0</v>
      </c>
      <c r="D457" s="69">
        <v>0</v>
      </c>
      <c r="E457" s="69">
        <v>0</v>
      </c>
      <c r="F457" s="69">
        <v>0</v>
      </c>
      <c r="G457" s="69">
        <f t="shared" si="54"/>
        <v>0</v>
      </c>
      <c r="H457" s="69">
        <f>[3]Salary_Bdgt!$T$81+[3]Salary_Bdgt!$V$81</f>
        <v>0</v>
      </c>
      <c r="I457" s="69">
        <f t="shared" si="55"/>
        <v>0</v>
      </c>
      <c r="J457" s="69">
        <f t="shared" si="55"/>
        <v>0</v>
      </c>
      <c r="M457" s="57"/>
    </row>
    <row r="458" spans="1:13" x14ac:dyDescent="0.2">
      <c r="A458" s="60">
        <v>1017</v>
      </c>
      <c r="B458" s="70" t="s">
        <v>4044</v>
      </c>
      <c r="C458" s="69">
        <v>0</v>
      </c>
      <c r="D458" s="69">
        <v>0</v>
      </c>
      <c r="E458" s="69">
        <v>0</v>
      </c>
      <c r="F458" s="69">
        <v>0</v>
      </c>
      <c r="G458" s="69">
        <f t="shared" si="54"/>
        <v>0</v>
      </c>
      <c r="H458" s="69">
        <f>[3]Salary_Bdgt!$J$81</f>
        <v>0</v>
      </c>
      <c r="I458" s="69">
        <f t="shared" si="55"/>
        <v>0</v>
      </c>
      <c r="J458" s="69">
        <f t="shared" si="55"/>
        <v>0</v>
      </c>
      <c r="M458" s="57"/>
    </row>
    <row r="459" spans="1:13" x14ac:dyDescent="0.2">
      <c r="A459" s="60">
        <v>1046</v>
      </c>
      <c r="B459" s="70" t="s">
        <v>491</v>
      </c>
      <c r="C459" s="69">
        <v>0</v>
      </c>
      <c r="D459" s="69">
        <v>0</v>
      </c>
      <c r="E459" s="69">
        <v>0</v>
      </c>
      <c r="F459" s="69">
        <v>0</v>
      </c>
      <c r="G459" s="69">
        <f t="shared" si="54"/>
        <v>0</v>
      </c>
      <c r="H459" s="69">
        <f>[3]Salary_Bdgt!$R$81</f>
        <v>0</v>
      </c>
      <c r="I459" s="69">
        <f t="shared" si="55"/>
        <v>0</v>
      </c>
      <c r="J459" s="69">
        <f t="shared" si="55"/>
        <v>0</v>
      </c>
      <c r="M459" s="57"/>
    </row>
    <row r="460" spans="1:13" x14ac:dyDescent="0.2">
      <c r="A460" s="60">
        <v>1182</v>
      </c>
      <c r="B460" s="71" t="s">
        <v>1065</v>
      </c>
      <c r="C460" s="56">
        <v>0</v>
      </c>
      <c r="D460" s="56">
        <v>0</v>
      </c>
      <c r="E460" s="56">
        <v>0</v>
      </c>
      <c r="F460" s="56">
        <v>0</v>
      </c>
      <c r="G460" s="56">
        <f t="shared" si="54"/>
        <v>0</v>
      </c>
      <c r="H460" s="56">
        <f>[3]Salary_Bdgt!$K$81</f>
        <v>0</v>
      </c>
      <c r="I460" s="56">
        <f t="shared" si="55"/>
        <v>0</v>
      </c>
      <c r="J460" s="56">
        <f t="shared" si="55"/>
        <v>0</v>
      </c>
      <c r="M460" s="57"/>
    </row>
    <row r="461" spans="1:13" x14ac:dyDescent="0.2">
      <c r="A461" s="60"/>
      <c r="B461" s="58" t="s">
        <v>416</v>
      </c>
      <c r="C461" s="72">
        <f t="shared" ref="C461:J461" si="56">SUM(C435:C460)</f>
        <v>93222</v>
      </c>
      <c r="D461" s="72">
        <f t="shared" si="56"/>
        <v>566100</v>
      </c>
      <c r="E461" s="72">
        <f t="shared" si="56"/>
        <v>566100</v>
      </c>
      <c r="F461" s="72">
        <f t="shared" si="56"/>
        <v>100863</v>
      </c>
      <c r="G461" s="72">
        <f t="shared" si="56"/>
        <v>121035.59999999999</v>
      </c>
      <c r="H461" s="72">
        <f t="shared" si="56"/>
        <v>607076</v>
      </c>
      <c r="I461" s="72">
        <f t="shared" si="56"/>
        <v>655642</v>
      </c>
      <c r="J461" s="72">
        <f t="shared" si="56"/>
        <v>708094</v>
      </c>
      <c r="M461" s="57"/>
    </row>
    <row r="462" spans="1:13" x14ac:dyDescent="0.2">
      <c r="A462" s="60"/>
      <c r="B462" s="58"/>
      <c r="C462" s="72"/>
      <c r="D462" s="72"/>
      <c r="E462" s="72"/>
      <c r="F462" s="24"/>
      <c r="G462" s="69"/>
      <c r="H462" s="69"/>
      <c r="I462" s="72"/>
      <c r="J462" s="72"/>
      <c r="M462" s="57"/>
    </row>
    <row r="463" spans="1:13" x14ac:dyDescent="0.2">
      <c r="A463" s="60"/>
      <c r="B463" s="58" t="s">
        <v>435</v>
      </c>
      <c r="C463" s="69"/>
      <c r="D463" s="69"/>
      <c r="E463" s="69"/>
      <c r="F463" s="24"/>
      <c r="G463" s="69"/>
      <c r="H463" s="69"/>
      <c r="I463" s="69"/>
      <c r="J463" s="69"/>
      <c r="M463" s="57"/>
    </row>
    <row r="464" spans="1:13" x14ac:dyDescent="0.2">
      <c r="A464" s="60">
        <v>2113</v>
      </c>
      <c r="B464" s="70" t="s">
        <v>4062</v>
      </c>
      <c r="C464" s="69">
        <v>0</v>
      </c>
      <c r="D464" s="69">
        <v>10500</v>
      </c>
      <c r="E464" s="69">
        <f>10500</f>
        <v>10500</v>
      </c>
      <c r="F464" s="69">
        <v>0</v>
      </c>
      <c r="G464" s="69">
        <f>F464/$F$11*$G$11</f>
        <v>0</v>
      </c>
      <c r="H464" s="69">
        <f>ROUND(E464*1.05,0)</f>
        <v>11025</v>
      </c>
      <c r="I464" s="69">
        <f t="shared" ref="I464:J468" si="57">ROUND(H464*1.06,0)</f>
        <v>11687</v>
      </c>
      <c r="J464" s="69">
        <f t="shared" si="57"/>
        <v>12388</v>
      </c>
      <c r="M464" s="57"/>
    </row>
    <row r="465" spans="1:13" x14ac:dyDescent="0.2">
      <c r="A465" s="60">
        <v>2207</v>
      </c>
      <c r="B465" s="70" t="s">
        <v>4063</v>
      </c>
      <c r="C465" s="69">
        <v>0</v>
      </c>
      <c r="D465" s="69">
        <v>5250</v>
      </c>
      <c r="E465" s="69">
        <f>5250</f>
        <v>5250</v>
      </c>
      <c r="F465" s="69">
        <v>0</v>
      </c>
      <c r="G465" s="69">
        <f>F465/$F$11*$G$11</f>
        <v>0</v>
      </c>
      <c r="H465" s="69">
        <v>0</v>
      </c>
      <c r="I465" s="69">
        <f t="shared" si="57"/>
        <v>0</v>
      </c>
      <c r="J465" s="69">
        <f t="shared" si="57"/>
        <v>0</v>
      </c>
      <c r="M465" s="57"/>
    </row>
    <row r="466" spans="1:13" x14ac:dyDescent="0.2">
      <c r="A466" s="60">
        <v>2226</v>
      </c>
      <c r="B466" s="70" t="s">
        <v>4051</v>
      </c>
      <c r="C466" s="69">
        <v>0</v>
      </c>
      <c r="D466" s="69">
        <v>5250</v>
      </c>
      <c r="E466" s="69">
        <f>5250</f>
        <v>5250</v>
      </c>
      <c r="F466" s="69">
        <v>0</v>
      </c>
      <c r="G466" s="69">
        <f>F466/$F$11*$G$11</f>
        <v>0</v>
      </c>
      <c r="H466" s="69">
        <f>ROUND(E466*1.05,0)</f>
        <v>5513</v>
      </c>
      <c r="I466" s="69">
        <f t="shared" si="57"/>
        <v>5844</v>
      </c>
      <c r="J466" s="69">
        <f t="shared" si="57"/>
        <v>6195</v>
      </c>
      <c r="M466" s="57"/>
    </row>
    <row r="467" spans="1:13" x14ac:dyDescent="0.2">
      <c r="A467" s="60">
        <v>2231</v>
      </c>
      <c r="B467" s="70" t="s">
        <v>478</v>
      </c>
      <c r="C467" s="69">
        <v>3576</v>
      </c>
      <c r="D467" s="69">
        <v>5250</v>
      </c>
      <c r="E467" s="69">
        <v>5250</v>
      </c>
      <c r="F467" s="69">
        <v>0</v>
      </c>
      <c r="G467" s="69">
        <f>F467/$F$11*$G$11</f>
        <v>0</v>
      </c>
      <c r="H467" s="69">
        <f>ROUND(E467*1.05,0)</f>
        <v>5513</v>
      </c>
      <c r="I467" s="69">
        <f t="shared" si="57"/>
        <v>5844</v>
      </c>
      <c r="J467" s="69">
        <f t="shared" si="57"/>
        <v>6195</v>
      </c>
      <c r="M467" s="57"/>
    </row>
    <row r="468" spans="1:13" x14ac:dyDescent="0.2">
      <c r="A468" s="60">
        <v>2238</v>
      </c>
      <c r="B468" s="71" t="s">
        <v>479</v>
      </c>
      <c r="C468" s="56">
        <v>37056</v>
      </c>
      <c r="D468" s="56">
        <v>50000</v>
      </c>
      <c r="E468" s="56">
        <f>50000+50000</f>
        <v>100000</v>
      </c>
      <c r="F468" s="56">
        <v>73654</v>
      </c>
      <c r="G468" s="56">
        <f>F468/$F$11*$G$11</f>
        <v>88384.799999999988</v>
      </c>
      <c r="H468" s="56">
        <f>ROUND(E468*1.05,0)</f>
        <v>105000</v>
      </c>
      <c r="I468" s="56">
        <f t="shared" si="57"/>
        <v>111300</v>
      </c>
      <c r="J468" s="56">
        <f t="shared" si="57"/>
        <v>117978</v>
      </c>
      <c r="M468" s="57"/>
    </row>
    <row r="469" spans="1:13" x14ac:dyDescent="0.2">
      <c r="A469" s="41"/>
      <c r="B469" s="58" t="s">
        <v>436</v>
      </c>
      <c r="C469" s="72">
        <f t="shared" ref="C469:J469" si="58">SUM(C464:C468)</f>
        <v>40632</v>
      </c>
      <c r="D469" s="72">
        <f t="shared" si="58"/>
        <v>76250</v>
      </c>
      <c r="E469" s="72">
        <f t="shared" si="58"/>
        <v>126250</v>
      </c>
      <c r="F469" s="72">
        <f t="shared" si="58"/>
        <v>73654</v>
      </c>
      <c r="G469" s="72">
        <f t="shared" si="58"/>
        <v>88384.799999999988</v>
      </c>
      <c r="H469" s="72">
        <f t="shared" si="58"/>
        <v>127051</v>
      </c>
      <c r="I469" s="72">
        <f t="shared" si="58"/>
        <v>134675</v>
      </c>
      <c r="J469" s="72">
        <f t="shared" si="58"/>
        <v>142756</v>
      </c>
      <c r="M469" s="57"/>
    </row>
    <row r="470" spans="1:13" x14ac:dyDescent="0.2">
      <c r="A470" s="60"/>
      <c r="B470" s="61"/>
      <c r="C470" s="89"/>
      <c r="D470" s="89"/>
      <c r="E470" s="89"/>
      <c r="F470" s="89"/>
      <c r="G470" s="89"/>
      <c r="H470" s="89"/>
      <c r="I470" s="89"/>
      <c r="J470" s="89"/>
      <c r="M470" s="57"/>
    </row>
    <row r="471" spans="1:13" x14ac:dyDescent="0.2">
      <c r="A471" s="64"/>
      <c r="B471" s="58" t="s">
        <v>4055</v>
      </c>
      <c r="C471" s="73">
        <f t="shared" ref="C471:J471" si="59">C461+C469</f>
        <v>133854</v>
      </c>
      <c r="D471" s="73">
        <f t="shared" si="59"/>
        <v>642350</v>
      </c>
      <c r="E471" s="73">
        <f t="shared" si="59"/>
        <v>692350</v>
      </c>
      <c r="F471" s="73">
        <f t="shared" si="59"/>
        <v>174517</v>
      </c>
      <c r="G471" s="73">
        <f t="shared" si="59"/>
        <v>209420.39999999997</v>
      </c>
      <c r="H471" s="73">
        <f t="shared" si="59"/>
        <v>734127</v>
      </c>
      <c r="I471" s="73">
        <f t="shared" si="59"/>
        <v>790317</v>
      </c>
      <c r="J471" s="73">
        <f t="shared" si="59"/>
        <v>850850</v>
      </c>
      <c r="M471" s="57"/>
    </row>
    <row r="472" spans="1:13" x14ac:dyDescent="0.2">
      <c r="A472" s="60"/>
      <c r="B472" s="58"/>
      <c r="C472" s="96"/>
      <c r="D472" s="96"/>
      <c r="E472" s="96"/>
      <c r="F472" s="96"/>
      <c r="G472" s="96"/>
      <c r="H472" s="96"/>
      <c r="I472" s="96"/>
      <c r="J472" s="96"/>
      <c r="M472" s="57"/>
    </row>
    <row r="473" spans="1:13" ht="13.5" thickBot="1" x14ac:dyDescent="0.25">
      <c r="A473" s="64"/>
      <c r="B473" s="65" t="s">
        <v>4025</v>
      </c>
      <c r="C473" s="76">
        <f t="shared" ref="C473:J473" si="60">C471</f>
        <v>133854</v>
      </c>
      <c r="D473" s="76">
        <f t="shared" si="60"/>
        <v>642350</v>
      </c>
      <c r="E473" s="76">
        <f t="shared" si="60"/>
        <v>692350</v>
      </c>
      <c r="F473" s="76">
        <f t="shared" si="60"/>
        <v>174517</v>
      </c>
      <c r="G473" s="76">
        <f t="shared" si="60"/>
        <v>209420.39999999997</v>
      </c>
      <c r="H473" s="76">
        <f t="shared" si="60"/>
        <v>734127</v>
      </c>
      <c r="I473" s="76">
        <f t="shared" si="60"/>
        <v>790317</v>
      </c>
      <c r="J473" s="76">
        <f t="shared" si="60"/>
        <v>850850</v>
      </c>
      <c r="M473" s="57"/>
    </row>
    <row r="474" spans="1:13" ht="13.5" thickTop="1" x14ac:dyDescent="0.2">
      <c r="A474" s="64"/>
      <c r="B474" s="58"/>
      <c r="C474" s="72"/>
      <c r="D474" s="72"/>
      <c r="E474" s="72"/>
      <c r="F474" s="72"/>
      <c r="G474" s="72"/>
      <c r="H474" s="72"/>
      <c r="I474" s="72"/>
      <c r="J474" s="72"/>
      <c r="M474" s="57"/>
    </row>
    <row r="475" spans="1:13" ht="13.5" thickBot="1" x14ac:dyDescent="0.25">
      <c r="A475" s="67"/>
      <c r="B475" s="65" t="s">
        <v>4059</v>
      </c>
      <c r="C475" s="77">
        <f t="shared" ref="C475:J475" si="61">C430-C473</f>
        <v>-133854</v>
      </c>
      <c r="D475" s="77">
        <f t="shared" si="61"/>
        <v>-166350</v>
      </c>
      <c r="E475" s="77">
        <f t="shared" si="61"/>
        <v>-216350</v>
      </c>
      <c r="F475" s="77">
        <f t="shared" si="61"/>
        <v>301483</v>
      </c>
      <c r="G475" s="77">
        <f t="shared" si="61"/>
        <v>266579.60000000003</v>
      </c>
      <c r="H475" s="77">
        <f t="shared" si="61"/>
        <v>-258127</v>
      </c>
      <c r="I475" s="77">
        <f t="shared" si="61"/>
        <v>-790317</v>
      </c>
      <c r="J475" s="77">
        <f t="shared" si="61"/>
        <v>-850850</v>
      </c>
      <c r="M475" s="57"/>
    </row>
    <row r="476" spans="1:13" ht="13.5" thickTop="1" x14ac:dyDescent="0.2">
      <c r="A476" s="67"/>
      <c r="B476" s="58"/>
      <c r="C476" s="78"/>
      <c r="D476" s="78"/>
      <c r="E476" s="78"/>
      <c r="F476" s="24"/>
      <c r="G476" s="69"/>
      <c r="H476" s="69"/>
      <c r="I476" s="78"/>
      <c r="J476" s="78"/>
      <c r="M476" s="57"/>
    </row>
    <row r="477" spans="1:13" x14ac:dyDescent="0.2">
      <c r="A477" s="67"/>
      <c r="B477" s="58"/>
      <c r="C477" s="78"/>
      <c r="D477" s="78"/>
      <c r="E477" s="78"/>
      <c r="F477" s="24"/>
      <c r="G477" s="69"/>
      <c r="H477" s="69"/>
      <c r="I477" s="78"/>
      <c r="J477" s="78"/>
      <c r="M477" s="57"/>
    </row>
    <row r="478" spans="1:13" x14ac:dyDescent="0.2">
      <c r="A478" s="67"/>
      <c r="B478" s="58"/>
      <c r="C478" s="78"/>
      <c r="D478" s="78"/>
      <c r="E478" s="78"/>
      <c r="F478" s="24"/>
      <c r="G478" s="69"/>
      <c r="H478" s="69"/>
      <c r="I478" s="78"/>
      <c r="J478" s="78"/>
      <c r="M478" s="57"/>
    </row>
    <row r="479" spans="1:13" x14ac:dyDescent="0.2">
      <c r="A479" s="67"/>
      <c r="B479" s="58"/>
      <c r="C479" s="78"/>
      <c r="D479" s="78"/>
      <c r="E479" s="78"/>
      <c r="F479" s="24"/>
      <c r="G479" s="69"/>
      <c r="H479" s="69"/>
      <c r="I479" s="78"/>
      <c r="J479" s="78"/>
      <c r="M479" s="57"/>
    </row>
    <row r="480" spans="1:13" x14ac:dyDescent="0.2">
      <c r="A480" s="67"/>
      <c r="B480" s="58"/>
      <c r="C480" s="78"/>
      <c r="D480" s="78"/>
      <c r="E480" s="78"/>
      <c r="F480" s="24"/>
      <c r="G480" s="69"/>
      <c r="H480" s="69"/>
      <c r="I480" s="78"/>
      <c r="J480" s="78"/>
      <c r="M480" s="57"/>
    </row>
    <row r="481" spans="1:13" x14ac:dyDescent="0.2">
      <c r="A481" s="67"/>
      <c r="B481" s="58"/>
      <c r="C481" s="78"/>
      <c r="D481" s="78"/>
      <c r="E481" s="78"/>
      <c r="F481" s="24"/>
      <c r="G481" s="69"/>
      <c r="H481" s="69"/>
      <c r="I481" s="78"/>
      <c r="J481" s="78"/>
      <c r="M481" s="57"/>
    </row>
    <row r="482" spans="1:13" x14ac:dyDescent="0.2">
      <c r="A482" s="67"/>
      <c r="B482" s="58"/>
      <c r="C482" s="78"/>
      <c r="D482" s="78"/>
      <c r="E482" s="78"/>
      <c r="F482" s="24"/>
      <c r="G482" s="69"/>
      <c r="H482" s="69"/>
      <c r="I482" s="78"/>
      <c r="J482" s="78"/>
      <c r="M482" s="57"/>
    </row>
    <row r="483" spans="1:13" x14ac:dyDescent="0.2">
      <c r="A483" s="67"/>
      <c r="B483" s="58"/>
      <c r="C483" s="78"/>
      <c r="D483" s="78"/>
      <c r="E483" s="78"/>
      <c r="F483" s="24"/>
      <c r="G483" s="69"/>
      <c r="H483" s="69"/>
      <c r="I483" s="78"/>
      <c r="J483" s="78"/>
      <c r="M483" s="57"/>
    </row>
    <row r="484" spans="1:13" x14ac:dyDescent="0.2">
      <c r="A484" s="67"/>
      <c r="B484" s="58"/>
      <c r="C484" s="78"/>
      <c r="D484" s="78"/>
      <c r="E484" s="78"/>
      <c r="F484" s="24"/>
      <c r="G484" s="69"/>
      <c r="H484" s="69"/>
      <c r="I484" s="78"/>
      <c r="J484" s="78"/>
      <c r="M484" s="57"/>
    </row>
    <row r="485" spans="1:13" x14ac:dyDescent="0.2">
      <c r="A485" s="67"/>
      <c r="B485" s="58"/>
      <c r="C485" s="78"/>
      <c r="D485" s="78"/>
      <c r="E485" s="78"/>
      <c r="F485" s="24"/>
      <c r="G485" s="69"/>
      <c r="H485" s="69"/>
      <c r="I485" s="78"/>
      <c r="J485" s="78"/>
      <c r="M485" s="57"/>
    </row>
    <row r="486" spans="1:13" x14ac:dyDescent="0.2">
      <c r="A486" s="67"/>
      <c r="B486" s="58"/>
      <c r="C486" s="78"/>
      <c r="D486" s="78"/>
      <c r="E486" s="78"/>
      <c r="F486" s="24"/>
      <c r="G486" s="69"/>
      <c r="H486" s="69"/>
      <c r="I486" s="78"/>
      <c r="J486" s="78"/>
      <c r="M486" s="57"/>
    </row>
    <row r="487" spans="1:13" x14ac:dyDescent="0.2">
      <c r="A487" s="67"/>
      <c r="B487" s="58"/>
      <c r="C487" s="78"/>
      <c r="D487" s="78"/>
      <c r="E487" s="78"/>
      <c r="F487" s="24"/>
      <c r="G487" s="69"/>
      <c r="H487" s="69"/>
      <c r="I487" s="78"/>
      <c r="J487" s="78"/>
      <c r="M487" s="57"/>
    </row>
    <row r="488" spans="1:13" x14ac:dyDescent="0.2">
      <c r="A488" s="67"/>
      <c r="B488" s="58"/>
      <c r="C488" s="78"/>
      <c r="D488" s="78"/>
      <c r="E488" s="78"/>
      <c r="F488" s="24"/>
      <c r="G488" s="69"/>
      <c r="H488" s="69"/>
      <c r="I488" s="78"/>
      <c r="J488" s="78"/>
      <c r="M488" s="57"/>
    </row>
    <row r="489" spans="1:13" x14ac:dyDescent="0.2">
      <c r="A489" s="67"/>
      <c r="B489" s="58"/>
      <c r="C489" s="78"/>
      <c r="D489" s="78"/>
      <c r="E489" s="78"/>
      <c r="F489" s="24"/>
      <c r="G489" s="69"/>
      <c r="H489" s="69"/>
      <c r="I489" s="78"/>
      <c r="J489" s="78"/>
      <c r="M489" s="57"/>
    </row>
    <row r="490" spans="1:13" x14ac:dyDescent="0.2">
      <c r="A490" s="67"/>
      <c r="B490" s="58"/>
      <c r="C490" s="78"/>
      <c r="D490" s="78"/>
      <c r="E490" s="78"/>
      <c r="F490" s="24"/>
      <c r="G490" s="69"/>
      <c r="H490" s="69"/>
      <c r="I490" s="78"/>
      <c r="J490" s="78"/>
      <c r="M490" s="57"/>
    </row>
    <row r="491" spans="1:13" x14ac:dyDescent="0.2">
      <c r="A491" s="67"/>
      <c r="B491" s="58"/>
      <c r="C491" s="78"/>
      <c r="D491" s="78"/>
      <c r="E491" s="78"/>
      <c r="F491" s="24"/>
      <c r="G491" s="69"/>
      <c r="H491" s="69"/>
      <c r="I491" s="78"/>
      <c r="J491" s="78"/>
      <c r="M491" s="57"/>
    </row>
    <row r="492" spans="1:13" x14ac:dyDescent="0.2">
      <c r="A492" s="67"/>
      <c r="B492" s="58"/>
      <c r="C492" s="78"/>
      <c r="D492" s="78"/>
      <c r="E492" s="78"/>
      <c r="F492" s="24"/>
      <c r="G492" s="69"/>
      <c r="H492" s="69"/>
      <c r="I492" s="78"/>
      <c r="J492" s="78"/>
      <c r="M492" s="57"/>
    </row>
    <row r="493" spans="1:13" x14ac:dyDescent="0.2">
      <c r="A493" s="67"/>
      <c r="B493" s="58"/>
      <c r="C493" s="78"/>
      <c r="D493" s="78"/>
      <c r="E493" s="78"/>
      <c r="F493" s="24"/>
      <c r="G493" s="69"/>
      <c r="H493" s="69"/>
      <c r="I493" s="78"/>
      <c r="J493" s="78"/>
      <c r="M493" s="57"/>
    </row>
    <row r="494" spans="1:13" x14ac:dyDescent="0.2">
      <c r="A494" s="67"/>
      <c r="B494" s="58"/>
      <c r="C494" s="78"/>
      <c r="D494" s="78"/>
      <c r="E494" s="78"/>
      <c r="F494" s="24"/>
      <c r="G494" s="69"/>
      <c r="H494" s="69"/>
      <c r="I494" s="78"/>
      <c r="J494" s="78"/>
      <c r="M494" s="57"/>
    </row>
    <row r="495" spans="1:13" x14ac:dyDescent="0.2">
      <c r="A495" s="67"/>
      <c r="B495" s="58"/>
      <c r="C495" s="78"/>
      <c r="D495" s="78"/>
      <c r="E495" s="78"/>
      <c r="F495" s="24"/>
      <c r="G495" s="69"/>
      <c r="H495" s="69"/>
      <c r="I495" s="78"/>
      <c r="J495" s="78"/>
      <c r="M495" s="57"/>
    </row>
    <row r="496" spans="1:13" x14ac:dyDescent="0.2">
      <c r="A496" s="67"/>
      <c r="B496" s="58"/>
      <c r="C496" s="78"/>
      <c r="D496" s="78"/>
      <c r="E496" s="78"/>
      <c r="F496" s="24"/>
      <c r="G496" s="69"/>
      <c r="H496" s="69"/>
      <c r="I496" s="78"/>
      <c r="J496" s="78"/>
      <c r="M496" s="57"/>
    </row>
    <row r="497" spans="1:13" x14ac:dyDescent="0.2">
      <c r="A497" s="67"/>
      <c r="B497" s="58"/>
      <c r="C497" s="78"/>
      <c r="D497" s="78"/>
      <c r="E497" s="78"/>
      <c r="F497" s="24"/>
      <c r="G497" s="69"/>
      <c r="H497" s="69"/>
      <c r="I497" s="78"/>
      <c r="J497" s="78"/>
      <c r="M497" s="57"/>
    </row>
    <row r="498" spans="1:13" x14ac:dyDescent="0.2">
      <c r="A498" s="67"/>
      <c r="B498" s="58"/>
      <c r="C498" s="78"/>
      <c r="D498" s="78"/>
      <c r="E498" s="78"/>
      <c r="F498" s="24"/>
      <c r="G498" s="69"/>
      <c r="H498" s="69"/>
      <c r="I498" s="78"/>
      <c r="J498" s="78"/>
      <c r="M498" s="57"/>
    </row>
    <row r="499" spans="1:13" x14ac:dyDescent="0.2">
      <c r="A499" s="67"/>
      <c r="B499" s="58"/>
      <c r="C499" s="78"/>
      <c r="D499" s="78"/>
      <c r="E499" s="78"/>
      <c r="F499" s="24"/>
      <c r="G499" s="69"/>
      <c r="H499" s="69"/>
      <c r="I499" s="78"/>
      <c r="J499" s="78"/>
      <c r="M499" s="57"/>
    </row>
    <row r="500" spans="1:13" x14ac:dyDescent="0.2">
      <c r="A500" s="67"/>
      <c r="B500" s="58"/>
      <c r="C500" s="78"/>
      <c r="D500" s="78"/>
      <c r="E500" s="78"/>
      <c r="F500" s="24"/>
      <c r="G500" s="69"/>
      <c r="H500" s="69"/>
      <c r="I500" s="78"/>
      <c r="J500" s="78"/>
      <c r="M500" s="57"/>
    </row>
    <row r="501" spans="1:13" x14ac:dyDescent="0.2">
      <c r="A501" s="67"/>
      <c r="B501" s="58"/>
      <c r="C501" s="78"/>
      <c r="D501" s="78"/>
      <c r="E501" s="78"/>
      <c r="F501" s="24"/>
      <c r="G501" s="69"/>
      <c r="H501" s="69"/>
      <c r="I501" s="78"/>
      <c r="J501" s="78"/>
      <c r="M501" s="57"/>
    </row>
    <row r="502" spans="1:13" x14ac:dyDescent="0.2">
      <c r="A502" s="67"/>
      <c r="B502" s="58"/>
      <c r="C502" s="78"/>
      <c r="D502" s="78"/>
      <c r="E502" s="78"/>
      <c r="F502" s="24"/>
      <c r="G502" s="69"/>
      <c r="H502" s="69"/>
      <c r="I502" s="78"/>
      <c r="J502" s="78"/>
      <c r="M502" s="57"/>
    </row>
    <row r="503" spans="1:13" x14ac:dyDescent="0.2">
      <c r="A503" s="67"/>
      <c r="B503" s="58"/>
      <c r="C503" s="78"/>
      <c r="D503" s="78"/>
      <c r="E503" s="78"/>
      <c r="F503" s="24"/>
      <c r="G503" s="69"/>
      <c r="H503" s="69"/>
      <c r="I503" s="78"/>
      <c r="J503" s="78"/>
      <c r="M503" s="57"/>
    </row>
    <row r="504" spans="1:13" x14ac:dyDescent="0.2">
      <c r="A504" s="67"/>
      <c r="B504" s="58"/>
      <c r="C504" s="78"/>
      <c r="D504" s="78"/>
      <c r="E504" s="78"/>
      <c r="F504" s="24"/>
      <c r="G504" s="69"/>
      <c r="H504" s="69"/>
      <c r="I504" s="78"/>
      <c r="J504" s="78"/>
      <c r="M504" s="57"/>
    </row>
    <row r="505" spans="1:13" x14ac:dyDescent="0.2">
      <c r="A505" s="67"/>
      <c r="B505" s="58"/>
      <c r="C505" s="78"/>
      <c r="D505" s="78"/>
      <c r="E505" s="78"/>
      <c r="F505" s="24"/>
      <c r="G505" s="69"/>
      <c r="H505" s="69"/>
      <c r="I505" s="78"/>
      <c r="J505" s="78"/>
      <c r="M505" s="57"/>
    </row>
    <row r="506" spans="1:13" ht="15" x14ac:dyDescent="0.25">
      <c r="A506" s="91">
        <v>1020</v>
      </c>
      <c r="B506" s="92" t="s">
        <v>4065</v>
      </c>
      <c r="G506" s="69"/>
      <c r="H506" s="69"/>
      <c r="M506" s="57"/>
    </row>
    <row r="507" spans="1:13" x14ac:dyDescent="0.2">
      <c r="A507" s="93">
        <v>1024</v>
      </c>
      <c r="B507" s="94" t="s">
        <v>485</v>
      </c>
      <c r="C507" s="78"/>
      <c r="D507" s="78"/>
      <c r="E507" s="78"/>
      <c r="G507" s="69"/>
      <c r="H507" s="69"/>
      <c r="I507" s="78"/>
      <c r="J507" s="78"/>
      <c r="M507" s="57"/>
    </row>
    <row r="508" spans="1:13" ht="15" x14ac:dyDescent="0.25">
      <c r="A508" s="91"/>
      <c r="B508" s="95"/>
      <c r="C508" s="78"/>
      <c r="D508" s="78"/>
      <c r="E508" s="78"/>
      <c r="G508" s="69"/>
      <c r="H508" s="69"/>
      <c r="I508" s="78"/>
      <c r="J508" s="78"/>
      <c r="M508" s="57"/>
    </row>
    <row r="509" spans="1:13" ht="15" x14ac:dyDescent="0.25">
      <c r="A509" s="91"/>
      <c r="B509" s="50" t="s">
        <v>61</v>
      </c>
      <c r="C509" s="50"/>
      <c r="D509" s="50"/>
      <c r="E509" s="50"/>
      <c r="G509" s="69"/>
      <c r="H509" s="69"/>
      <c r="I509" s="85"/>
      <c r="J509" s="85"/>
      <c r="M509" s="57"/>
    </row>
    <row r="510" spans="1:13" ht="15" x14ac:dyDescent="0.25">
      <c r="A510" s="91"/>
      <c r="B510" s="50"/>
      <c r="C510" s="50"/>
      <c r="D510" s="50"/>
      <c r="E510" s="50"/>
      <c r="G510" s="69"/>
      <c r="H510" s="69"/>
      <c r="I510" s="85"/>
      <c r="J510" s="85"/>
      <c r="M510" s="57"/>
    </row>
    <row r="511" spans="1:13" ht="15" x14ac:dyDescent="0.25">
      <c r="A511" s="91"/>
      <c r="B511" s="58" t="s">
        <v>413</v>
      </c>
      <c r="C511" s="53"/>
      <c r="D511" s="53"/>
      <c r="E511" s="53"/>
      <c r="F511" s="24"/>
      <c r="G511" s="69"/>
      <c r="H511" s="69"/>
      <c r="I511" s="54"/>
      <c r="J511" s="54"/>
      <c r="M511" s="57"/>
    </row>
    <row r="512" spans="1:13" ht="15" x14ac:dyDescent="0.25">
      <c r="A512" s="91"/>
      <c r="B512" s="70" t="s">
        <v>4076</v>
      </c>
      <c r="C512" s="69">
        <v>0</v>
      </c>
      <c r="D512" s="69">
        <v>0</v>
      </c>
      <c r="E512" s="69">
        <v>216350</v>
      </c>
      <c r="F512" s="69">
        <v>166500</v>
      </c>
      <c r="G512" s="69">
        <v>166500</v>
      </c>
      <c r="H512" s="69">
        <v>269094</v>
      </c>
      <c r="I512" s="69">
        <v>0</v>
      </c>
      <c r="J512" s="69">
        <v>0</v>
      </c>
      <c r="M512" s="57"/>
    </row>
    <row r="513" spans="1:13" ht="15" x14ac:dyDescent="0.25">
      <c r="A513" s="91"/>
      <c r="B513" s="55" t="s">
        <v>4061</v>
      </c>
      <c r="C513" s="56">
        <v>0</v>
      </c>
      <c r="D513" s="56">
        <v>476000</v>
      </c>
      <c r="E513" s="56">
        <v>476000</v>
      </c>
      <c r="F513" s="56">
        <v>476000</v>
      </c>
      <c r="G513" s="56">
        <v>476000</v>
      </c>
      <c r="H513" s="56">
        <v>476000</v>
      </c>
      <c r="I513" s="56">
        <v>0</v>
      </c>
      <c r="J513" s="56">
        <v>0</v>
      </c>
      <c r="M513" s="57"/>
    </row>
    <row r="514" spans="1:13" ht="15" x14ac:dyDescent="0.25">
      <c r="A514" s="91"/>
      <c r="B514" s="58" t="s">
        <v>414</v>
      </c>
      <c r="C514" s="59">
        <f t="shared" ref="C514:J514" si="62">SUM(C512:C513)</f>
        <v>0</v>
      </c>
      <c r="D514" s="59">
        <f t="shared" si="62"/>
        <v>476000</v>
      </c>
      <c r="E514" s="59">
        <f t="shared" si="62"/>
        <v>692350</v>
      </c>
      <c r="F514" s="59">
        <f t="shared" si="62"/>
        <v>642500</v>
      </c>
      <c r="G514" s="59">
        <f t="shared" si="62"/>
        <v>642500</v>
      </c>
      <c r="H514" s="59">
        <f t="shared" si="62"/>
        <v>745094</v>
      </c>
      <c r="I514" s="59">
        <f t="shared" si="62"/>
        <v>0</v>
      </c>
      <c r="J514" s="59">
        <f t="shared" si="62"/>
        <v>0</v>
      </c>
      <c r="M514" s="57"/>
    </row>
    <row r="515" spans="1:13" ht="15" x14ac:dyDescent="0.25">
      <c r="A515" s="91"/>
      <c r="B515" s="58"/>
      <c r="C515" s="59"/>
      <c r="D515" s="59"/>
      <c r="E515" s="59"/>
      <c r="G515" s="69"/>
      <c r="H515" s="69"/>
      <c r="I515" s="59"/>
      <c r="J515" s="59"/>
      <c r="M515" s="57"/>
    </row>
    <row r="516" spans="1:13" ht="15.75" thickBot="1" x14ac:dyDescent="0.3">
      <c r="A516" s="91"/>
      <c r="B516" s="65" t="s">
        <v>4043</v>
      </c>
      <c r="C516" s="66">
        <f t="shared" ref="C516:J516" si="63">+C514</f>
        <v>0</v>
      </c>
      <c r="D516" s="66">
        <f t="shared" si="63"/>
        <v>476000</v>
      </c>
      <c r="E516" s="66">
        <f t="shared" si="63"/>
        <v>692350</v>
      </c>
      <c r="F516" s="66">
        <f t="shared" si="63"/>
        <v>642500</v>
      </c>
      <c r="G516" s="66">
        <f t="shared" si="63"/>
        <v>642500</v>
      </c>
      <c r="H516" s="66">
        <f t="shared" si="63"/>
        <v>745094</v>
      </c>
      <c r="I516" s="66">
        <f t="shared" si="63"/>
        <v>0</v>
      </c>
      <c r="J516" s="66">
        <f t="shared" si="63"/>
        <v>0</v>
      </c>
      <c r="M516" s="57"/>
    </row>
    <row r="517" spans="1:13" ht="15.75" thickTop="1" x14ac:dyDescent="0.25">
      <c r="A517" s="91"/>
      <c r="B517" s="95"/>
      <c r="C517" s="78"/>
      <c r="D517" s="78"/>
      <c r="E517" s="78"/>
      <c r="G517" s="69"/>
      <c r="H517" s="69"/>
      <c r="I517" s="78"/>
      <c r="J517" s="78"/>
      <c r="M517" s="57"/>
    </row>
    <row r="518" spans="1:13" x14ac:dyDescent="0.2">
      <c r="A518" s="49"/>
      <c r="B518" s="50" t="s">
        <v>4018</v>
      </c>
      <c r="C518" s="50"/>
      <c r="D518" s="50"/>
      <c r="E518" s="50"/>
      <c r="G518" s="69"/>
      <c r="H518" s="69"/>
      <c r="I518" s="50"/>
      <c r="J518" s="50"/>
      <c r="M518" s="57"/>
    </row>
    <row r="519" spans="1:13" x14ac:dyDescent="0.2">
      <c r="A519" s="49"/>
      <c r="B519" s="50"/>
      <c r="C519" s="50"/>
      <c r="D519" s="50"/>
      <c r="E519" s="50"/>
      <c r="F519" s="24"/>
      <c r="G519" s="69"/>
      <c r="H519" s="69"/>
      <c r="I519" s="50"/>
      <c r="J519" s="50"/>
      <c r="M519" s="57"/>
    </row>
    <row r="520" spans="1:13" x14ac:dyDescent="0.2">
      <c r="A520" s="60"/>
      <c r="B520" s="58" t="s">
        <v>4019</v>
      </c>
      <c r="C520" s="69"/>
      <c r="D520" s="69"/>
      <c r="E520" s="69"/>
      <c r="G520" s="69"/>
      <c r="H520" s="69"/>
      <c r="I520" s="69"/>
      <c r="J520" s="69"/>
      <c r="M520" s="57"/>
    </row>
    <row r="521" spans="1:13" x14ac:dyDescent="0.2">
      <c r="A521" s="60">
        <v>1001</v>
      </c>
      <c r="B521" s="70" t="s">
        <v>3543</v>
      </c>
      <c r="C521" s="69">
        <v>102532</v>
      </c>
      <c r="D521" s="69">
        <f>[2]Sal_RIA!$H$62</f>
        <v>326593</v>
      </c>
      <c r="E521" s="69">
        <f>+D521</f>
        <v>326593</v>
      </c>
      <c r="F521" s="69">
        <v>113772</v>
      </c>
      <c r="G521" s="69">
        <f t="shared" ref="G521:G546" si="64">F521/$F$11*$G$11</f>
        <v>136526.40000000002</v>
      </c>
      <c r="H521" s="69">
        <f>[3]Salary_Bdgt!$H$87</f>
        <v>352721</v>
      </c>
      <c r="I521" s="69">
        <f t="shared" ref="I521:J546" si="65">ROUND(H521*1.08,0)</f>
        <v>380939</v>
      </c>
      <c r="J521" s="69">
        <f t="shared" si="65"/>
        <v>411414</v>
      </c>
      <c r="M521" s="57"/>
    </row>
    <row r="522" spans="1:13" x14ac:dyDescent="0.2">
      <c r="A522" s="60">
        <v>1002</v>
      </c>
      <c r="B522" s="70" t="s">
        <v>3542</v>
      </c>
      <c r="C522" s="69">
        <v>0</v>
      </c>
      <c r="D522" s="69">
        <v>0</v>
      </c>
      <c r="E522" s="69">
        <v>0</v>
      </c>
      <c r="F522" s="69">
        <v>0</v>
      </c>
      <c r="G522" s="69">
        <f t="shared" si="64"/>
        <v>0</v>
      </c>
      <c r="H522" s="69">
        <f>[3]Salary_Bdgt!$X$87</f>
        <v>0</v>
      </c>
      <c r="I522" s="69">
        <f t="shared" si="65"/>
        <v>0</v>
      </c>
      <c r="J522" s="69">
        <f t="shared" si="65"/>
        <v>0</v>
      </c>
      <c r="M522" s="57"/>
    </row>
    <row r="523" spans="1:13" x14ac:dyDescent="0.2">
      <c r="A523" s="60">
        <v>1005</v>
      </c>
      <c r="B523" s="70" t="s">
        <v>3544</v>
      </c>
      <c r="C523" s="69">
        <v>0</v>
      </c>
      <c r="D523" s="69">
        <v>0</v>
      </c>
      <c r="E523" s="69">
        <v>0</v>
      </c>
      <c r="F523" s="69">
        <v>0</v>
      </c>
      <c r="G523" s="69">
        <f t="shared" si="64"/>
        <v>0</v>
      </c>
      <c r="H523" s="69">
        <f>[3]Salary_Bdgt!$L$87</f>
        <v>0</v>
      </c>
      <c r="I523" s="69">
        <f t="shared" si="65"/>
        <v>0</v>
      </c>
      <c r="J523" s="69">
        <f t="shared" si="65"/>
        <v>0</v>
      </c>
      <c r="M523" s="57"/>
    </row>
    <row r="524" spans="1:13" x14ac:dyDescent="0.2">
      <c r="A524" s="60">
        <v>1006</v>
      </c>
      <c r="B524" s="70" t="s">
        <v>3545</v>
      </c>
      <c r="C524" s="69">
        <v>0</v>
      </c>
      <c r="D524" s="69">
        <v>0</v>
      </c>
      <c r="E524" s="69">
        <v>0</v>
      </c>
      <c r="F524" s="69">
        <v>0</v>
      </c>
      <c r="G524" s="69">
        <f t="shared" si="64"/>
        <v>0</v>
      </c>
      <c r="H524" s="69">
        <f>[3]Salary_Bdgt!$N$87</f>
        <v>0</v>
      </c>
      <c r="I524" s="69">
        <f t="shared" si="65"/>
        <v>0</v>
      </c>
      <c r="J524" s="69">
        <f t="shared" si="65"/>
        <v>0</v>
      </c>
      <c r="M524" s="57"/>
    </row>
    <row r="525" spans="1:13" x14ac:dyDescent="0.2">
      <c r="A525" s="60">
        <v>1007</v>
      </c>
      <c r="B525" s="70" t="s">
        <v>3546</v>
      </c>
      <c r="C525" s="69">
        <v>0</v>
      </c>
      <c r="D525" s="69">
        <v>0</v>
      </c>
      <c r="E525" s="69">
        <v>0</v>
      </c>
      <c r="F525" s="69">
        <v>0</v>
      </c>
      <c r="G525" s="69">
        <f t="shared" si="64"/>
        <v>0</v>
      </c>
      <c r="H525" s="69">
        <f>[3]Salary_Bdgt!$I$87</f>
        <v>1617</v>
      </c>
      <c r="I525" s="69">
        <f t="shared" si="65"/>
        <v>1746</v>
      </c>
      <c r="J525" s="69">
        <f t="shared" si="65"/>
        <v>1886</v>
      </c>
      <c r="M525" s="57"/>
    </row>
    <row r="526" spans="1:13" x14ac:dyDescent="0.2">
      <c r="A526" s="60">
        <v>1009</v>
      </c>
      <c r="B526" s="70" t="s">
        <v>3547</v>
      </c>
      <c r="C526" s="69">
        <v>0</v>
      </c>
      <c r="D526" s="69">
        <v>0</v>
      </c>
      <c r="E526" s="69">
        <v>0</v>
      </c>
      <c r="F526" s="69">
        <v>0</v>
      </c>
      <c r="G526" s="69">
        <f t="shared" si="64"/>
        <v>0</v>
      </c>
      <c r="H526" s="69">
        <f>[3]Salary_Bdgt!$M$87</f>
        <v>0</v>
      </c>
      <c r="I526" s="69">
        <f t="shared" si="65"/>
        <v>0</v>
      </c>
      <c r="J526" s="69">
        <f t="shared" si="65"/>
        <v>0</v>
      </c>
      <c r="M526" s="57"/>
    </row>
    <row r="527" spans="1:13" x14ac:dyDescent="0.2">
      <c r="A527" s="60">
        <v>1010</v>
      </c>
      <c r="B527" s="70" t="s">
        <v>3548</v>
      </c>
      <c r="C527" s="69">
        <v>0</v>
      </c>
      <c r="D527" s="69">
        <v>29938</v>
      </c>
      <c r="E527" s="69">
        <f>+D527</f>
        <v>29938</v>
      </c>
      <c r="F527" s="69">
        <v>0</v>
      </c>
      <c r="G527" s="69">
        <f t="shared" si="64"/>
        <v>0</v>
      </c>
      <c r="H527" s="69">
        <f>[3]Salary_Bdgt!$Q$87</f>
        <v>29393</v>
      </c>
      <c r="I527" s="69">
        <f t="shared" si="65"/>
        <v>31744</v>
      </c>
      <c r="J527" s="69">
        <f t="shared" si="65"/>
        <v>34284</v>
      </c>
      <c r="M527" s="57"/>
    </row>
    <row r="528" spans="1:13" x14ac:dyDescent="0.2">
      <c r="A528" s="60">
        <v>1011</v>
      </c>
      <c r="B528" s="70" t="s">
        <v>3549</v>
      </c>
      <c r="C528" s="69">
        <v>0</v>
      </c>
      <c r="D528" s="69">
        <v>0</v>
      </c>
      <c r="E528" s="69">
        <v>0</v>
      </c>
      <c r="F528" s="69">
        <v>0</v>
      </c>
      <c r="G528" s="69">
        <f t="shared" si="64"/>
        <v>0</v>
      </c>
      <c r="H528" s="69">
        <f>[3]Salary_Bdgt!$U$87</f>
        <v>28771</v>
      </c>
      <c r="I528" s="69">
        <f t="shared" si="65"/>
        <v>31073</v>
      </c>
      <c r="J528" s="69">
        <f t="shared" si="65"/>
        <v>33559</v>
      </c>
      <c r="M528" s="57"/>
    </row>
    <row r="529" spans="1:13" x14ac:dyDescent="0.2">
      <c r="A529" s="60">
        <v>1014</v>
      </c>
      <c r="B529" s="70" t="s">
        <v>3550</v>
      </c>
      <c r="C529" s="69">
        <v>0</v>
      </c>
      <c r="D529" s="69">
        <v>32280</v>
      </c>
      <c r="E529" s="69">
        <f>+D529</f>
        <v>32280</v>
      </c>
      <c r="F529" s="69">
        <v>0</v>
      </c>
      <c r="G529" s="69">
        <f t="shared" si="64"/>
        <v>0</v>
      </c>
      <c r="H529" s="69">
        <f>[3]Salary_Bdgt!$S$87</f>
        <v>31693</v>
      </c>
      <c r="I529" s="69">
        <f t="shared" si="65"/>
        <v>34228</v>
      </c>
      <c r="J529" s="69">
        <f t="shared" si="65"/>
        <v>36966</v>
      </c>
      <c r="M529" s="57"/>
    </row>
    <row r="530" spans="1:13" x14ac:dyDescent="0.2">
      <c r="A530" s="60">
        <v>1016</v>
      </c>
      <c r="B530" s="70" t="s">
        <v>3551</v>
      </c>
      <c r="C530" s="69">
        <v>0</v>
      </c>
      <c r="D530" s="69">
        <v>29304</v>
      </c>
      <c r="E530" s="69">
        <f>+D530</f>
        <v>29304</v>
      </c>
      <c r="F530" s="69">
        <v>0</v>
      </c>
      <c r="G530" s="69">
        <f t="shared" si="64"/>
        <v>0</v>
      </c>
      <c r="H530" s="69">
        <f>[3]Salary_Bdgt!$T$87+[3]Salary_Bdgt!$V$87</f>
        <v>0</v>
      </c>
      <c r="I530" s="69">
        <f t="shared" si="65"/>
        <v>0</v>
      </c>
      <c r="J530" s="69">
        <f t="shared" si="65"/>
        <v>0</v>
      </c>
      <c r="M530" s="57"/>
    </row>
    <row r="531" spans="1:13" x14ac:dyDescent="0.2">
      <c r="A531" s="60">
        <v>1017</v>
      </c>
      <c r="B531" s="70" t="s">
        <v>3552</v>
      </c>
      <c r="C531" s="69">
        <v>0</v>
      </c>
      <c r="D531" s="69">
        <v>0</v>
      </c>
      <c r="E531" s="69">
        <v>0</v>
      </c>
      <c r="F531" s="69">
        <v>0</v>
      </c>
      <c r="G531" s="69">
        <f t="shared" si="64"/>
        <v>0</v>
      </c>
      <c r="H531" s="69">
        <f>[3]Salary_Bdgt!$J$87</f>
        <v>9112</v>
      </c>
      <c r="I531" s="69">
        <f t="shared" si="65"/>
        <v>9841</v>
      </c>
      <c r="J531" s="69">
        <f t="shared" si="65"/>
        <v>10628</v>
      </c>
      <c r="M531" s="57"/>
    </row>
    <row r="532" spans="1:13" x14ac:dyDescent="0.2">
      <c r="A532" s="60">
        <v>1046</v>
      </c>
      <c r="B532" s="70" t="s">
        <v>3520</v>
      </c>
      <c r="C532" s="69">
        <v>0</v>
      </c>
      <c r="D532" s="69">
        <v>147985</v>
      </c>
      <c r="E532" s="69">
        <f>+D532</f>
        <v>147985</v>
      </c>
      <c r="F532" s="69">
        <v>0</v>
      </c>
      <c r="G532" s="69">
        <f t="shared" si="64"/>
        <v>0</v>
      </c>
      <c r="H532" s="69">
        <f>[3]Salary_Bdgt!$R$87</f>
        <v>145295</v>
      </c>
      <c r="I532" s="69">
        <f t="shared" si="65"/>
        <v>156919</v>
      </c>
      <c r="J532" s="69">
        <f t="shared" si="65"/>
        <v>169473</v>
      </c>
      <c r="M532" s="57"/>
    </row>
    <row r="533" spans="1:13" s="14" customFormat="1" x14ac:dyDescent="0.2">
      <c r="A533" s="60">
        <v>1182</v>
      </c>
      <c r="B533" s="70" t="s">
        <v>3553</v>
      </c>
      <c r="C533" s="69">
        <v>1058</v>
      </c>
      <c r="D533" s="69">
        <v>0</v>
      </c>
      <c r="E533" s="69">
        <f>+D533</f>
        <v>0</v>
      </c>
      <c r="F533" s="69">
        <v>0</v>
      </c>
      <c r="G533" s="69">
        <f t="shared" si="64"/>
        <v>0</v>
      </c>
      <c r="H533" s="69">
        <f>[3]Salary_Bdgt!$K$87</f>
        <v>8474</v>
      </c>
      <c r="I533" s="69">
        <f t="shared" si="65"/>
        <v>9152</v>
      </c>
      <c r="J533" s="69">
        <f t="shared" si="65"/>
        <v>9884</v>
      </c>
      <c r="K533" s="537"/>
      <c r="L533" s="537"/>
      <c r="M533" s="122"/>
    </row>
    <row r="534" spans="1:13" x14ac:dyDescent="0.2">
      <c r="A534" s="60">
        <v>1001</v>
      </c>
      <c r="B534" s="70" t="s">
        <v>472</v>
      </c>
      <c r="C534" s="69">
        <v>0</v>
      </c>
      <c r="D534" s="69">
        <v>0</v>
      </c>
      <c r="E534" s="69">
        <v>0</v>
      </c>
      <c r="F534" s="69">
        <v>0</v>
      </c>
      <c r="G534" s="69">
        <f t="shared" si="64"/>
        <v>0</v>
      </c>
      <c r="H534" s="69">
        <f>[3]Salary_Bdgt!$H$99</f>
        <v>528232</v>
      </c>
      <c r="I534" s="69">
        <f t="shared" si="65"/>
        <v>570491</v>
      </c>
      <c r="J534" s="69">
        <f t="shared" si="65"/>
        <v>616130</v>
      </c>
    </row>
    <row r="535" spans="1:13" x14ac:dyDescent="0.2">
      <c r="A535" s="60">
        <v>1005</v>
      </c>
      <c r="B535" s="70" t="s">
        <v>473</v>
      </c>
      <c r="C535" s="69">
        <v>0</v>
      </c>
      <c r="D535" s="69">
        <v>0</v>
      </c>
      <c r="E535" s="69">
        <v>0</v>
      </c>
      <c r="F535" s="69">
        <v>0</v>
      </c>
      <c r="G535" s="69">
        <f t="shared" si="64"/>
        <v>0</v>
      </c>
      <c r="H535" s="69">
        <f>[3]Salary_Bdgt!$L$99</f>
        <v>0</v>
      </c>
      <c r="I535" s="69">
        <f t="shared" si="65"/>
        <v>0</v>
      </c>
      <c r="J535" s="69">
        <f t="shared" si="65"/>
        <v>0</v>
      </c>
    </row>
    <row r="536" spans="1:13" x14ac:dyDescent="0.2">
      <c r="A536" s="60">
        <v>1006</v>
      </c>
      <c r="B536" s="70" t="s">
        <v>474</v>
      </c>
      <c r="C536" s="69">
        <v>0</v>
      </c>
      <c r="D536" s="69">
        <v>0</v>
      </c>
      <c r="E536" s="69">
        <v>0</v>
      </c>
      <c r="F536" s="69">
        <v>0</v>
      </c>
      <c r="G536" s="69">
        <f t="shared" si="64"/>
        <v>0</v>
      </c>
      <c r="H536" s="69">
        <f>[3]Salary_Bdgt!$N$99</f>
        <v>85360</v>
      </c>
      <c r="I536" s="69">
        <f t="shared" si="65"/>
        <v>92189</v>
      </c>
      <c r="J536" s="69">
        <f t="shared" si="65"/>
        <v>99564</v>
      </c>
    </row>
    <row r="537" spans="1:13" x14ac:dyDescent="0.2">
      <c r="A537" s="60">
        <v>1007</v>
      </c>
      <c r="B537" s="70" t="s">
        <v>481</v>
      </c>
      <c r="C537" s="69">
        <v>0</v>
      </c>
      <c r="D537" s="69">
        <v>0</v>
      </c>
      <c r="E537" s="69">
        <v>0</v>
      </c>
      <c r="F537" s="69">
        <v>0</v>
      </c>
      <c r="G537" s="69">
        <f t="shared" si="64"/>
        <v>0</v>
      </c>
      <c r="H537" s="69">
        <f>[3]Salary_Bdgt!$I$99</f>
        <v>6469</v>
      </c>
      <c r="I537" s="69">
        <f t="shared" si="65"/>
        <v>6987</v>
      </c>
      <c r="J537" s="69">
        <f t="shared" si="65"/>
        <v>7546</v>
      </c>
    </row>
    <row r="538" spans="1:13" x14ac:dyDescent="0.2">
      <c r="A538" s="60">
        <v>1009</v>
      </c>
      <c r="B538" s="70" t="s">
        <v>482</v>
      </c>
      <c r="C538" s="69">
        <v>0</v>
      </c>
      <c r="D538" s="69">
        <v>0</v>
      </c>
      <c r="E538" s="69">
        <v>0</v>
      </c>
      <c r="F538" s="69">
        <v>0</v>
      </c>
      <c r="G538" s="69">
        <f t="shared" si="64"/>
        <v>0</v>
      </c>
      <c r="H538" s="69">
        <f>[3]Salary_Bdgt!$M$99</f>
        <v>90</v>
      </c>
      <c r="I538" s="69">
        <f t="shared" si="65"/>
        <v>97</v>
      </c>
      <c r="J538" s="69">
        <f t="shared" si="65"/>
        <v>105</v>
      </c>
    </row>
    <row r="539" spans="1:13" x14ac:dyDescent="0.2">
      <c r="A539" s="60">
        <v>1010</v>
      </c>
      <c r="B539" s="70" t="s">
        <v>28</v>
      </c>
      <c r="C539" s="69">
        <v>0</v>
      </c>
      <c r="D539" s="69">
        <v>0</v>
      </c>
      <c r="E539" s="69">
        <v>0</v>
      </c>
      <c r="F539" s="69">
        <v>0</v>
      </c>
      <c r="G539" s="69">
        <f t="shared" si="64"/>
        <v>0</v>
      </c>
      <c r="H539" s="69">
        <f>[3]Salary_Bdgt!$Q$99</f>
        <v>44019</v>
      </c>
      <c r="I539" s="69">
        <f t="shared" si="65"/>
        <v>47541</v>
      </c>
      <c r="J539" s="69">
        <f t="shared" si="65"/>
        <v>51344</v>
      </c>
    </row>
    <row r="540" spans="1:13" x14ac:dyDescent="0.2">
      <c r="A540" s="60">
        <v>1011</v>
      </c>
      <c r="B540" s="70" t="s">
        <v>4045</v>
      </c>
      <c r="C540" s="69">
        <v>0</v>
      </c>
      <c r="D540" s="69">
        <v>0</v>
      </c>
      <c r="E540" s="69">
        <v>0</v>
      </c>
      <c r="F540" s="69">
        <v>0</v>
      </c>
      <c r="G540" s="69">
        <f t="shared" si="64"/>
        <v>0</v>
      </c>
      <c r="H540" s="69">
        <f>[3]Salary_Bdgt!$U$99</f>
        <v>0</v>
      </c>
      <c r="I540" s="69">
        <f t="shared" si="65"/>
        <v>0</v>
      </c>
      <c r="J540" s="69">
        <f t="shared" si="65"/>
        <v>0</v>
      </c>
    </row>
    <row r="541" spans="1:13" x14ac:dyDescent="0.2">
      <c r="A541" s="60">
        <v>1014</v>
      </c>
      <c r="B541" s="70" t="s">
        <v>36</v>
      </c>
      <c r="C541" s="69">
        <v>0</v>
      </c>
      <c r="D541" s="69">
        <v>0</v>
      </c>
      <c r="E541" s="69">
        <v>0</v>
      </c>
      <c r="F541" s="69">
        <v>0</v>
      </c>
      <c r="G541" s="69">
        <f t="shared" si="64"/>
        <v>0</v>
      </c>
      <c r="H541" s="69">
        <f>[3]Salary_Bdgt!$S$99</f>
        <v>0</v>
      </c>
      <c r="I541" s="69">
        <f t="shared" si="65"/>
        <v>0</v>
      </c>
      <c r="J541" s="69">
        <f t="shared" si="65"/>
        <v>0</v>
      </c>
    </row>
    <row r="542" spans="1:13" x14ac:dyDescent="0.2">
      <c r="A542" s="60">
        <v>1015</v>
      </c>
      <c r="B542" s="70" t="s">
        <v>445</v>
      </c>
      <c r="C542" s="69">
        <v>0</v>
      </c>
      <c r="D542" s="69">
        <v>0</v>
      </c>
      <c r="E542" s="69">
        <v>0</v>
      </c>
      <c r="F542" s="69">
        <v>0</v>
      </c>
      <c r="G542" s="69">
        <f t="shared" si="64"/>
        <v>0</v>
      </c>
      <c r="H542" s="69">
        <f>[3]Salary_Bdgt!$O$99+[3]Salary_Bdgt!$P$99+[3]Salary_Bdgt!$W$99</f>
        <v>0</v>
      </c>
      <c r="I542" s="69">
        <f t="shared" si="65"/>
        <v>0</v>
      </c>
      <c r="J542" s="69">
        <f t="shared" si="65"/>
        <v>0</v>
      </c>
      <c r="M542" s="57"/>
    </row>
    <row r="543" spans="1:13" x14ac:dyDescent="0.2">
      <c r="A543" s="60">
        <v>1016</v>
      </c>
      <c r="B543" s="70" t="s">
        <v>475</v>
      </c>
      <c r="C543" s="69">
        <v>0</v>
      </c>
      <c r="D543" s="69">
        <v>0</v>
      </c>
      <c r="E543" s="69">
        <v>0</v>
      </c>
      <c r="F543" s="69">
        <v>0</v>
      </c>
      <c r="G543" s="69">
        <f t="shared" si="64"/>
        <v>0</v>
      </c>
      <c r="H543" s="69">
        <f>[3]Salary_Bdgt!$T$99+[3]Salary_Bdgt!$V$99</f>
        <v>149609</v>
      </c>
      <c r="I543" s="69">
        <f t="shared" si="65"/>
        <v>161578</v>
      </c>
      <c r="J543" s="69">
        <f t="shared" si="65"/>
        <v>174504</v>
      </c>
    </row>
    <row r="544" spans="1:13" x14ac:dyDescent="0.2">
      <c r="A544" s="60">
        <v>1017</v>
      </c>
      <c r="B544" s="70" t="s">
        <v>4044</v>
      </c>
      <c r="C544" s="69">
        <v>0</v>
      </c>
      <c r="D544" s="69">
        <v>0</v>
      </c>
      <c r="E544" s="69">
        <v>0</v>
      </c>
      <c r="F544" s="69">
        <v>0</v>
      </c>
      <c r="G544" s="69">
        <f t="shared" si="64"/>
        <v>0</v>
      </c>
      <c r="H544" s="69">
        <f>[3]Salary_Bdgt!$J$99</f>
        <v>10602</v>
      </c>
      <c r="I544" s="69">
        <f t="shared" si="65"/>
        <v>11450</v>
      </c>
      <c r="J544" s="69">
        <f t="shared" si="65"/>
        <v>12366</v>
      </c>
    </row>
    <row r="545" spans="1:13" x14ac:dyDescent="0.2">
      <c r="A545" s="60">
        <v>1046</v>
      </c>
      <c r="B545" s="70" t="s">
        <v>491</v>
      </c>
      <c r="C545" s="69">
        <v>0</v>
      </c>
      <c r="D545" s="69">
        <v>0</v>
      </c>
      <c r="E545" s="69">
        <v>0</v>
      </c>
      <c r="F545" s="69">
        <v>0</v>
      </c>
      <c r="G545" s="69">
        <f t="shared" si="64"/>
        <v>0</v>
      </c>
      <c r="H545" s="69">
        <f>[3]Salary_Bdgt!$R$99</f>
        <v>0</v>
      </c>
      <c r="I545" s="69">
        <f t="shared" si="65"/>
        <v>0</v>
      </c>
      <c r="J545" s="69">
        <f t="shared" si="65"/>
        <v>0</v>
      </c>
    </row>
    <row r="546" spans="1:13" x14ac:dyDescent="0.2">
      <c r="A546" s="60">
        <v>1182</v>
      </c>
      <c r="B546" s="71" t="s">
        <v>1065</v>
      </c>
      <c r="C546" s="56">
        <v>0</v>
      </c>
      <c r="D546" s="56">
        <v>0</v>
      </c>
      <c r="E546" s="56">
        <v>0</v>
      </c>
      <c r="F546" s="56">
        <v>0</v>
      </c>
      <c r="G546" s="56">
        <f t="shared" si="64"/>
        <v>0</v>
      </c>
      <c r="H546" s="56">
        <f>[3]Salary_Bdgt!$K$99</f>
        <v>9860</v>
      </c>
      <c r="I546" s="56">
        <f t="shared" si="65"/>
        <v>10649</v>
      </c>
      <c r="J546" s="56">
        <f t="shared" si="65"/>
        <v>11501</v>
      </c>
    </row>
    <row r="547" spans="1:13" x14ac:dyDescent="0.2">
      <c r="A547" s="60"/>
      <c r="B547" s="58" t="s">
        <v>416</v>
      </c>
      <c r="C547" s="72">
        <f t="shared" ref="C547:J547" si="66">SUM(C521:C546)</f>
        <v>103590</v>
      </c>
      <c r="D547" s="72">
        <f t="shared" si="66"/>
        <v>566100</v>
      </c>
      <c r="E547" s="72">
        <f t="shared" si="66"/>
        <v>566100</v>
      </c>
      <c r="F547" s="72">
        <f t="shared" si="66"/>
        <v>113772</v>
      </c>
      <c r="G547" s="72">
        <f t="shared" si="66"/>
        <v>136526.40000000002</v>
      </c>
      <c r="H547" s="72">
        <f t="shared" si="66"/>
        <v>1441317</v>
      </c>
      <c r="I547" s="72">
        <f t="shared" si="66"/>
        <v>1556624</v>
      </c>
      <c r="J547" s="72">
        <f t="shared" si="66"/>
        <v>1681154</v>
      </c>
      <c r="M547" s="57"/>
    </row>
    <row r="548" spans="1:13" x14ac:dyDescent="0.2">
      <c r="A548" s="60"/>
      <c r="B548" s="58"/>
      <c r="C548" s="72"/>
      <c r="D548" s="72"/>
      <c r="E548" s="72"/>
      <c r="G548" s="69"/>
      <c r="H548" s="69"/>
      <c r="I548" s="72"/>
      <c r="J548" s="72"/>
      <c r="M548" s="57"/>
    </row>
    <row r="549" spans="1:13" x14ac:dyDescent="0.2">
      <c r="A549" s="60"/>
      <c r="B549" s="58" t="s">
        <v>435</v>
      </c>
      <c r="C549" s="69"/>
      <c r="D549" s="69"/>
      <c r="E549" s="69"/>
      <c r="F549" s="24"/>
      <c r="G549" s="69"/>
      <c r="H549" s="69"/>
      <c r="I549" s="69"/>
      <c r="J549" s="69"/>
      <c r="M549" s="57"/>
    </row>
    <row r="550" spans="1:13" x14ac:dyDescent="0.2">
      <c r="A550" s="60">
        <v>2113</v>
      </c>
      <c r="B550" s="70" t="s">
        <v>4062</v>
      </c>
      <c r="C550" s="69">
        <v>0</v>
      </c>
      <c r="D550" s="69">
        <v>10500</v>
      </c>
      <c r="E550" s="69">
        <f>10500</f>
        <v>10500</v>
      </c>
      <c r="F550" s="69">
        <v>0</v>
      </c>
      <c r="G550" s="69">
        <f>F550/$F$11*$G$11</f>
        <v>0</v>
      </c>
      <c r="H550" s="69">
        <f>ROUND(E550*1.05,0)</f>
        <v>11025</v>
      </c>
      <c r="I550" s="69">
        <f t="shared" ref="I550:J554" si="67">ROUND(H550*1.06,0)</f>
        <v>11687</v>
      </c>
      <c r="J550" s="69">
        <f t="shared" si="67"/>
        <v>12388</v>
      </c>
      <c r="M550" s="57"/>
    </row>
    <row r="551" spans="1:13" x14ac:dyDescent="0.2">
      <c r="A551" s="60">
        <v>2207</v>
      </c>
      <c r="B551" s="70" t="s">
        <v>4063</v>
      </c>
      <c r="C551" s="69">
        <v>0</v>
      </c>
      <c r="D551" s="69">
        <v>5250</v>
      </c>
      <c r="E551" s="69">
        <f>5250</f>
        <v>5250</v>
      </c>
      <c r="F551" s="69">
        <v>0</v>
      </c>
      <c r="G551" s="69">
        <f>F551/$F$11*$G$11</f>
        <v>0</v>
      </c>
      <c r="H551" s="69">
        <v>0</v>
      </c>
      <c r="I551" s="69">
        <f t="shared" si="67"/>
        <v>0</v>
      </c>
      <c r="J551" s="69">
        <f t="shared" si="67"/>
        <v>0</v>
      </c>
      <c r="M551" s="57"/>
    </row>
    <row r="552" spans="1:13" x14ac:dyDescent="0.2">
      <c r="A552" s="60">
        <v>2226</v>
      </c>
      <c r="B552" s="70" t="s">
        <v>4051</v>
      </c>
      <c r="C552" s="69">
        <v>0</v>
      </c>
      <c r="D552" s="69">
        <v>5250</v>
      </c>
      <c r="E552" s="69">
        <f>5250</f>
        <v>5250</v>
      </c>
      <c r="F552" s="69">
        <v>0</v>
      </c>
      <c r="G552" s="69">
        <f>F552/$F$11*$G$11</f>
        <v>0</v>
      </c>
      <c r="H552" s="69">
        <f>ROUND(E552*1.05,0)</f>
        <v>5513</v>
      </c>
      <c r="I552" s="69">
        <f t="shared" si="67"/>
        <v>5844</v>
      </c>
      <c r="J552" s="69">
        <f t="shared" si="67"/>
        <v>6195</v>
      </c>
      <c r="M552" s="57"/>
    </row>
    <row r="553" spans="1:13" x14ac:dyDescent="0.2">
      <c r="A553" s="60">
        <v>2231</v>
      </c>
      <c r="B553" s="70" t="s">
        <v>478</v>
      </c>
      <c r="C553" s="69">
        <v>1392</v>
      </c>
      <c r="D553" s="69">
        <v>5250</v>
      </c>
      <c r="E553" s="69">
        <f>5250</f>
        <v>5250</v>
      </c>
      <c r="F553" s="69">
        <v>446</v>
      </c>
      <c r="G553" s="69">
        <f>F553/$F$11*$G$11</f>
        <v>535.20000000000005</v>
      </c>
      <c r="H553" s="69">
        <f>ROUND(E553*1.05,0)</f>
        <v>5513</v>
      </c>
      <c r="I553" s="69">
        <f t="shared" si="67"/>
        <v>5844</v>
      </c>
      <c r="J553" s="69">
        <f t="shared" si="67"/>
        <v>6195</v>
      </c>
      <c r="M553" s="57"/>
    </row>
    <row r="554" spans="1:13" x14ac:dyDescent="0.2">
      <c r="A554" s="60">
        <v>2238</v>
      </c>
      <c r="B554" s="71" t="s">
        <v>479</v>
      </c>
      <c r="C554" s="56">
        <v>20487</v>
      </c>
      <c r="D554" s="56">
        <v>50000</v>
      </c>
      <c r="E554" s="56">
        <f>50000+50000</f>
        <v>100000</v>
      </c>
      <c r="F554" s="56">
        <v>83348</v>
      </c>
      <c r="G554" s="56">
        <f>F554/$F$11*$G$11</f>
        <v>100017.59999999999</v>
      </c>
      <c r="H554" s="56">
        <f>ROUND(E554*1.05,0)</f>
        <v>105000</v>
      </c>
      <c r="I554" s="56">
        <f t="shared" si="67"/>
        <v>111300</v>
      </c>
      <c r="J554" s="56">
        <f t="shared" si="67"/>
        <v>117978</v>
      </c>
      <c r="M554" s="57"/>
    </row>
    <row r="555" spans="1:13" x14ac:dyDescent="0.2">
      <c r="A555" s="41"/>
      <c r="B555" s="58" t="s">
        <v>436</v>
      </c>
      <c r="C555" s="72">
        <f t="shared" ref="C555:J555" si="68">SUM(C550:C554)</f>
        <v>21879</v>
      </c>
      <c r="D555" s="72">
        <f t="shared" si="68"/>
        <v>76250</v>
      </c>
      <c r="E555" s="72">
        <f t="shared" si="68"/>
        <v>126250</v>
      </c>
      <c r="F555" s="72">
        <f t="shared" si="68"/>
        <v>83794</v>
      </c>
      <c r="G555" s="72">
        <f t="shared" si="68"/>
        <v>100552.79999999999</v>
      </c>
      <c r="H555" s="72">
        <f t="shared" si="68"/>
        <v>127051</v>
      </c>
      <c r="I555" s="72">
        <f t="shared" si="68"/>
        <v>134675</v>
      </c>
      <c r="J555" s="72">
        <f t="shared" si="68"/>
        <v>142756</v>
      </c>
      <c r="M555" s="57"/>
    </row>
    <row r="556" spans="1:13" x14ac:dyDescent="0.2">
      <c r="A556" s="67"/>
      <c r="B556" s="61"/>
      <c r="C556" s="97"/>
      <c r="D556" s="97"/>
      <c r="E556" s="97"/>
      <c r="F556" s="97"/>
      <c r="G556" s="97"/>
      <c r="H556" s="97"/>
      <c r="I556" s="97"/>
      <c r="J556" s="97"/>
      <c r="M556" s="57"/>
    </row>
    <row r="557" spans="1:13" x14ac:dyDescent="0.2">
      <c r="A557" s="64"/>
      <c r="B557" s="58" t="s">
        <v>4055</v>
      </c>
      <c r="C557" s="73">
        <f t="shared" ref="C557:J557" si="69">C547+C555</f>
        <v>125469</v>
      </c>
      <c r="D557" s="73">
        <f t="shared" si="69"/>
        <v>642350</v>
      </c>
      <c r="E557" s="73">
        <f t="shared" si="69"/>
        <v>692350</v>
      </c>
      <c r="F557" s="73">
        <f t="shared" si="69"/>
        <v>197566</v>
      </c>
      <c r="G557" s="73">
        <f t="shared" si="69"/>
        <v>237079.2</v>
      </c>
      <c r="H557" s="73">
        <f t="shared" si="69"/>
        <v>1568368</v>
      </c>
      <c r="I557" s="73">
        <f t="shared" si="69"/>
        <v>1691299</v>
      </c>
      <c r="J557" s="73">
        <f t="shared" si="69"/>
        <v>1823910</v>
      </c>
      <c r="M557" s="57"/>
    </row>
    <row r="558" spans="1:13" x14ac:dyDescent="0.2">
      <c r="A558" s="60"/>
      <c r="B558" s="58"/>
      <c r="C558" s="96"/>
      <c r="D558" s="96"/>
      <c r="E558" s="96"/>
      <c r="F558" s="96"/>
      <c r="G558" s="96"/>
      <c r="H558" s="96"/>
      <c r="I558" s="96"/>
      <c r="J558" s="96"/>
      <c r="M558" s="57"/>
    </row>
    <row r="559" spans="1:13" ht="13.5" thickBot="1" x14ac:dyDescent="0.25">
      <c r="A559" s="64"/>
      <c r="B559" s="65" t="s">
        <v>4025</v>
      </c>
      <c r="C559" s="76">
        <f t="shared" ref="C559:J559" si="70">C557</f>
        <v>125469</v>
      </c>
      <c r="D559" s="76">
        <f t="shared" si="70"/>
        <v>642350</v>
      </c>
      <c r="E559" s="76">
        <f t="shared" si="70"/>
        <v>692350</v>
      </c>
      <c r="F559" s="76">
        <f t="shared" si="70"/>
        <v>197566</v>
      </c>
      <c r="G559" s="76">
        <f t="shared" si="70"/>
        <v>237079.2</v>
      </c>
      <c r="H559" s="76">
        <f t="shared" si="70"/>
        <v>1568368</v>
      </c>
      <c r="I559" s="76">
        <f t="shared" si="70"/>
        <v>1691299</v>
      </c>
      <c r="J559" s="76">
        <f t="shared" si="70"/>
        <v>1823910</v>
      </c>
      <c r="M559" s="57"/>
    </row>
    <row r="560" spans="1:13" ht="13.5" thickTop="1" x14ac:dyDescent="0.2">
      <c r="A560" s="64"/>
      <c r="B560" s="58"/>
      <c r="C560" s="72"/>
      <c r="D560" s="72"/>
      <c r="E560" s="72"/>
      <c r="F560" s="72"/>
      <c r="G560" s="72"/>
      <c r="H560" s="72"/>
      <c r="I560" s="72"/>
      <c r="J560" s="72"/>
      <c r="M560" s="57"/>
    </row>
    <row r="561" spans="1:13" ht="13.5" thickBot="1" x14ac:dyDescent="0.25">
      <c r="A561" s="67"/>
      <c r="B561" s="65" t="s">
        <v>4059</v>
      </c>
      <c r="C561" s="77">
        <f t="shared" ref="C561:J561" si="71">C516-C559</f>
        <v>-125469</v>
      </c>
      <c r="D561" s="77">
        <f t="shared" si="71"/>
        <v>-166350</v>
      </c>
      <c r="E561" s="77">
        <f t="shared" si="71"/>
        <v>0</v>
      </c>
      <c r="F561" s="77">
        <f t="shared" si="71"/>
        <v>444934</v>
      </c>
      <c r="G561" s="77">
        <f t="shared" si="71"/>
        <v>405420.79999999999</v>
      </c>
      <c r="H561" s="77">
        <f t="shared" si="71"/>
        <v>-823274</v>
      </c>
      <c r="I561" s="77">
        <f t="shared" si="71"/>
        <v>-1691299</v>
      </c>
      <c r="J561" s="77">
        <f t="shared" si="71"/>
        <v>-1823910</v>
      </c>
      <c r="M561" s="57"/>
    </row>
    <row r="562" spans="1:13" ht="13.5" thickTop="1" x14ac:dyDescent="0.2">
      <c r="A562" s="67"/>
      <c r="B562" s="58"/>
      <c r="C562" s="78"/>
      <c r="D562" s="78"/>
      <c r="E562" s="78"/>
      <c r="G562" s="69"/>
      <c r="H562" s="69"/>
      <c r="I562" s="78"/>
      <c r="J562" s="78"/>
      <c r="M562" s="57"/>
    </row>
    <row r="563" spans="1:13" ht="15" x14ac:dyDescent="0.25">
      <c r="A563" s="91"/>
      <c r="B563" s="95"/>
      <c r="C563" s="78"/>
      <c r="D563" s="78"/>
      <c r="E563" s="78"/>
      <c r="G563" s="69"/>
      <c r="H563" s="69"/>
      <c r="I563" s="78"/>
      <c r="J563" s="78"/>
      <c r="M563" s="57"/>
    </row>
    <row r="564" spans="1:13" ht="15" x14ac:dyDescent="0.25">
      <c r="A564" s="91"/>
      <c r="B564" s="95"/>
      <c r="C564" s="78"/>
      <c r="D564" s="78"/>
      <c r="E564" s="78"/>
      <c r="G564" s="69"/>
      <c r="H564" s="69"/>
      <c r="I564" s="78"/>
      <c r="J564" s="78"/>
      <c r="M564" s="57"/>
    </row>
    <row r="565" spans="1:13" ht="15" x14ac:dyDescent="0.25">
      <c r="A565" s="91"/>
      <c r="B565" s="95"/>
      <c r="C565" s="78"/>
      <c r="D565" s="78"/>
      <c r="E565" s="78"/>
      <c r="G565" s="69"/>
      <c r="H565" s="69"/>
      <c r="I565" s="78"/>
      <c r="J565" s="78"/>
      <c r="M565" s="57"/>
    </row>
    <row r="566" spans="1:13" ht="15" x14ac:dyDescent="0.25">
      <c r="A566" s="91"/>
      <c r="B566" s="95"/>
      <c r="C566" s="78"/>
      <c r="D566" s="78"/>
      <c r="E566" s="78"/>
      <c r="G566" s="69"/>
      <c r="H566" s="69"/>
      <c r="I566" s="78"/>
      <c r="J566" s="78"/>
      <c r="M566" s="57"/>
    </row>
    <row r="567" spans="1:13" ht="15" x14ac:dyDescent="0.25">
      <c r="A567" s="91"/>
      <c r="B567" s="95"/>
      <c r="C567" s="78"/>
      <c r="D567" s="78"/>
      <c r="E567" s="78"/>
      <c r="G567" s="69"/>
      <c r="H567" s="69"/>
      <c r="I567" s="78"/>
      <c r="J567" s="78"/>
      <c r="M567" s="57"/>
    </row>
    <row r="568" spans="1:13" ht="15" x14ac:dyDescent="0.25">
      <c r="A568" s="91"/>
      <c r="B568" s="95"/>
      <c r="C568" s="78"/>
      <c r="D568" s="78"/>
      <c r="E568" s="78"/>
      <c r="G568" s="69"/>
      <c r="H568" s="69"/>
      <c r="I568" s="78"/>
      <c r="J568" s="78"/>
      <c r="M568" s="57"/>
    </row>
    <row r="569" spans="1:13" ht="15" x14ac:dyDescent="0.25">
      <c r="A569" s="91"/>
      <c r="B569" s="95"/>
      <c r="C569" s="78"/>
      <c r="D569" s="78"/>
      <c r="E569" s="78"/>
      <c r="G569" s="69"/>
      <c r="H569" s="69"/>
      <c r="I569" s="78"/>
      <c r="J569" s="78"/>
      <c r="M569" s="57"/>
    </row>
    <row r="570" spans="1:13" ht="15" x14ac:dyDescent="0.25">
      <c r="A570" s="91"/>
      <c r="B570" s="95"/>
      <c r="C570" s="78"/>
      <c r="D570" s="78"/>
      <c r="E570" s="78"/>
      <c r="G570" s="69"/>
      <c r="H570" s="69"/>
      <c r="I570" s="78"/>
      <c r="J570" s="78"/>
      <c r="M570" s="57"/>
    </row>
    <row r="571" spans="1:13" ht="15" x14ac:dyDescent="0.25">
      <c r="A571" s="91"/>
      <c r="B571" s="95"/>
      <c r="C571" s="78"/>
      <c r="D571" s="78"/>
      <c r="E571" s="78"/>
      <c r="G571" s="69"/>
      <c r="H571" s="69"/>
      <c r="I571" s="78"/>
      <c r="J571" s="78"/>
      <c r="M571" s="57"/>
    </row>
    <row r="572" spans="1:13" ht="15" x14ac:dyDescent="0.25">
      <c r="A572" s="91"/>
      <c r="B572" s="95"/>
      <c r="C572" s="78"/>
      <c r="D572" s="78"/>
      <c r="E572" s="78"/>
      <c r="G572" s="69"/>
      <c r="H572" s="69"/>
      <c r="I572" s="78"/>
      <c r="J572" s="78"/>
      <c r="M572" s="57"/>
    </row>
    <row r="573" spans="1:13" ht="15" x14ac:dyDescent="0.25">
      <c r="A573" s="91"/>
      <c r="B573" s="95"/>
      <c r="C573" s="78"/>
      <c r="D573" s="78"/>
      <c r="E573" s="78"/>
      <c r="G573" s="69"/>
      <c r="H573" s="69"/>
      <c r="I573" s="78"/>
      <c r="J573" s="78"/>
      <c r="M573" s="57"/>
    </row>
    <row r="574" spans="1:13" ht="15" x14ac:dyDescent="0.25">
      <c r="A574" s="91"/>
      <c r="B574" s="95"/>
      <c r="C574" s="78"/>
      <c r="D574" s="78"/>
      <c r="E574" s="78"/>
      <c r="G574" s="69"/>
      <c r="H574" s="69"/>
      <c r="I574" s="78"/>
      <c r="J574" s="78"/>
      <c r="M574" s="57"/>
    </row>
    <row r="575" spans="1:13" ht="15" x14ac:dyDescent="0.25">
      <c r="A575" s="91"/>
      <c r="B575" s="95"/>
      <c r="C575" s="78"/>
      <c r="D575" s="78"/>
      <c r="E575" s="78"/>
      <c r="G575" s="69"/>
      <c r="H575" s="69"/>
      <c r="I575" s="78"/>
      <c r="J575" s="78"/>
      <c r="M575" s="57"/>
    </row>
    <row r="576" spans="1:13" ht="15" x14ac:dyDescent="0.25">
      <c r="A576" s="91"/>
      <c r="B576" s="95"/>
      <c r="C576" s="78"/>
      <c r="D576" s="78"/>
      <c r="E576" s="78"/>
      <c r="G576" s="69"/>
      <c r="H576" s="69"/>
      <c r="I576" s="78"/>
      <c r="J576" s="78"/>
      <c r="M576" s="57"/>
    </row>
    <row r="577" spans="1:13" ht="15" x14ac:dyDescent="0.25">
      <c r="A577" s="91"/>
      <c r="B577" s="95"/>
      <c r="C577" s="78"/>
      <c r="D577" s="78"/>
      <c r="E577" s="78"/>
      <c r="G577" s="69"/>
      <c r="H577" s="69"/>
      <c r="I577" s="78"/>
      <c r="J577" s="78"/>
      <c r="M577" s="57"/>
    </row>
    <row r="578" spans="1:13" ht="15" x14ac:dyDescent="0.25">
      <c r="A578" s="91"/>
      <c r="B578" s="95"/>
      <c r="C578" s="78"/>
      <c r="D578" s="78"/>
      <c r="E578" s="78"/>
      <c r="G578" s="69"/>
      <c r="H578" s="69"/>
      <c r="I578" s="78"/>
      <c r="J578" s="78"/>
      <c r="M578" s="57"/>
    </row>
    <row r="579" spans="1:13" ht="15" x14ac:dyDescent="0.25">
      <c r="A579" s="91"/>
      <c r="B579" s="95"/>
      <c r="C579" s="78"/>
      <c r="D579" s="78"/>
      <c r="E579" s="78"/>
      <c r="G579" s="69"/>
      <c r="H579" s="69"/>
      <c r="I579" s="78"/>
      <c r="J579" s="78"/>
      <c r="M579" s="57"/>
    </row>
    <row r="580" spans="1:13" ht="15" x14ac:dyDescent="0.25">
      <c r="A580" s="91"/>
      <c r="B580" s="95"/>
      <c r="C580" s="78"/>
      <c r="D580" s="78"/>
      <c r="E580" s="78"/>
      <c r="G580" s="69"/>
      <c r="H580" s="69"/>
      <c r="I580" s="78"/>
      <c r="J580" s="78"/>
      <c r="M580" s="57"/>
    </row>
    <row r="581" spans="1:13" ht="15" x14ac:dyDescent="0.25">
      <c r="A581" s="91"/>
      <c r="B581" s="95"/>
      <c r="C581" s="78"/>
      <c r="D581" s="78"/>
      <c r="E581" s="78"/>
      <c r="G581" s="69"/>
      <c r="H581" s="69"/>
      <c r="I581" s="78"/>
      <c r="J581" s="78"/>
      <c r="M581" s="57"/>
    </row>
    <row r="582" spans="1:13" ht="15" x14ac:dyDescent="0.25">
      <c r="A582" s="91"/>
      <c r="B582" s="95"/>
      <c r="C582" s="78"/>
      <c r="D582" s="78"/>
      <c r="E582" s="78"/>
      <c r="G582" s="69"/>
      <c r="H582" s="69"/>
      <c r="I582" s="78"/>
      <c r="J582" s="78"/>
      <c r="M582" s="57"/>
    </row>
    <row r="583" spans="1:13" ht="15" x14ac:dyDescent="0.25">
      <c r="A583" s="91"/>
      <c r="B583" s="95"/>
      <c r="C583" s="78"/>
      <c r="D583" s="78"/>
      <c r="E583" s="78"/>
      <c r="G583" s="69"/>
      <c r="H583" s="69"/>
      <c r="I583" s="78"/>
      <c r="J583" s="78"/>
      <c r="M583" s="57"/>
    </row>
    <row r="584" spans="1:13" ht="15" x14ac:dyDescent="0.25">
      <c r="A584" s="91"/>
      <c r="B584" s="95"/>
      <c r="C584" s="78"/>
      <c r="D584" s="78"/>
      <c r="E584" s="78"/>
      <c r="G584" s="69"/>
      <c r="H584" s="69"/>
      <c r="I584" s="78"/>
      <c r="J584" s="78"/>
      <c r="M584" s="57"/>
    </row>
    <row r="585" spans="1:13" ht="15" x14ac:dyDescent="0.25">
      <c r="A585" s="91"/>
      <c r="B585" s="95"/>
      <c r="C585" s="78"/>
      <c r="D585" s="78"/>
      <c r="E585" s="78"/>
      <c r="G585" s="69"/>
      <c r="H585" s="69"/>
      <c r="I585" s="78"/>
      <c r="J585" s="78"/>
      <c r="M585" s="57"/>
    </row>
    <row r="586" spans="1:13" ht="15" x14ac:dyDescent="0.25">
      <c r="A586" s="91"/>
      <c r="B586" s="95"/>
      <c r="C586" s="78"/>
      <c r="D586" s="78"/>
      <c r="E586" s="78"/>
      <c r="G586" s="69"/>
      <c r="H586" s="69"/>
      <c r="I586" s="78"/>
      <c r="J586" s="78"/>
      <c r="M586" s="57"/>
    </row>
    <row r="587" spans="1:13" ht="15.75" x14ac:dyDescent="0.25">
      <c r="A587" s="98">
        <v>1100</v>
      </c>
      <c r="B587" s="44" t="s">
        <v>4077</v>
      </c>
      <c r="C587" s="78"/>
      <c r="D587" s="78"/>
      <c r="E587" s="78"/>
      <c r="G587" s="69"/>
      <c r="H587" s="69"/>
      <c r="I587" s="78"/>
      <c r="J587" s="78"/>
      <c r="M587" s="57"/>
    </row>
    <row r="588" spans="1:13" ht="15" x14ac:dyDescent="0.25">
      <c r="A588" s="91">
        <v>1110</v>
      </c>
      <c r="B588" s="48" t="s">
        <v>486</v>
      </c>
      <c r="C588" s="48"/>
      <c r="D588" s="48"/>
      <c r="E588" s="48"/>
      <c r="G588" s="69"/>
      <c r="H588" s="69"/>
      <c r="M588" s="57"/>
    </row>
    <row r="589" spans="1:13" ht="15" x14ac:dyDescent="0.25">
      <c r="B589" s="48"/>
      <c r="C589" s="48"/>
      <c r="D589" s="48"/>
      <c r="E589" s="48"/>
      <c r="G589" s="69"/>
      <c r="H589" s="69"/>
      <c r="M589" s="57"/>
    </row>
    <row r="590" spans="1:13" x14ac:dyDescent="0.2">
      <c r="B590" s="50" t="s">
        <v>61</v>
      </c>
      <c r="C590" s="50"/>
      <c r="D590" s="50"/>
      <c r="E590" s="50"/>
      <c r="G590" s="69"/>
      <c r="H590" s="69"/>
      <c r="M590" s="57"/>
    </row>
    <row r="591" spans="1:13" x14ac:dyDescent="0.2">
      <c r="B591" s="46"/>
      <c r="C591" s="46"/>
      <c r="D591" s="46"/>
      <c r="E591" s="46"/>
      <c r="G591" s="69"/>
      <c r="H591" s="69"/>
      <c r="M591" s="57"/>
    </row>
    <row r="592" spans="1:13" x14ac:dyDescent="0.2">
      <c r="B592" s="58" t="s">
        <v>420</v>
      </c>
      <c r="C592" s="99"/>
      <c r="D592" s="99"/>
      <c r="E592" s="99"/>
      <c r="G592" s="69"/>
      <c r="H592" s="69"/>
      <c r="I592" s="99"/>
      <c r="J592" s="99"/>
      <c r="M592" s="57"/>
    </row>
    <row r="593" spans="1:13" x14ac:dyDescent="0.2">
      <c r="A593" s="75">
        <v>5300</v>
      </c>
      <c r="B593" s="70" t="s">
        <v>2399</v>
      </c>
      <c r="C593" s="69">
        <v>0</v>
      </c>
      <c r="D593" s="69">
        <v>10000</v>
      </c>
      <c r="E593" s="69">
        <v>10000</v>
      </c>
      <c r="F593" s="69">
        <v>0</v>
      </c>
      <c r="G593" s="69">
        <f>F593/$F$11*$G$11</f>
        <v>0</v>
      </c>
      <c r="H593" s="69">
        <v>5000</v>
      </c>
      <c r="I593" s="69">
        <f>ROUND(H593*1.1,0)</f>
        <v>5500</v>
      </c>
      <c r="J593" s="69">
        <f>ROUND(I593*1.1,0)</f>
        <v>6050</v>
      </c>
      <c r="M593" s="57"/>
    </row>
    <row r="594" spans="1:13" x14ac:dyDescent="0.2">
      <c r="A594" s="75">
        <v>5302</v>
      </c>
      <c r="B594" s="70" t="s">
        <v>1068</v>
      </c>
      <c r="C594" s="69">
        <v>53176</v>
      </c>
      <c r="D594" s="69">
        <v>0</v>
      </c>
      <c r="E594" s="69">
        <v>0</v>
      </c>
      <c r="F594" s="69">
        <v>41844</v>
      </c>
      <c r="G594" s="69">
        <f>F594/$F$11*$G$11</f>
        <v>50212.799999999996</v>
      </c>
      <c r="H594" s="69">
        <v>70000</v>
      </c>
      <c r="I594" s="69">
        <v>70000</v>
      </c>
      <c r="J594" s="69">
        <v>70000</v>
      </c>
      <c r="M594" s="57"/>
    </row>
    <row r="595" spans="1:13" x14ac:dyDescent="0.2">
      <c r="A595" s="75">
        <v>5301</v>
      </c>
      <c r="B595" s="71" t="s">
        <v>2400</v>
      </c>
      <c r="C595" s="56">
        <v>22989</v>
      </c>
      <c r="D595" s="56">
        <v>26100</v>
      </c>
      <c r="E595" s="56">
        <v>26100</v>
      </c>
      <c r="F595" s="56">
        <v>114</v>
      </c>
      <c r="G595" s="56">
        <f>F595/$F$11*$G$11</f>
        <v>136.80000000000001</v>
      </c>
      <c r="H595" s="56">
        <v>300</v>
      </c>
      <c r="I595" s="56">
        <f>ROUND(H595*1.1,0)</f>
        <v>330</v>
      </c>
      <c r="J595" s="56">
        <f>ROUND(I595*1.1,0)</f>
        <v>363</v>
      </c>
      <c r="M595" s="57"/>
    </row>
    <row r="596" spans="1:13" x14ac:dyDescent="0.2">
      <c r="B596" s="58" t="s">
        <v>421</v>
      </c>
      <c r="C596" s="100">
        <f>SUM(C593:C595)</f>
        <v>76165</v>
      </c>
      <c r="D596" s="100">
        <f t="shared" ref="D596:J596" si="72">SUM(D593:D595)</f>
        <v>36100</v>
      </c>
      <c r="E596" s="100">
        <f t="shared" si="72"/>
        <v>36100</v>
      </c>
      <c r="F596" s="100">
        <f t="shared" si="72"/>
        <v>41958</v>
      </c>
      <c r="G596" s="100">
        <f t="shared" si="72"/>
        <v>50349.599999999999</v>
      </c>
      <c r="H596" s="100">
        <f t="shared" si="72"/>
        <v>75300</v>
      </c>
      <c r="I596" s="100">
        <f>SUM(I593:I595)</f>
        <v>75830</v>
      </c>
      <c r="J596" s="100">
        <f t="shared" si="72"/>
        <v>76413</v>
      </c>
      <c r="K596" s="100"/>
      <c r="M596" s="57"/>
    </row>
    <row r="597" spans="1:13" x14ac:dyDescent="0.2">
      <c r="B597" s="58"/>
      <c r="C597" s="100"/>
      <c r="D597" s="100"/>
      <c r="E597" s="100"/>
      <c r="F597" s="24"/>
      <c r="G597" s="69"/>
      <c r="H597" s="69"/>
      <c r="I597" s="100"/>
      <c r="J597" s="100"/>
      <c r="M597" s="57"/>
    </row>
    <row r="598" spans="1:13" x14ac:dyDescent="0.2">
      <c r="B598" s="58" t="s">
        <v>4006</v>
      </c>
      <c r="C598" s="100"/>
      <c r="D598" s="100"/>
      <c r="E598" s="100"/>
      <c r="G598" s="69"/>
      <c r="H598" s="69"/>
      <c r="I598" s="100"/>
      <c r="J598" s="100"/>
      <c r="M598" s="57"/>
    </row>
    <row r="599" spans="1:13" s="9" customFormat="1" x14ac:dyDescent="0.2">
      <c r="A599" s="101">
        <v>5644</v>
      </c>
      <c r="B599" s="71" t="s">
        <v>4078</v>
      </c>
      <c r="C599" s="62">
        <v>3158</v>
      </c>
      <c r="D599" s="56">
        <v>4211</v>
      </c>
      <c r="E599" s="56">
        <v>4211</v>
      </c>
      <c r="F599" s="56">
        <v>5204</v>
      </c>
      <c r="G599" s="56">
        <v>5204</v>
      </c>
      <c r="H599" s="56">
        <v>0</v>
      </c>
      <c r="I599" s="56">
        <v>0</v>
      </c>
      <c r="J599" s="56">
        <v>0</v>
      </c>
      <c r="M599" s="57"/>
    </row>
    <row r="600" spans="1:13" x14ac:dyDescent="0.2">
      <c r="B600" s="58" t="s">
        <v>422</v>
      </c>
      <c r="C600" s="100">
        <f t="shared" ref="C600:J600" si="73">SUM(C599)</f>
        <v>3158</v>
      </c>
      <c r="D600" s="100">
        <f t="shared" si="73"/>
        <v>4211</v>
      </c>
      <c r="E600" s="100">
        <f t="shared" si="73"/>
        <v>4211</v>
      </c>
      <c r="F600" s="100">
        <f t="shared" si="73"/>
        <v>5204</v>
      </c>
      <c r="G600" s="100">
        <f t="shared" si="73"/>
        <v>5204</v>
      </c>
      <c r="H600" s="100">
        <f t="shared" si="73"/>
        <v>0</v>
      </c>
      <c r="I600" s="100">
        <f t="shared" si="73"/>
        <v>0</v>
      </c>
      <c r="J600" s="100">
        <f t="shared" si="73"/>
        <v>0</v>
      </c>
      <c r="M600" s="57"/>
    </row>
    <row r="601" spans="1:13" x14ac:dyDescent="0.2">
      <c r="B601" s="58"/>
      <c r="C601" s="99"/>
      <c r="D601" s="99"/>
      <c r="E601" s="99"/>
      <c r="G601" s="69"/>
      <c r="H601" s="69"/>
      <c r="I601" s="99"/>
      <c r="J601" s="99"/>
      <c r="M601" s="57"/>
    </row>
    <row r="602" spans="1:13" x14ac:dyDescent="0.2">
      <c r="B602" s="58" t="s">
        <v>413</v>
      </c>
      <c r="C602" s="99"/>
      <c r="D602" s="99"/>
      <c r="E602" s="99"/>
      <c r="G602" s="69"/>
      <c r="H602" s="69"/>
      <c r="I602" s="99"/>
      <c r="J602" s="99"/>
      <c r="M602" s="57"/>
    </row>
    <row r="603" spans="1:13" x14ac:dyDescent="0.2">
      <c r="A603" s="75">
        <v>5501</v>
      </c>
      <c r="B603" s="70" t="s">
        <v>2405</v>
      </c>
      <c r="C603" s="69">
        <v>24832097</v>
      </c>
      <c r="D603" s="69">
        <f>31500000+587000</f>
        <v>32087000</v>
      </c>
      <c r="E603" s="69">
        <f>31500000+681000+587000</f>
        <v>32768000</v>
      </c>
      <c r="F603" s="69">
        <v>12584976</v>
      </c>
      <c r="G603" s="69">
        <v>32181000</v>
      </c>
      <c r="H603" s="69">
        <f>40862000</f>
        <v>40862000</v>
      </c>
      <c r="I603" s="69">
        <v>46076000</v>
      </c>
      <c r="J603" s="69">
        <v>50691000</v>
      </c>
      <c r="M603" s="57"/>
    </row>
    <row r="604" spans="1:13" x14ac:dyDescent="0.2">
      <c r="A604" s="75">
        <v>5505</v>
      </c>
      <c r="B604" s="70" t="s">
        <v>1064</v>
      </c>
      <c r="C604" s="69">
        <v>515840</v>
      </c>
      <c r="D604" s="69">
        <v>0</v>
      </c>
      <c r="E604" s="69">
        <v>0</v>
      </c>
      <c r="F604" s="69">
        <v>0</v>
      </c>
      <c r="G604" s="69">
        <v>0</v>
      </c>
      <c r="H604" s="69">
        <v>0</v>
      </c>
      <c r="I604" s="69">
        <v>0</v>
      </c>
      <c r="J604" s="69">
        <v>0</v>
      </c>
      <c r="M604" s="57"/>
    </row>
    <row r="605" spans="1:13" x14ac:dyDescent="0.2">
      <c r="A605" s="75">
        <v>5502</v>
      </c>
      <c r="B605" s="71" t="s">
        <v>1076</v>
      </c>
      <c r="C605" s="56">
        <v>594297</v>
      </c>
      <c r="D605" s="56">
        <v>1000000</v>
      </c>
      <c r="E605" s="56">
        <f>1000000</f>
        <v>1000000</v>
      </c>
      <c r="F605" s="56">
        <v>1000000</v>
      </c>
      <c r="G605" s="56">
        <v>1000000</v>
      </c>
      <c r="H605" s="56">
        <v>1250000</v>
      </c>
      <c r="I605" s="56">
        <v>1500000</v>
      </c>
      <c r="J605" s="56">
        <v>1500000</v>
      </c>
      <c r="M605" s="57"/>
    </row>
    <row r="606" spans="1:13" x14ac:dyDescent="0.2">
      <c r="A606" s="75"/>
      <c r="B606" s="58" t="s">
        <v>414</v>
      </c>
      <c r="C606" s="100">
        <f t="shared" ref="C606:J606" si="74">SUM(C603:C605)</f>
        <v>25942234</v>
      </c>
      <c r="D606" s="100">
        <f t="shared" si="74"/>
        <v>33087000</v>
      </c>
      <c r="E606" s="100">
        <f t="shared" si="74"/>
        <v>33768000</v>
      </c>
      <c r="F606" s="100">
        <f t="shared" si="74"/>
        <v>13584976</v>
      </c>
      <c r="G606" s="100">
        <f t="shared" si="74"/>
        <v>33181000</v>
      </c>
      <c r="H606" s="100">
        <f t="shared" si="74"/>
        <v>42112000</v>
      </c>
      <c r="I606" s="100">
        <f t="shared" si="74"/>
        <v>47576000</v>
      </c>
      <c r="J606" s="100">
        <f t="shared" si="74"/>
        <v>52191000</v>
      </c>
      <c r="M606" s="57"/>
    </row>
    <row r="607" spans="1:13" x14ac:dyDescent="0.2">
      <c r="A607" s="75"/>
      <c r="B607" s="70"/>
      <c r="C607" s="69"/>
      <c r="D607" s="69"/>
      <c r="E607" s="69"/>
      <c r="F607" s="24"/>
      <c r="G607" s="69"/>
      <c r="H607" s="69"/>
      <c r="I607" s="69"/>
      <c r="J607" s="69"/>
      <c r="M607" s="57"/>
    </row>
    <row r="608" spans="1:13" x14ac:dyDescent="0.2">
      <c r="B608" s="58" t="s">
        <v>423</v>
      </c>
      <c r="C608" s="99"/>
      <c r="D608" s="99"/>
      <c r="E608" s="99"/>
      <c r="G608" s="69"/>
      <c r="H608" s="69"/>
      <c r="I608" s="99"/>
      <c r="J608" s="99"/>
      <c r="M608" s="57"/>
    </row>
    <row r="609" spans="1:13" x14ac:dyDescent="0.2">
      <c r="A609" s="75">
        <v>5000</v>
      </c>
      <c r="B609" s="70" t="s">
        <v>2415</v>
      </c>
      <c r="C609" s="69">
        <v>12070</v>
      </c>
      <c r="D609" s="69">
        <v>12687</v>
      </c>
      <c r="E609" s="69">
        <v>12687</v>
      </c>
      <c r="F609" s="69">
        <v>12629</v>
      </c>
      <c r="G609" s="69">
        <f>F609/$F$11*$G$11</f>
        <v>15154.800000000001</v>
      </c>
      <c r="H609" s="69">
        <v>25000</v>
      </c>
      <c r="I609" s="69">
        <f t="shared" ref="I609:J613" si="75">ROUND(H609*1.06,0)</f>
        <v>26500</v>
      </c>
      <c r="J609" s="69">
        <f t="shared" si="75"/>
        <v>28090</v>
      </c>
      <c r="M609" s="57"/>
    </row>
    <row r="610" spans="1:13" x14ac:dyDescent="0.2">
      <c r="A610" s="75">
        <v>5634</v>
      </c>
      <c r="B610" s="70" t="s">
        <v>4079</v>
      </c>
      <c r="C610" s="69">
        <v>0</v>
      </c>
      <c r="D610" s="69">
        <v>0</v>
      </c>
      <c r="E610" s="69">
        <v>0</v>
      </c>
      <c r="F610" s="69">
        <v>0</v>
      </c>
      <c r="G610" s="69">
        <f>F610/$F$11*$G$11</f>
        <v>0</v>
      </c>
      <c r="H610" s="69">
        <v>0</v>
      </c>
      <c r="I610" s="69">
        <f t="shared" si="75"/>
        <v>0</v>
      </c>
      <c r="J610" s="69">
        <f t="shared" si="75"/>
        <v>0</v>
      </c>
      <c r="M610" s="57"/>
    </row>
    <row r="611" spans="1:13" x14ac:dyDescent="0.2">
      <c r="A611" s="75">
        <v>5802</v>
      </c>
      <c r="B611" s="70" t="s">
        <v>2398</v>
      </c>
      <c r="C611" s="69">
        <v>0</v>
      </c>
      <c r="D611" s="69">
        <v>0</v>
      </c>
      <c r="E611" s="69">
        <v>0</v>
      </c>
      <c r="F611" s="69">
        <v>0</v>
      </c>
      <c r="G611" s="69">
        <f>F611/$F$11*$G$11</f>
        <v>0</v>
      </c>
      <c r="H611" s="69">
        <v>0</v>
      </c>
      <c r="I611" s="69">
        <f t="shared" si="75"/>
        <v>0</v>
      </c>
      <c r="J611" s="69">
        <f t="shared" si="75"/>
        <v>0</v>
      </c>
      <c r="M611" s="57"/>
    </row>
    <row r="612" spans="1:13" x14ac:dyDescent="0.2">
      <c r="A612" s="75">
        <v>5820</v>
      </c>
      <c r="B612" s="70" t="s">
        <v>217</v>
      </c>
      <c r="C612" s="69">
        <v>5074</v>
      </c>
      <c r="D612" s="69">
        <v>0</v>
      </c>
      <c r="E612" s="69">
        <v>0</v>
      </c>
      <c r="F612" s="69">
        <v>206</v>
      </c>
      <c r="G612" s="69">
        <f>F612/$F$11*$G$11</f>
        <v>247.20000000000002</v>
      </c>
      <c r="H612" s="69">
        <v>500</v>
      </c>
      <c r="I612" s="69">
        <f t="shared" si="75"/>
        <v>530</v>
      </c>
      <c r="J612" s="69">
        <f t="shared" si="75"/>
        <v>562</v>
      </c>
      <c r="M612" s="57"/>
    </row>
    <row r="613" spans="1:13" x14ac:dyDescent="0.2">
      <c r="A613" s="75">
        <v>5807</v>
      </c>
      <c r="B613" s="71" t="s">
        <v>4080</v>
      </c>
      <c r="C613" s="56">
        <v>411489</v>
      </c>
      <c r="D613" s="56">
        <f>50000</f>
        <v>50000</v>
      </c>
      <c r="E613" s="56">
        <v>50000</v>
      </c>
      <c r="F613" s="56">
        <v>70186</v>
      </c>
      <c r="G613" s="56">
        <f>F613/$F$11*$G$11</f>
        <v>84223.200000000012</v>
      </c>
      <c r="H613" s="56">
        <v>20000</v>
      </c>
      <c r="I613" s="56">
        <f t="shared" si="75"/>
        <v>21200</v>
      </c>
      <c r="J613" s="56">
        <f t="shared" si="75"/>
        <v>22472</v>
      </c>
      <c r="M613" s="57"/>
    </row>
    <row r="614" spans="1:13" x14ac:dyDescent="0.2">
      <c r="B614" s="58" t="s">
        <v>424</v>
      </c>
      <c r="C614" s="100">
        <f t="shared" ref="C614:J614" si="76">SUM(C609:C613)</f>
        <v>428633</v>
      </c>
      <c r="D614" s="100">
        <f t="shared" si="76"/>
        <v>62687</v>
      </c>
      <c r="E614" s="100">
        <f t="shared" si="76"/>
        <v>62687</v>
      </c>
      <c r="F614" s="100">
        <f t="shared" si="76"/>
        <v>83021</v>
      </c>
      <c r="G614" s="100">
        <f t="shared" si="76"/>
        <v>99625.200000000012</v>
      </c>
      <c r="H614" s="100">
        <f t="shared" si="76"/>
        <v>45500</v>
      </c>
      <c r="I614" s="100">
        <f t="shared" si="76"/>
        <v>48230</v>
      </c>
      <c r="J614" s="100">
        <f t="shared" si="76"/>
        <v>51124</v>
      </c>
      <c r="M614" s="57"/>
    </row>
    <row r="615" spans="1:13" x14ac:dyDescent="0.2">
      <c r="B615" s="58"/>
      <c r="C615" s="99"/>
      <c r="D615" s="99"/>
      <c r="E615" s="99"/>
      <c r="F615" s="99"/>
      <c r="G615" s="99"/>
      <c r="H615" s="99"/>
      <c r="I615" s="99"/>
      <c r="J615" s="99"/>
      <c r="M615" s="57"/>
    </row>
    <row r="616" spans="1:13" ht="13.5" thickBot="1" x14ac:dyDescent="0.25">
      <c r="B616" s="65" t="s">
        <v>4043</v>
      </c>
      <c r="C616" s="66">
        <f t="shared" ref="C616:J616" si="77">+C596+C600+C606+C614</f>
        <v>26450190</v>
      </c>
      <c r="D616" s="66">
        <f t="shared" si="77"/>
        <v>33189998</v>
      </c>
      <c r="E616" s="66">
        <f t="shared" si="77"/>
        <v>33870998</v>
      </c>
      <c r="F616" s="66">
        <f t="shared" si="77"/>
        <v>13715159</v>
      </c>
      <c r="G616" s="66">
        <f t="shared" si="77"/>
        <v>33336178.800000001</v>
      </c>
      <c r="H616" s="66">
        <f t="shared" si="77"/>
        <v>42232800</v>
      </c>
      <c r="I616" s="66">
        <f t="shared" si="77"/>
        <v>47700060</v>
      </c>
      <c r="J616" s="66">
        <f t="shared" si="77"/>
        <v>52318537</v>
      </c>
      <c r="M616" s="57"/>
    </row>
    <row r="617" spans="1:13" ht="13.5" thickTop="1" x14ac:dyDescent="0.2">
      <c r="B617" s="58"/>
      <c r="C617" s="73"/>
      <c r="D617" s="73"/>
      <c r="E617" s="73"/>
      <c r="G617" s="69"/>
      <c r="H617" s="69"/>
      <c r="I617" s="73"/>
      <c r="J617" s="73"/>
      <c r="M617" s="57"/>
    </row>
    <row r="618" spans="1:13" x14ac:dyDescent="0.2">
      <c r="B618" s="50" t="s">
        <v>4018</v>
      </c>
      <c r="C618" s="50"/>
      <c r="D618" s="50"/>
      <c r="E618" s="50"/>
      <c r="G618" s="69"/>
      <c r="H618" s="69"/>
      <c r="I618" s="50"/>
      <c r="J618" s="50"/>
      <c r="M618" s="57"/>
    </row>
    <row r="619" spans="1:13" x14ac:dyDescent="0.2">
      <c r="B619" s="50"/>
      <c r="C619" s="50"/>
      <c r="D619" s="50"/>
      <c r="E619" s="50"/>
      <c r="G619" s="69"/>
      <c r="H619" s="69"/>
      <c r="I619" s="50"/>
      <c r="J619" s="50"/>
      <c r="M619" s="57"/>
    </row>
    <row r="620" spans="1:13" x14ac:dyDescent="0.2">
      <c r="B620" s="58" t="s">
        <v>4019</v>
      </c>
      <c r="C620" s="69"/>
      <c r="D620" s="69"/>
      <c r="E620" s="69"/>
      <c r="G620" s="69"/>
      <c r="H620" s="69"/>
      <c r="I620" s="69"/>
      <c r="J620" s="69"/>
      <c r="M620" s="57"/>
    </row>
    <row r="621" spans="1:13" x14ac:dyDescent="0.2">
      <c r="A621" s="60">
        <v>1001</v>
      </c>
      <c r="B621" s="70" t="s">
        <v>472</v>
      </c>
      <c r="C621" s="69">
        <v>1555486</v>
      </c>
      <c r="D621" s="69">
        <v>1671259</v>
      </c>
      <c r="E621" s="69">
        <v>1582381</v>
      </c>
      <c r="F621" s="69">
        <v>1213945</v>
      </c>
      <c r="G621" s="69">
        <f t="shared" ref="G621:G634" si="78">F621/$F$11*$G$11</f>
        <v>1456734</v>
      </c>
      <c r="H621" s="69">
        <f>[3]Salary_Bdgt!$H$126</f>
        <v>2235274</v>
      </c>
      <c r="I621" s="69">
        <f t="shared" ref="I621:J634" si="79">ROUND(H621*1.08,0)</f>
        <v>2414096</v>
      </c>
      <c r="J621" s="69">
        <f t="shared" si="79"/>
        <v>2607224</v>
      </c>
      <c r="M621" s="57"/>
    </row>
    <row r="622" spans="1:13" x14ac:dyDescent="0.2">
      <c r="A622" s="60">
        <v>1005</v>
      </c>
      <c r="B622" s="70" t="s">
        <v>473</v>
      </c>
      <c r="C622" s="69">
        <v>106374</v>
      </c>
      <c r="D622" s="69">
        <v>47164</v>
      </c>
      <c r="E622" s="69">
        <f>+D622+42442</f>
        <v>89606</v>
      </c>
      <c r="F622" s="69">
        <v>94497</v>
      </c>
      <c r="G622" s="69">
        <f t="shared" si="78"/>
        <v>113396.40000000001</v>
      </c>
      <c r="H622" s="69">
        <f>+[3]Salary_Bdgt!$L$126</f>
        <v>120010</v>
      </c>
      <c r="I622" s="69">
        <f t="shared" si="79"/>
        <v>129611</v>
      </c>
      <c r="J622" s="69">
        <f t="shared" si="79"/>
        <v>139980</v>
      </c>
      <c r="M622" s="57"/>
    </row>
    <row r="623" spans="1:13" x14ac:dyDescent="0.2">
      <c r="A623" s="60">
        <v>1006</v>
      </c>
      <c r="B623" s="70" t="s">
        <v>474</v>
      </c>
      <c r="C623" s="69">
        <v>263278</v>
      </c>
      <c r="D623" s="69">
        <v>188023</v>
      </c>
      <c r="E623" s="69">
        <f>+D623+35335</f>
        <v>223358</v>
      </c>
      <c r="F623" s="69">
        <v>231385</v>
      </c>
      <c r="G623" s="69">
        <f t="shared" si="78"/>
        <v>277662</v>
      </c>
      <c r="H623" s="69">
        <f>+[3]Salary_Bdgt!$N$126</f>
        <v>373090</v>
      </c>
      <c r="I623" s="69">
        <f t="shared" si="79"/>
        <v>402937</v>
      </c>
      <c r="J623" s="69">
        <f t="shared" si="79"/>
        <v>435172</v>
      </c>
      <c r="M623" s="57"/>
    </row>
    <row r="624" spans="1:13" x14ac:dyDescent="0.2">
      <c r="A624" s="60">
        <v>1007</v>
      </c>
      <c r="B624" s="70" t="s">
        <v>481</v>
      </c>
      <c r="C624" s="69">
        <v>15649</v>
      </c>
      <c r="D624" s="69">
        <v>25480</v>
      </c>
      <c r="E624" s="69">
        <f>+D624</f>
        <v>25480</v>
      </c>
      <c r="F624" s="69">
        <v>12925</v>
      </c>
      <c r="G624" s="69">
        <f t="shared" si="78"/>
        <v>15510</v>
      </c>
      <c r="H624" s="69">
        <f>+[3]Salary_Bdgt!$I$126</f>
        <v>33396</v>
      </c>
      <c r="I624" s="69">
        <f t="shared" si="79"/>
        <v>36068</v>
      </c>
      <c r="J624" s="69">
        <f t="shared" si="79"/>
        <v>38953</v>
      </c>
      <c r="M624" s="57"/>
    </row>
    <row r="625" spans="1:13" x14ac:dyDescent="0.2">
      <c r="A625" s="60">
        <v>1009</v>
      </c>
      <c r="B625" s="70" t="s">
        <v>482</v>
      </c>
      <c r="C625" s="69">
        <v>911</v>
      </c>
      <c r="D625" s="69">
        <f>[2]Sal_RIA!$M$90</f>
        <v>614</v>
      </c>
      <c r="E625" s="69">
        <f>+D625+96</f>
        <v>710</v>
      </c>
      <c r="F625" s="69">
        <v>735</v>
      </c>
      <c r="G625" s="69">
        <f t="shared" si="78"/>
        <v>882</v>
      </c>
      <c r="H625" s="69">
        <f>+[3]Salary_Bdgt!$M$126</f>
        <v>855</v>
      </c>
      <c r="I625" s="69">
        <f t="shared" si="79"/>
        <v>923</v>
      </c>
      <c r="J625" s="69">
        <f t="shared" si="79"/>
        <v>997</v>
      </c>
      <c r="M625" s="57"/>
    </row>
    <row r="626" spans="1:13" x14ac:dyDescent="0.2">
      <c r="A626" s="60">
        <v>1010</v>
      </c>
      <c r="B626" s="70" t="s">
        <v>28</v>
      </c>
      <c r="C626" s="69">
        <v>158494</v>
      </c>
      <c r="D626" s="69">
        <v>139272</v>
      </c>
      <c r="E626" s="69">
        <f>+D626</f>
        <v>139272</v>
      </c>
      <c r="F626" s="69">
        <v>106355</v>
      </c>
      <c r="G626" s="69">
        <f t="shared" si="78"/>
        <v>127626</v>
      </c>
      <c r="H626" s="69">
        <f>+[3]Salary_Bdgt!$Q$126</f>
        <v>186273</v>
      </c>
      <c r="I626" s="69">
        <f t="shared" si="79"/>
        <v>201175</v>
      </c>
      <c r="J626" s="69">
        <f t="shared" si="79"/>
        <v>217269</v>
      </c>
      <c r="M626" s="57"/>
    </row>
    <row r="627" spans="1:13" x14ac:dyDescent="0.2">
      <c r="A627" s="60">
        <v>1011</v>
      </c>
      <c r="B627" s="70" t="s">
        <v>4045</v>
      </c>
      <c r="C627" s="69">
        <v>5000</v>
      </c>
      <c r="D627" s="69">
        <v>0</v>
      </c>
      <c r="E627" s="69">
        <v>0</v>
      </c>
      <c r="F627" s="69">
        <v>0</v>
      </c>
      <c r="G627" s="69">
        <f t="shared" si="78"/>
        <v>0</v>
      </c>
      <c r="H627" s="69">
        <f>+[3]Salary_Bdgt!$U$126</f>
        <v>0</v>
      </c>
      <c r="I627" s="69">
        <f t="shared" si="79"/>
        <v>0</v>
      </c>
      <c r="J627" s="69">
        <f t="shared" si="79"/>
        <v>0</v>
      </c>
      <c r="M627" s="57"/>
    </row>
    <row r="628" spans="1:13" x14ac:dyDescent="0.2">
      <c r="A628" s="75">
        <v>1014</v>
      </c>
      <c r="B628" s="70" t="s">
        <v>36</v>
      </c>
      <c r="C628" s="69">
        <v>13746</v>
      </c>
      <c r="D628" s="69">
        <f>[2]Sal_RIA!$S$90</f>
        <v>10580</v>
      </c>
      <c r="E628" s="69">
        <f>+D628</f>
        <v>10580</v>
      </c>
      <c r="F628" s="69">
        <v>10169</v>
      </c>
      <c r="G628" s="69">
        <f t="shared" si="78"/>
        <v>12202.8</v>
      </c>
      <c r="H628" s="69">
        <f>+[3]Salary_Bdgt!$S$126</f>
        <v>12804</v>
      </c>
      <c r="I628" s="69">
        <f t="shared" si="79"/>
        <v>13828</v>
      </c>
      <c r="J628" s="69">
        <f t="shared" si="79"/>
        <v>14934</v>
      </c>
      <c r="M628" s="57"/>
    </row>
    <row r="629" spans="1:13" x14ac:dyDescent="0.2">
      <c r="A629" s="60">
        <v>1015</v>
      </c>
      <c r="B629" s="70" t="s">
        <v>445</v>
      </c>
      <c r="C629" s="69">
        <v>2980</v>
      </c>
      <c r="D629" s="69">
        <f>[2]Sal_RIA!$O$90+[2]Sal_RIA!$P$90</f>
        <v>0</v>
      </c>
      <c r="E629" s="69">
        <v>902</v>
      </c>
      <c r="F629" s="69">
        <v>949</v>
      </c>
      <c r="G629" s="69">
        <f t="shared" si="78"/>
        <v>1138.8000000000002</v>
      </c>
      <c r="H629" s="69">
        <f>+[3]Salary_Bdgt!$O$126+[3]Salary_Bdgt!$P$126+[3]Salary_Bdgt!$W$126</f>
        <v>0</v>
      </c>
      <c r="I629" s="69">
        <f t="shared" si="79"/>
        <v>0</v>
      </c>
      <c r="J629" s="69">
        <f t="shared" si="79"/>
        <v>0</v>
      </c>
      <c r="M629" s="57"/>
    </row>
    <row r="630" spans="1:13" x14ac:dyDescent="0.2">
      <c r="A630" s="60">
        <v>1016</v>
      </c>
      <c r="B630" s="70" t="s">
        <v>475</v>
      </c>
      <c r="C630" s="69">
        <v>0</v>
      </c>
      <c r="D630" s="69">
        <v>11022</v>
      </c>
      <c r="E630" s="69">
        <f>+D630+8903+1200</f>
        <v>21125</v>
      </c>
      <c r="F630" s="69">
        <f>24607+500</f>
        <v>25107</v>
      </c>
      <c r="G630" s="69">
        <f t="shared" si="78"/>
        <v>30128.399999999998</v>
      </c>
      <c r="H630" s="69">
        <f>+[3]Salary_Bdgt!$T$126+[3]Salary_Bdgt!$V$126</f>
        <v>29388</v>
      </c>
      <c r="I630" s="69">
        <f t="shared" si="79"/>
        <v>31739</v>
      </c>
      <c r="J630" s="69">
        <f t="shared" si="79"/>
        <v>34278</v>
      </c>
      <c r="M630" s="57"/>
    </row>
    <row r="631" spans="1:13" x14ac:dyDescent="0.2">
      <c r="A631" s="75">
        <v>1017</v>
      </c>
      <c r="B631" s="70" t="s">
        <v>4044</v>
      </c>
      <c r="C631" s="69">
        <v>18146</v>
      </c>
      <c r="D631" s="69">
        <v>33644</v>
      </c>
      <c r="E631" s="69">
        <f>+D631</f>
        <v>33644</v>
      </c>
      <c r="F631" s="69">
        <v>7966</v>
      </c>
      <c r="G631" s="69">
        <f t="shared" si="78"/>
        <v>9559.2000000000007</v>
      </c>
      <c r="H631" s="69">
        <f>+[3]Salary_Bdgt!$J$126</f>
        <v>45451</v>
      </c>
      <c r="I631" s="69">
        <f t="shared" si="79"/>
        <v>49087</v>
      </c>
      <c r="J631" s="69">
        <f t="shared" si="79"/>
        <v>53014</v>
      </c>
      <c r="M631" s="57"/>
    </row>
    <row r="632" spans="1:13" x14ac:dyDescent="0.2">
      <c r="A632" s="75">
        <v>1020</v>
      </c>
      <c r="B632" s="70" t="s">
        <v>4081</v>
      </c>
      <c r="C632" s="69">
        <v>238750</v>
      </c>
      <c r="D632" s="69">
        <v>331197</v>
      </c>
      <c r="E632" s="69">
        <f>+D632</f>
        <v>331197</v>
      </c>
      <c r="F632" s="69">
        <v>301286</v>
      </c>
      <c r="G632" s="69">
        <f t="shared" si="78"/>
        <v>361543.19999999995</v>
      </c>
      <c r="H632" s="69">
        <f>+[3]Salary_Bdgt!$Y$584</f>
        <v>196983</v>
      </c>
      <c r="I632" s="69">
        <f t="shared" si="79"/>
        <v>212742</v>
      </c>
      <c r="J632" s="69">
        <f t="shared" si="79"/>
        <v>229761</v>
      </c>
      <c r="M632" s="57"/>
    </row>
    <row r="633" spans="1:13" x14ac:dyDescent="0.2">
      <c r="A633" s="60">
        <v>1046</v>
      </c>
      <c r="B633" s="70" t="s">
        <v>491</v>
      </c>
      <c r="C633" s="69">
        <v>12684</v>
      </c>
      <c r="D633" s="69">
        <f>[2]Sal_RIA!$R$90</f>
        <v>0</v>
      </c>
      <c r="E633" s="69">
        <f>+D633</f>
        <v>0</v>
      </c>
      <c r="F633" s="69">
        <v>0</v>
      </c>
      <c r="G633" s="69">
        <f t="shared" si="78"/>
        <v>0</v>
      </c>
      <c r="H633" s="69">
        <f>+[3]Salary_Bdgt!$R$126</f>
        <v>32400</v>
      </c>
      <c r="I633" s="69">
        <f t="shared" si="79"/>
        <v>34992</v>
      </c>
      <c r="J633" s="69">
        <f t="shared" si="79"/>
        <v>37791</v>
      </c>
      <c r="M633" s="57"/>
    </row>
    <row r="634" spans="1:13" x14ac:dyDescent="0.2">
      <c r="A634" s="75">
        <v>1182</v>
      </c>
      <c r="B634" s="71" t="s">
        <v>1065</v>
      </c>
      <c r="C634" s="56">
        <v>16687</v>
      </c>
      <c r="D634" s="56">
        <v>31289</v>
      </c>
      <c r="E634" s="56">
        <f>+D634</f>
        <v>31289</v>
      </c>
      <c r="F634" s="56">
        <v>0</v>
      </c>
      <c r="G634" s="56">
        <f t="shared" si="78"/>
        <v>0</v>
      </c>
      <c r="H634" s="56">
        <f>+[3]Salary_Bdgt!$K$126</f>
        <v>42270</v>
      </c>
      <c r="I634" s="56">
        <f t="shared" si="79"/>
        <v>45652</v>
      </c>
      <c r="J634" s="56">
        <f t="shared" si="79"/>
        <v>49304</v>
      </c>
      <c r="M634" s="57"/>
    </row>
    <row r="635" spans="1:13" x14ac:dyDescent="0.2">
      <c r="A635" s="75"/>
      <c r="B635" s="58" t="s">
        <v>416</v>
      </c>
      <c r="C635" s="72">
        <f t="shared" ref="C635:J635" si="80">SUM(C621:C634)</f>
        <v>2408185</v>
      </c>
      <c r="D635" s="72">
        <f t="shared" si="80"/>
        <v>2489544</v>
      </c>
      <c r="E635" s="72">
        <f t="shared" si="80"/>
        <v>2489544</v>
      </c>
      <c r="F635" s="72">
        <f t="shared" si="80"/>
        <v>2005319</v>
      </c>
      <c r="G635" s="72">
        <f t="shared" si="80"/>
        <v>2406382.7999999998</v>
      </c>
      <c r="H635" s="72">
        <f t="shared" si="80"/>
        <v>3308194</v>
      </c>
      <c r="I635" s="72">
        <f t="shared" si="80"/>
        <v>3572850</v>
      </c>
      <c r="J635" s="72">
        <f t="shared" si="80"/>
        <v>3858677</v>
      </c>
      <c r="K635" s="473"/>
      <c r="L635" s="473"/>
      <c r="M635" s="57"/>
    </row>
    <row r="636" spans="1:13" x14ac:dyDescent="0.2">
      <c r="A636" s="75"/>
      <c r="B636" s="58"/>
      <c r="C636" s="69"/>
      <c r="D636" s="69"/>
      <c r="E636" s="69"/>
      <c r="G636" s="69"/>
      <c r="H636" s="69"/>
      <c r="I636" s="69"/>
      <c r="J636" s="69"/>
      <c r="M636" s="57"/>
    </row>
    <row r="637" spans="1:13" x14ac:dyDescent="0.2">
      <c r="A637" s="75"/>
      <c r="B637" s="58" t="s">
        <v>4021</v>
      </c>
      <c r="C637" s="69"/>
      <c r="D637" s="69"/>
      <c r="E637" s="69"/>
      <c r="G637" s="69"/>
      <c r="H637" s="69"/>
      <c r="I637" s="69"/>
      <c r="J637" s="69"/>
      <c r="M637" s="57"/>
    </row>
    <row r="638" spans="1:13" x14ac:dyDescent="0.2">
      <c r="A638" s="75">
        <v>3207</v>
      </c>
      <c r="B638" s="70" t="s">
        <v>4046</v>
      </c>
      <c r="C638" s="69">
        <v>0</v>
      </c>
      <c r="D638" s="69">
        <v>21000</v>
      </c>
      <c r="E638" s="69">
        <v>21000</v>
      </c>
      <c r="F638" s="69">
        <v>0</v>
      </c>
      <c r="G638" s="69">
        <f>F638/$F$11*$G$11</f>
        <v>0</v>
      </c>
      <c r="H638" s="69">
        <f>ROUND(E638*1.05,0)</f>
        <v>22050</v>
      </c>
      <c r="I638" s="69">
        <f>ROUND(H638*1.06,0)</f>
        <v>23373</v>
      </c>
      <c r="J638" s="69">
        <f>ROUND(I638*1.06,0)</f>
        <v>24775</v>
      </c>
      <c r="M638" s="57"/>
    </row>
    <row r="639" spans="1:13" x14ac:dyDescent="0.2">
      <c r="A639" s="75">
        <v>3215</v>
      </c>
      <c r="B639" s="71" t="s">
        <v>42</v>
      </c>
      <c r="C639" s="56">
        <v>20</v>
      </c>
      <c r="D639" s="56">
        <v>0</v>
      </c>
      <c r="E639" s="56">
        <v>0</v>
      </c>
      <c r="F639" s="56">
        <v>0</v>
      </c>
      <c r="G639" s="56">
        <f>F639/$F$11*$G$11</f>
        <v>0</v>
      </c>
      <c r="H639" s="56">
        <f>ROUND(E639*1.05,0)</f>
        <v>0</v>
      </c>
      <c r="I639" s="56">
        <f>ROUND(H639*1.06,0)</f>
        <v>0</v>
      </c>
      <c r="J639" s="56">
        <f>ROUND(I639*1.06,0)</f>
        <v>0</v>
      </c>
      <c r="M639" s="57"/>
    </row>
    <row r="640" spans="1:13" x14ac:dyDescent="0.2">
      <c r="A640" s="75"/>
      <c r="B640" s="58" t="s">
        <v>417</v>
      </c>
      <c r="C640" s="72">
        <f>SUM(C638:C639)</f>
        <v>20</v>
      </c>
      <c r="D640" s="72">
        <f t="shared" ref="D640:J640" si="81">SUM(D638:D639)</f>
        <v>21000</v>
      </c>
      <c r="E640" s="72">
        <f t="shared" si="81"/>
        <v>21000</v>
      </c>
      <c r="F640" s="72">
        <f t="shared" si="81"/>
        <v>0</v>
      </c>
      <c r="G640" s="72">
        <f t="shared" si="81"/>
        <v>0</v>
      </c>
      <c r="H640" s="72">
        <f t="shared" si="81"/>
        <v>22050</v>
      </c>
      <c r="I640" s="72">
        <f t="shared" si="81"/>
        <v>23373</v>
      </c>
      <c r="J640" s="72">
        <f t="shared" si="81"/>
        <v>24775</v>
      </c>
      <c r="M640" s="57"/>
    </row>
    <row r="641" spans="1:13" x14ac:dyDescent="0.2">
      <c r="A641" s="75"/>
      <c r="B641" s="58"/>
      <c r="C641" s="69"/>
      <c r="D641" s="69"/>
      <c r="E641" s="69"/>
      <c r="G641" s="69"/>
      <c r="H641" s="69"/>
      <c r="I641" s="69"/>
      <c r="J641" s="69"/>
      <c r="M641" s="57"/>
    </row>
    <row r="642" spans="1:13" x14ac:dyDescent="0.2">
      <c r="A642" s="75"/>
      <c r="B642" s="58" t="s">
        <v>425</v>
      </c>
      <c r="C642" s="69"/>
      <c r="D642" s="69"/>
      <c r="E642" s="69"/>
      <c r="G642" s="69"/>
      <c r="H642" s="69"/>
      <c r="I642" s="69"/>
      <c r="J642" s="69"/>
      <c r="M642" s="57"/>
    </row>
    <row r="643" spans="1:13" x14ac:dyDescent="0.2">
      <c r="A643" s="75">
        <v>2230</v>
      </c>
      <c r="B643" s="71" t="s">
        <v>2402</v>
      </c>
      <c r="C643" s="56">
        <v>0</v>
      </c>
      <c r="D643" s="56">
        <v>10000</v>
      </c>
      <c r="E643" s="56">
        <v>10000</v>
      </c>
      <c r="F643" s="56">
        <v>0</v>
      </c>
      <c r="G643" s="56">
        <f>F643/$F$11*$G$11</f>
        <v>0</v>
      </c>
      <c r="H643" s="56">
        <v>10000</v>
      </c>
      <c r="I643" s="56">
        <f>ROUND(H643*1.06,0)</f>
        <v>10600</v>
      </c>
      <c r="J643" s="56">
        <f>ROUND(I643*1.06,0)</f>
        <v>11236</v>
      </c>
      <c r="M643" s="57"/>
    </row>
    <row r="644" spans="1:13" x14ac:dyDescent="0.2">
      <c r="A644" s="75"/>
      <c r="B644" s="58" t="s">
        <v>426</v>
      </c>
      <c r="C644" s="72">
        <f t="shared" ref="C644:J644" si="82">SUM(C643)</f>
        <v>0</v>
      </c>
      <c r="D644" s="72">
        <f t="shared" si="82"/>
        <v>10000</v>
      </c>
      <c r="E644" s="72">
        <f t="shared" si="82"/>
        <v>10000</v>
      </c>
      <c r="F644" s="72">
        <f t="shared" si="82"/>
        <v>0</v>
      </c>
      <c r="G644" s="72">
        <f t="shared" si="82"/>
        <v>0</v>
      </c>
      <c r="H644" s="72">
        <f t="shared" si="82"/>
        <v>10000</v>
      </c>
      <c r="I644" s="72">
        <f t="shared" si="82"/>
        <v>10600</v>
      </c>
      <c r="J644" s="72">
        <f t="shared" si="82"/>
        <v>11236</v>
      </c>
      <c r="M644" s="57"/>
    </row>
    <row r="645" spans="1:13" x14ac:dyDescent="0.2">
      <c r="A645" s="75"/>
      <c r="B645" s="58"/>
      <c r="C645" s="69"/>
      <c r="D645" s="69"/>
      <c r="E645" s="69"/>
      <c r="G645" s="69"/>
      <c r="H645" s="69"/>
      <c r="I645" s="69"/>
      <c r="J645" s="69"/>
      <c r="M645" s="57"/>
    </row>
    <row r="646" spans="1:13" x14ac:dyDescent="0.2">
      <c r="A646" s="75"/>
      <c r="B646" s="58"/>
      <c r="C646" s="69"/>
      <c r="D646" s="69"/>
      <c r="E646" s="69"/>
      <c r="G646" s="69"/>
      <c r="H646" s="69"/>
      <c r="I646" s="69"/>
      <c r="J646" s="69"/>
      <c r="M646" s="57"/>
    </row>
    <row r="647" spans="1:13" x14ac:dyDescent="0.2">
      <c r="A647" s="75"/>
      <c r="B647" s="58"/>
      <c r="C647" s="69"/>
      <c r="D647" s="69"/>
      <c r="E647" s="69"/>
      <c r="G647" s="69"/>
      <c r="H647" s="69"/>
      <c r="I647" s="69"/>
      <c r="J647" s="69"/>
      <c r="M647" s="57"/>
    </row>
    <row r="648" spans="1:13" x14ac:dyDescent="0.2">
      <c r="A648" s="75"/>
      <c r="B648" s="58"/>
      <c r="C648" s="69"/>
      <c r="D648" s="69"/>
      <c r="E648" s="69"/>
      <c r="G648" s="69"/>
      <c r="H648" s="69"/>
      <c r="I648" s="69"/>
      <c r="J648" s="69"/>
      <c r="M648" s="57"/>
    </row>
    <row r="649" spans="1:13" x14ac:dyDescent="0.2">
      <c r="A649" s="75"/>
      <c r="B649" s="58"/>
      <c r="C649" s="69"/>
      <c r="D649" s="69"/>
      <c r="E649" s="69"/>
      <c r="G649" s="69"/>
      <c r="H649" s="69"/>
      <c r="I649" s="69"/>
      <c r="J649" s="69"/>
      <c r="M649" s="57"/>
    </row>
    <row r="650" spans="1:13" x14ac:dyDescent="0.2">
      <c r="A650" s="75"/>
      <c r="B650" s="58"/>
      <c r="C650" s="69"/>
      <c r="D650" s="69"/>
      <c r="E650" s="69"/>
      <c r="G650" s="69"/>
      <c r="H650" s="69"/>
      <c r="I650" s="69"/>
      <c r="J650" s="69"/>
      <c r="M650" s="57"/>
    </row>
    <row r="651" spans="1:13" x14ac:dyDescent="0.2">
      <c r="A651" s="75"/>
      <c r="B651" s="58"/>
      <c r="C651" s="69"/>
      <c r="D651" s="69"/>
      <c r="E651" s="69"/>
      <c r="G651" s="69"/>
      <c r="H651" s="69"/>
      <c r="I651" s="69"/>
      <c r="J651" s="69"/>
      <c r="M651" s="57"/>
    </row>
    <row r="652" spans="1:13" x14ac:dyDescent="0.2">
      <c r="A652" s="75"/>
      <c r="B652" s="58"/>
      <c r="C652" s="69"/>
      <c r="D652" s="69"/>
      <c r="E652" s="69"/>
      <c r="G652" s="69"/>
      <c r="H652" s="69"/>
      <c r="I652" s="69"/>
      <c r="J652" s="69"/>
      <c r="M652" s="57"/>
    </row>
    <row r="653" spans="1:13" x14ac:dyDescent="0.2">
      <c r="B653" s="103"/>
      <c r="C653" s="103"/>
      <c r="D653" s="103"/>
      <c r="E653" s="103"/>
      <c r="G653" s="69"/>
      <c r="H653" s="69"/>
      <c r="I653" s="103"/>
      <c r="J653" s="103"/>
      <c r="M653" s="57"/>
    </row>
    <row r="654" spans="1:13" x14ac:dyDescent="0.2">
      <c r="A654" s="6"/>
      <c r="B654" s="104"/>
      <c r="C654" s="104"/>
      <c r="D654" s="104"/>
      <c r="E654" s="104"/>
      <c r="G654" s="69"/>
      <c r="H654" s="69"/>
      <c r="I654" s="104"/>
      <c r="J654" s="104"/>
      <c r="M654" s="57"/>
    </row>
    <row r="655" spans="1:13" x14ac:dyDescent="0.2">
      <c r="A655" s="6"/>
      <c r="B655" s="104"/>
      <c r="C655" s="104"/>
      <c r="D655" s="104"/>
      <c r="E655" s="104"/>
      <c r="G655" s="69"/>
      <c r="H655" s="69"/>
      <c r="I655" s="104"/>
      <c r="J655" s="104"/>
      <c r="M655" s="57"/>
    </row>
    <row r="656" spans="1:13" x14ac:dyDescent="0.2">
      <c r="G656" s="69"/>
      <c r="H656" s="69"/>
      <c r="M656" s="57"/>
    </row>
    <row r="657" spans="1:13" x14ac:dyDescent="0.2">
      <c r="A657" s="6"/>
      <c r="B657" s="6"/>
      <c r="C657" s="6"/>
      <c r="D657" s="6"/>
      <c r="E657" s="6"/>
      <c r="G657" s="69"/>
      <c r="H657" s="69"/>
      <c r="I657" s="6"/>
      <c r="J657" s="6"/>
      <c r="M657" s="57"/>
    </row>
    <row r="658" spans="1:13" x14ac:dyDescent="0.2">
      <c r="A658" s="6"/>
      <c r="B658" s="6"/>
      <c r="C658" s="6"/>
      <c r="D658" s="6"/>
      <c r="E658" s="6"/>
      <c r="G658" s="69"/>
      <c r="H658" s="69"/>
      <c r="I658" s="6"/>
      <c r="J658" s="6"/>
      <c r="M658" s="57"/>
    </row>
    <row r="659" spans="1:13" x14ac:dyDescent="0.2">
      <c r="A659" s="6"/>
      <c r="B659" s="6"/>
      <c r="C659" s="6"/>
      <c r="D659" s="6"/>
      <c r="E659" s="6"/>
      <c r="G659" s="69"/>
      <c r="H659" s="69"/>
      <c r="I659" s="6"/>
      <c r="J659" s="6"/>
      <c r="M659" s="57"/>
    </row>
    <row r="660" spans="1:13" x14ac:dyDescent="0.2">
      <c r="A660" s="6"/>
      <c r="B660" s="6"/>
      <c r="C660" s="6"/>
      <c r="D660" s="6"/>
      <c r="E660" s="6"/>
      <c r="G660" s="69"/>
      <c r="H660" s="69"/>
      <c r="I660" s="6"/>
      <c r="J660" s="6"/>
      <c r="M660" s="57"/>
    </row>
    <row r="661" spans="1:13" x14ac:dyDescent="0.2">
      <c r="A661" s="6"/>
      <c r="B661" s="6"/>
      <c r="C661" s="6"/>
      <c r="D661" s="6"/>
      <c r="E661" s="6"/>
      <c r="G661" s="69"/>
      <c r="H661" s="69"/>
      <c r="I661" s="6"/>
      <c r="J661" s="6"/>
      <c r="M661" s="57"/>
    </row>
    <row r="662" spans="1:13" ht="15" x14ac:dyDescent="0.25">
      <c r="A662" s="91">
        <v>1110</v>
      </c>
      <c r="B662" s="48" t="s">
        <v>489</v>
      </c>
      <c r="C662" s="104"/>
      <c r="D662" s="104"/>
      <c r="E662" s="104"/>
      <c r="G662" s="69"/>
      <c r="H662" s="69"/>
      <c r="I662" s="104"/>
      <c r="J662" s="104"/>
      <c r="M662" s="57"/>
    </row>
    <row r="663" spans="1:13" x14ac:dyDescent="0.2">
      <c r="A663" s="6"/>
      <c r="B663" s="104"/>
      <c r="C663" s="104"/>
      <c r="D663" s="104"/>
      <c r="E663" s="104"/>
      <c r="G663" s="69"/>
      <c r="H663" s="69"/>
      <c r="I663" s="104"/>
      <c r="J663" s="104"/>
      <c r="M663" s="57"/>
    </row>
    <row r="664" spans="1:13" x14ac:dyDescent="0.2">
      <c r="A664" s="75"/>
      <c r="B664" s="58" t="s">
        <v>435</v>
      </c>
      <c r="C664" s="69"/>
      <c r="D664" s="69"/>
      <c r="E664" s="69"/>
      <c r="G664" s="69"/>
      <c r="H664" s="69"/>
      <c r="I664" s="69"/>
      <c r="J664" s="69"/>
      <c r="M664" s="57"/>
    </row>
    <row r="665" spans="1:13" x14ac:dyDescent="0.2">
      <c r="A665" s="75">
        <v>2013</v>
      </c>
      <c r="B665" s="70" t="s">
        <v>1067</v>
      </c>
      <c r="C665" s="69">
        <v>87414</v>
      </c>
      <c r="D665" s="69">
        <v>0</v>
      </c>
      <c r="E665" s="69">
        <v>0</v>
      </c>
      <c r="F665" s="69">
        <v>0</v>
      </c>
      <c r="G665" s="69">
        <v>0</v>
      </c>
      <c r="H665" s="69">
        <v>0</v>
      </c>
      <c r="I665" s="69">
        <f t="shared" ref="I665:J683" si="83">ROUND(H665*1.06,0)</f>
        <v>0</v>
      </c>
      <c r="J665" s="69">
        <f t="shared" si="83"/>
        <v>0</v>
      </c>
      <c r="M665" s="57"/>
    </row>
    <row r="666" spans="1:13" x14ac:dyDescent="0.2">
      <c r="A666" s="75">
        <v>2092</v>
      </c>
      <c r="B666" s="70" t="s">
        <v>4082</v>
      </c>
      <c r="C666" s="69">
        <v>135002</v>
      </c>
      <c r="D666" s="69">
        <v>115500</v>
      </c>
      <c r="E666" s="69">
        <v>115500</v>
      </c>
      <c r="F666" s="69">
        <v>151124</v>
      </c>
      <c r="G666" s="69">
        <f>F666/$F$11*$G$11</f>
        <v>181348.8</v>
      </c>
      <c r="H666" s="69">
        <f>ROUND(G666*1.05,0)+14488</f>
        <v>204904</v>
      </c>
      <c r="I666" s="69">
        <f t="shared" si="83"/>
        <v>217198</v>
      </c>
      <c r="J666" s="69">
        <f t="shared" si="83"/>
        <v>230230</v>
      </c>
      <c r="M666" s="57"/>
    </row>
    <row r="667" spans="1:13" x14ac:dyDescent="0.2">
      <c r="A667" s="75">
        <v>2103</v>
      </c>
      <c r="B667" s="70" t="s">
        <v>4083</v>
      </c>
      <c r="C667" s="69">
        <v>582442</v>
      </c>
      <c r="D667" s="69">
        <v>10000</v>
      </c>
      <c r="E667" s="69">
        <v>10000</v>
      </c>
      <c r="F667" s="69">
        <v>90</v>
      </c>
      <c r="G667" s="69">
        <f>F667/$F$11*$G$11</f>
        <v>108</v>
      </c>
      <c r="H667" s="69">
        <f t="shared" ref="H667:H678" si="84">ROUND(E667*1.05,0)</f>
        <v>10500</v>
      </c>
      <c r="I667" s="69">
        <f t="shared" si="83"/>
        <v>11130</v>
      </c>
      <c r="J667" s="69">
        <f t="shared" si="83"/>
        <v>11798</v>
      </c>
      <c r="M667" s="57"/>
    </row>
    <row r="668" spans="1:13" x14ac:dyDescent="0.2">
      <c r="A668" s="75">
        <v>2104</v>
      </c>
      <c r="B668" s="70" t="s">
        <v>2414</v>
      </c>
      <c r="C668" s="69">
        <v>2795955</v>
      </c>
      <c r="D668" s="69">
        <v>1042000</v>
      </c>
      <c r="E668" s="69">
        <v>1042000</v>
      </c>
      <c r="F668" s="69">
        <v>1965616</v>
      </c>
      <c r="G668" s="69">
        <f>F668/$F$11*$G$11</f>
        <v>2358739.2000000002</v>
      </c>
      <c r="H668" s="69">
        <f t="shared" si="84"/>
        <v>1094100</v>
      </c>
      <c r="I668" s="69">
        <f t="shared" si="83"/>
        <v>1159746</v>
      </c>
      <c r="J668" s="69">
        <f t="shared" si="83"/>
        <v>1229331</v>
      </c>
      <c r="M668" s="57"/>
    </row>
    <row r="669" spans="1:13" x14ac:dyDescent="0.2">
      <c r="A669" s="60">
        <v>2113</v>
      </c>
      <c r="B669" s="70" t="s">
        <v>21</v>
      </c>
      <c r="C669" s="69">
        <v>88008</v>
      </c>
      <c r="D669" s="69">
        <v>126000</v>
      </c>
      <c r="E669" s="69">
        <v>126000</v>
      </c>
      <c r="F669" s="69">
        <v>100438</v>
      </c>
      <c r="G669" s="69">
        <f t="shared" ref="G669:G677" si="85">F669/$F$11*$G$11</f>
        <v>120525.59999999999</v>
      </c>
      <c r="H669" s="69">
        <f t="shared" si="84"/>
        <v>132300</v>
      </c>
      <c r="I669" s="69">
        <f t="shared" si="83"/>
        <v>140238</v>
      </c>
      <c r="J669" s="69">
        <f t="shared" si="83"/>
        <v>148652</v>
      </c>
      <c r="M669" s="57"/>
    </row>
    <row r="670" spans="1:13" x14ac:dyDescent="0.2">
      <c r="A670" s="75">
        <v>2200</v>
      </c>
      <c r="B670" s="70" t="s">
        <v>487</v>
      </c>
      <c r="C670" s="69">
        <v>1045961</v>
      </c>
      <c r="D670" s="69">
        <v>525000</v>
      </c>
      <c r="E670" s="69">
        <f>525000+43000+400000-68000</f>
        <v>900000</v>
      </c>
      <c r="F670" s="69">
        <v>1301565</v>
      </c>
      <c r="G670" s="69">
        <f t="shared" si="85"/>
        <v>1561878</v>
      </c>
      <c r="H670" s="69">
        <f t="shared" si="84"/>
        <v>945000</v>
      </c>
      <c r="I670" s="69">
        <f t="shared" si="83"/>
        <v>1001700</v>
      </c>
      <c r="J670" s="69">
        <f t="shared" si="83"/>
        <v>1061802</v>
      </c>
      <c r="M670" s="57"/>
    </row>
    <row r="671" spans="1:13" x14ac:dyDescent="0.2">
      <c r="A671" s="75">
        <v>2208</v>
      </c>
      <c r="B671" s="70" t="s">
        <v>213</v>
      </c>
      <c r="C671" s="69">
        <v>989</v>
      </c>
      <c r="D671" s="69">
        <v>0</v>
      </c>
      <c r="E671" s="69">
        <v>0</v>
      </c>
      <c r="F671" s="69">
        <v>0</v>
      </c>
      <c r="G671" s="69">
        <f t="shared" si="85"/>
        <v>0</v>
      </c>
      <c r="H671" s="69">
        <f t="shared" si="84"/>
        <v>0</v>
      </c>
      <c r="I671" s="69">
        <f t="shared" si="83"/>
        <v>0</v>
      </c>
      <c r="J671" s="69">
        <f t="shared" si="83"/>
        <v>0</v>
      </c>
      <c r="M671" s="57"/>
    </row>
    <row r="672" spans="1:13" x14ac:dyDescent="0.2">
      <c r="A672" s="60">
        <v>2212</v>
      </c>
      <c r="B672" s="70" t="s">
        <v>488</v>
      </c>
      <c r="C672" s="69">
        <v>129054</v>
      </c>
      <c r="D672" s="69">
        <v>130000</v>
      </c>
      <c r="E672" s="69">
        <f>130000+32624</f>
        <v>162624</v>
      </c>
      <c r="F672" s="69">
        <v>214051</v>
      </c>
      <c r="G672" s="69">
        <f t="shared" si="85"/>
        <v>256861.19999999998</v>
      </c>
      <c r="H672" s="69">
        <f t="shared" si="84"/>
        <v>170755</v>
      </c>
      <c r="I672" s="69">
        <f t="shared" si="83"/>
        <v>181000</v>
      </c>
      <c r="J672" s="69">
        <f t="shared" si="83"/>
        <v>191860</v>
      </c>
      <c r="M672" s="57"/>
    </row>
    <row r="673" spans="1:13" x14ac:dyDescent="0.2">
      <c r="A673" s="60">
        <v>2217</v>
      </c>
      <c r="B673" s="70" t="s">
        <v>252</v>
      </c>
      <c r="C673" s="69">
        <v>3509</v>
      </c>
      <c r="D673" s="69">
        <v>0</v>
      </c>
      <c r="E673" s="69">
        <v>0</v>
      </c>
      <c r="F673" s="69">
        <v>0</v>
      </c>
      <c r="G673" s="69">
        <f t="shared" si="85"/>
        <v>0</v>
      </c>
      <c r="H673" s="69">
        <f t="shared" si="84"/>
        <v>0</v>
      </c>
      <c r="I673" s="69">
        <f t="shared" si="83"/>
        <v>0</v>
      </c>
      <c r="J673" s="69">
        <f t="shared" si="83"/>
        <v>0</v>
      </c>
      <c r="M673" s="57"/>
    </row>
    <row r="674" spans="1:13" x14ac:dyDescent="0.2">
      <c r="A674" s="75">
        <v>2218</v>
      </c>
      <c r="B674" s="70" t="s">
        <v>22</v>
      </c>
      <c r="C674" s="69">
        <v>217753</v>
      </c>
      <c r="D674" s="69">
        <v>0</v>
      </c>
      <c r="E674" s="69">
        <v>0</v>
      </c>
      <c r="F674" s="69">
        <v>1400</v>
      </c>
      <c r="G674" s="69">
        <f t="shared" si="85"/>
        <v>1680</v>
      </c>
      <c r="H674" s="69">
        <f t="shared" si="84"/>
        <v>0</v>
      </c>
      <c r="I674" s="69">
        <f t="shared" si="83"/>
        <v>0</v>
      </c>
      <c r="J674" s="69">
        <f t="shared" si="83"/>
        <v>0</v>
      </c>
      <c r="M674" s="57"/>
    </row>
    <row r="675" spans="1:13" x14ac:dyDescent="0.2">
      <c r="A675" s="75">
        <v>2221</v>
      </c>
      <c r="B675" s="70" t="s">
        <v>23</v>
      </c>
      <c r="C675" s="69">
        <v>7724</v>
      </c>
      <c r="D675" s="69">
        <v>0</v>
      </c>
      <c r="E675" s="69">
        <v>0</v>
      </c>
      <c r="F675" s="69">
        <v>0</v>
      </c>
      <c r="G675" s="69">
        <f t="shared" si="85"/>
        <v>0</v>
      </c>
      <c r="H675" s="69">
        <f t="shared" si="84"/>
        <v>0</v>
      </c>
      <c r="I675" s="69">
        <f t="shared" si="83"/>
        <v>0</v>
      </c>
      <c r="J675" s="69">
        <f t="shared" si="83"/>
        <v>0</v>
      </c>
      <c r="M675" s="57"/>
    </row>
    <row r="676" spans="1:13" x14ac:dyDescent="0.2">
      <c r="A676" s="75">
        <v>2225</v>
      </c>
      <c r="B676" s="70" t="s">
        <v>477</v>
      </c>
      <c r="C676" s="69">
        <v>13921</v>
      </c>
      <c r="D676" s="69">
        <v>0</v>
      </c>
      <c r="E676" s="69">
        <v>0</v>
      </c>
      <c r="F676" s="69">
        <v>0</v>
      </c>
      <c r="G676" s="69">
        <f t="shared" si="85"/>
        <v>0</v>
      </c>
      <c r="H676" s="69">
        <f t="shared" si="84"/>
        <v>0</v>
      </c>
      <c r="I676" s="69">
        <f t="shared" si="83"/>
        <v>0</v>
      </c>
      <c r="J676" s="69">
        <f t="shared" si="83"/>
        <v>0</v>
      </c>
      <c r="M676" s="57"/>
    </row>
    <row r="677" spans="1:13" x14ac:dyDescent="0.2">
      <c r="A677" s="75">
        <v>2226</v>
      </c>
      <c r="B677" s="70" t="s">
        <v>4051</v>
      </c>
      <c r="C677" s="69">
        <v>4487</v>
      </c>
      <c r="D677" s="69">
        <v>0</v>
      </c>
      <c r="E677" s="69">
        <v>0</v>
      </c>
      <c r="F677" s="69">
        <v>10850</v>
      </c>
      <c r="G677" s="69">
        <f t="shared" si="85"/>
        <v>13020</v>
      </c>
      <c r="H677" s="69">
        <f t="shared" si="84"/>
        <v>0</v>
      </c>
      <c r="I677" s="69">
        <f t="shared" si="83"/>
        <v>0</v>
      </c>
      <c r="J677" s="69">
        <f t="shared" si="83"/>
        <v>0</v>
      </c>
      <c r="M677" s="57"/>
    </row>
    <row r="678" spans="1:13" x14ac:dyDescent="0.2">
      <c r="A678" s="75">
        <v>2227</v>
      </c>
      <c r="B678" s="70" t="s">
        <v>448</v>
      </c>
      <c r="C678" s="69">
        <v>1579</v>
      </c>
      <c r="D678" s="69">
        <v>52500</v>
      </c>
      <c r="E678" s="69">
        <f>52500-43000</f>
        <v>9500</v>
      </c>
      <c r="F678" s="69">
        <v>606</v>
      </c>
      <c r="G678" s="69">
        <f>F678/$F$11*$G$11</f>
        <v>727.2</v>
      </c>
      <c r="H678" s="69">
        <f t="shared" si="84"/>
        <v>9975</v>
      </c>
      <c r="I678" s="69">
        <f t="shared" si="83"/>
        <v>10574</v>
      </c>
      <c r="J678" s="69">
        <f t="shared" si="83"/>
        <v>11208</v>
      </c>
      <c r="M678" s="57"/>
    </row>
    <row r="679" spans="1:13" x14ac:dyDescent="0.2">
      <c r="A679" s="60">
        <v>2233</v>
      </c>
      <c r="B679" s="70" t="s">
        <v>497</v>
      </c>
      <c r="C679" s="69">
        <v>12631</v>
      </c>
      <c r="D679" s="69">
        <v>63000</v>
      </c>
      <c r="E679" s="69">
        <f>63000</f>
        <v>63000</v>
      </c>
      <c r="F679" s="69">
        <v>0</v>
      </c>
      <c r="G679" s="69">
        <f>F679/$F$11*$G$11</f>
        <v>0</v>
      </c>
      <c r="H679" s="69">
        <v>0</v>
      </c>
      <c r="I679" s="69">
        <f t="shared" si="83"/>
        <v>0</v>
      </c>
      <c r="J679" s="69">
        <f t="shared" si="83"/>
        <v>0</v>
      </c>
      <c r="M679" s="57"/>
    </row>
    <row r="680" spans="1:13" x14ac:dyDescent="0.2">
      <c r="A680" s="75">
        <v>2238</v>
      </c>
      <c r="B680" s="70" t="s">
        <v>479</v>
      </c>
      <c r="C680" s="69">
        <v>22176</v>
      </c>
      <c r="D680" s="69">
        <v>73500</v>
      </c>
      <c r="E680" s="69">
        <f>73500+50000</f>
        <v>123500</v>
      </c>
      <c r="F680" s="69">
        <v>74916</v>
      </c>
      <c r="G680" s="69">
        <f>F680/$F$11*$G$11</f>
        <v>89899.200000000012</v>
      </c>
      <c r="H680" s="69">
        <f>ROUND(E680*1.05,0)</f>
        <v>129675</v>
      </c>
      <c r="I680" s="69">
        <f t="shared" si="83"/>
        <v>137456</v>
      </c>
      <c r="J680" s="69">
        <f t="shared" si="83"/>
        <v>145703</v>
      </c>
      <c r="M680" s="57"/>
    </row>
    <row r="681" spans="1:13" x14ac:dyDescent="0.2">
      <c r="A681" s="60">
        <v>2246</v>
      </c>
      <c r="B681" s="70" t="s">
        <v>2422</v>
      </c>
      <c r="C681" s="69">
        <v>156582</v>
      </c>
      <c r="D681" s="69">
        <v>200000</v>
      </c>
      <c r="E681" s="69">
        <f>200000-32624</f>
        <v>167376</v>
      </c>
      <c r="F681" s="69">
        <v>160672</v>
      </c>
      <c r="G681" s="69">
        <f>F681/$F$11*$G$11</f>
        <v>192806.40000000002</v>
      </c>
      <c r="H681" s="69">
        <f>ROUND(E681*1.05,0)</f>
        <v>175745</v>
      </c>
      <c r="I681" s="69">
        <f t="shared" si="83"/>
        <v>186290</v>
      </c>
      <c r="J681" s="69">
        <f t="shared" si="83"/>
        <v>197467</v>
      </c>
      <c r="M681" s="57"/>
    </row>
    <row r="682" spans="1:13" x14ac:dyDescent="0.2">
      <c r="A682" s="75">
        <v>2305</v>
      </c>
      <c r="B682" s="70" t="s">
        <v>31</v>
      </c>
      <c r="C682" s="69">
        <v>69</v>
      </c>
      <c r="D682" s="69">
        <v>1050</v>
      </c>
      <c r="E682" s="69">
        <v>1050</v>
      </c>
      <c r="F682" s="69">
        <v>163</v>
      </c>
      <c r="G682" s="69">
        <f>F682/$F$11*$G$11</f>
        <v>195.60000000000002</v>
      </c>
      <c r="H682" s="69">
        <f>ROUND(E682*1.05,0)</f>
        <v>1103</v>
      </c>
      <c r="I682" s="69">
        <f t="shared" si="83"/>
        <v>1169</v>
      </c>
      <c r="J682" s="69">
        <f t="shared" si="83"/>
        <v>1239</v>
      </c>
      <c r="M682" s="57"/>
    </row>
    <row r="683" spans="1:13" x14ac:dyDescent="0.2">
      <c r="A683" s="75">
        <v>2502</v>
      </c>
      <c r="B683" s="71" t="s">
        <v>2408</v>
      </c>
      <c r="C683" s="56">
        <v>1042586</v>
      </c>
      <c r="D683" s="56">
        <v>0</v>
      </c>
      <c r="E683" s="56">
        <v>0</v>
      </c>
      <c r="F683" s="56">
        <v>49775</v>
      </c>
      <c r="G683" s="56">
        <v>0</v>
      </c>
      <c r="H683" s="56">
        <f>ROUND(E683*1.05,0)</f>
        <v>0</v>
      </c>
      <c r="I683" s="56">
        <f t="shared" si="83"/>
        <v>0</v>
      </c>
      <c r="J683" s="56">
        <f t="shared" si="83"/>
        <v>0</v>
      </c>
      <c r="M683" s="57"/>
    </row>
    <row r="684" spans="1:13" x14ac:dyDescent="0.2">
      <c r="A684" s="148"/>
      <c r="B684" s="58" t="s">
        <v>436</v>
      </c>
      <c r="C684" s="72">
        <f>SUM(C665:C683)</f>
        <v>6347842</v>
      </c>
      <c r="D684" s="72">
        <f t="shared" ref="D684:J684" si="86">SUM(D665:D683)</f>
        <v>2338550</v>
      </c>
      <c r="E684" s="72">
        <f t="shared" si="86"/>
        <v>2720550</v>
      </c>
      <c r="F684" s="72">
        <f t="shared" si="86"/>
        <v>4031266</v>
      </c>
      <c r="G684" s="72">
        <f t="shared" si="86"/>
        <v>4777789.2</v>
      </c>
      <c r="H684" s="72">
        <f t="shared" si="86"/>
        <v>2874057</v>
      </c>
      <c r="I684" s="72">
        <f t="shared" si="86"/>
        <v>3046501</v>
      </c>
      <c r="J684" s="72">
        <f t="shared" si="86"/>
        <v>3229290</v>
      </c>
      <c r="M684" s="57"/>
    </row>
    <row r="685" spans="1:13" x14ac:dyDescent="0.2">
      <c r="A685" s="75"/>
      <c r="B685" s="61"/>
      <c r="C685" s="89"/>
      <c r="D685" s="89"/>
      <c r="E685" s="89"/>
      <c r="F685" s="89"/>
      <c r="G685" s="89"/>
      <c r="H685" s="89"/>
      <c r="I685" s="89"/>
      <c r="J685" s="89"/>
      <c r="M685" s="57"/>
    </row>
    <row r="686" spans="1:13" x14ac:dyDescent="0.2">
      <c r="A686" s="75"/>
      <c r="B686" s="58" t="s">
        <v>4055</v>
      </c>
      <c r="C686" s="73">
        <f t="shared" ref="C686:J686" si="87">C635+C640+C644+C684</f>
        <v>8756047</v>
      </c>
      <c r="D686" s="73">
        <f t="shared" si="87"/>
        <v>4859094</v>
      </c>
      <c r="E686" s="73">
        <f t="shared" si="87"/>
        <v>5241094</v>
      </c>
      <c r="F686" s="73">
        <f t="shared" si="87"/>
        <v>6036585</v>
      </c>
      <c r="G686" s="73">
        <f t="shared" si="87"/>
        <v>7184172</v>
      </c>
      <c r="H686" s="73">
        <f t="shared" si="87"/>
        <v>6214301</v>
      </c>
      <c r="I686" s="73">
        <f t="shared" si="87"/>
        <v>6653324</v>
      </c>
      <c r="J686" s="73">
        <f t="shared" si="87"/>
        <v>7123978</v>
      </c>
      <c r="M686" s="57"/>
    </row>
    <row r="687" spans="1:13" x14ac:dyDescent="0.2">
      <c r="A687" s="75"/>
      <c r="B687" s="58"/>
      <c r="C687" s="96"/>
      <c r="D687" s="96"/>
      <c r="E687" s="96"/>
      <c r="G687" s="69"/>
      <c r="H687" s="69"/>
      <c r="I687" s="96"/>
      <c r="J687" s="96"/>
      <c r="M687" s="57"/>
    </row>
    <row r="688" spans="1:13" x14ac:dyDescent="0.2">
      <c r="A688" s="75"/>
      <c r="B688" s="58" t="s">
        <v>418</v>
      </c>
      <c r="C688" s="69"/>
      <c r="D688" s="69"/>
      <c r="E688" s="69"/>
      <c r="G688" s="69"/>
      <c r="H688" s="69"/>
      <c r="I688" s="69"/>
      <c r="J688" s="69"/>
      <c r="M688" s="57"/>
    </row>
    <row r="689" spans="1:13" x14ac:dyDescent="0.2">
      <c r="A689" s="75">
        <v>4204</v>
      </c>
      <c r="B689" s="70" t="s">
        <v>4058</v>
      </c>
      <c r="C689" s="69">
        <v>25751</v>
      </c>
      <c r="D689" s="69">
        <v>78942</v>
      </c>
      <c r="E689" s="69">
        <v>78942</v>
      </c>
      <c r="F689" s="69">
        <f>78942/12*5</f>
        <v>32892.5</v>
      </c>
      <c r="G689" s="69">
        <f>F689/$F$11*$G$11</f>
        <v>39471</v>
      </c>
      <c r="H689" s="69">
        <f>ROUND(E689*1.08,0)</f>
        <v>85257</v>
      </c>
      <c r="I689" s="69">
        <f>ROUND(H689*1.08,0)</f>
        <v>92078</v>
      </c>
      <c r="J689" s="69">
        <f>ROUND(I689*1.08,0)</f>
        <v>99444</v>
      </c>
      <c r="M689" s="57"/>
    </row>
    <row r="690" spans="1:13" x14ac:dyDescent="0.2">
      <c r="A690" s="75">
        <v>4207</v>
      </c>
      <c r="B690" s="70" t="s">
        <v>222</v>
      </c>
      <c r="C690" s="69">
        <f>61434+17</f>
        <v>61451</v>
      </c>
      <c r="D690" s="69">
        <v>75002</v>
      </c>
      <c r="E690" s="69">
        <v>75002</v>
      </c>
      <c r="F690" s="69">
        <f>75002/12*5</f>
        <v>31250.833333333336</v>
      </c>
      <c r="G690" s="69">
        <f>F690/$F$11*$G$11</f>
        <v>37501</v>
      </c>
      <c r="H690" s="69">
        <f>ROUND(E690*1.08,0)</f>
        <v>81002</v>
      </c>
      <c r="I690" s="69">
        <f>ROUND(D690*1.05,0)</f>
        <v>78752</v>
      </c>
      <c r="J690" s="69">
        <f>ROUND(I690*1.05,0)</f>
        <v>82690</v>
      </c>
      <c r="M690" s="57"/>
    </row>
    <row r="691" spans="1:13" x14ac:dyDescent="0.2">
      <c r="A691" s="75">
        <v>4209</v>
      </c>
      <c r="B691" s="70" t="s">
        <v>4084</v>
      </c>
      <c r="C691" s="69">
        <v>264938</v>
      </c>
      <c r="D691" s="69">
        <v>0</v>
      </c>
      <c r="E691" s="69">
        <v>0</v>
      </c>
      <c r="F691" s="69">
        <v>250000</v>
      </c>
      <c r="G691" s="69">
        <v>250000</v>
      </c>
      <c r="H691" s="69">
        <v>0</v>
      </c>
      <c r="I691" s="69">
        <f>ROUND(D691*1.05,0)</f>
        <v>0</v>
      </c>
      <c r="J691" s="69">
        <f>ROUND(I691*1.05,0)</f>
        <v>0</v>
      </c>
      <c r="M691" s="57"/>
    </row>
    <row r="692" spans="1:13" x14ac:dyDescent="0.2">
      <c r="A692" s="75"/>
      <c r="B692" s="70" t="s">
        <v>1091</v>
      </c>
      <c r="C692" s="69">
        <f t="shared" ref="C692:J692" si="88">C20</f>
        <v>493000</v>
      </c>
      <c r="D692" s="69">
        <f t="shared" si="88"/>
        <v>587000</v>
      </c>
      <c r="E692" s="69">
        <f t="shared" si="88"/>
        <v>587000</v>
      </c>
      <c r="F692" s="69">
        <f t="shared" si="88"/>
        <v>587000</v>
      </c>
      <c r="G692" s="69">
        <f t="shared" si="88"/>
        <v>587000</v>
      </c>
      <c r="H692" s="69">
        <f t="shared" si="88"/>
        <v>653000</v>
      </c>
      <c r="I692" s="69">
        <f t="shared" si="88"/>
        <v>695000</v>
      </c>
      <c r="J692" s="69">
        <f t="shared" si="88"/>
        <v>729000</v>
      </c>
      <c r="M692" s="57"/>
    </row>
    <row r="693" spans="1:13" s="9" customFormat="1" x14ac:dyDescent="0.2">
      <c r="A693" s="75"/>
      <c r="B693" s="70" t="s">
        <v>4085</v>
      </c>
      <c r="C693" s="69">
        <f t="shared" ref="C693:J693" si="89">+C2913</f>
        <v>722712</v>
      </c>
      <c r="D693" s="69">
        <f t="shared" si="89"/>
        <v>582909</v>
      </c>
      <c r="E693" s="69">
        <f t="shared" si="89"/>
        <v>782909</v>
      </c>
      <c r="F693" s="69">
        <f t="shared" si="89"/>
        <v>689865</v>
      </c>
      <c r="G693" s="69">
        <f t="shared" si="89"/>
        <v>827838</v>
      </c>
      <c r="H693" s="69">
        <f t="shared" si="89"/>
        <v>0</v>
      </c>
      <c r="I693" s="69">
        <f t="shared" si="89"/>
        <v>0</v>
      </c>
      <c r="J693" s="69">
        <f t="shared" si="89"/>
        <v>0</v>
      </c>
      <c r="M693" s="57"/>
    </row>
    <row r="694" spans="1:13" s="9" customFormat="1" x14ac:dyDescent="0.2">
      <c r="A694" s="75"/>
      <c r="B694" s="70" t="s">
        <v>198</v>
      </c>
      <c r="C694" s="69">
        <f t="shared" ref="C694:J694" si="90">+C1205</f>
        <v>0</v>
      </c>
      <c r="D694" s="69">
        <f t="shared" si="90"/>
        <v>0</v>
      </c>
      <c r="E694" s="69">
        <f t="shared" si="90"/>
        <v>681000</v>
      </c>
      <c r="F694" s="69">
        <f t="shared" si="90"/>
        <v>681000</v>
      </c>
      <c r="G694" s="69">
        <f t="shared" si="90"/>
        <v>681000</v>
      </c>
      <c r="H694" s="69">
        <f t="shared" si="90"/>
        <v>0</v>
      </c>
      <c r="I694" s="69">
        <f t="shared" si="90"/>
        <v>0</v>
      </c>
      <c r="J694" s="69">
        <f t="shared" si="90"/>
        <v>0</v>
      </c>
      <c r="M694" s="57"/>
    </row>
    <row r="695" spans="1:13" s="9" customFormat="1" x14ac:dyDescent="0.2">
      <c r="A695" s="75"/>
      <c r="B695" s="70" t="s">
        <v>199</v>
      </c>
      <c r="C695" s="69">
        <f t="shared" ref="C695:J695" si="91">+C2766</f>
        <v>3752901</v>
      </c>
      <c r="D695" s="69">
        <f t="shared" si="91"/>
        <v>394440</v>
      </c>
      <c r="E695" s="69">
        <f t="shared" si="91"/>
        <v>394440</v>
      </c>
      <c r="F695" s="69">
        <f t="shared" si="91"/>
        <v>0</v>
      </c>
      <c r="G695" s="69">
        <f t="shared" si="91"/>
        <v>0</v>
      </c>
      <c r="H695" s="69">
        <f t="shared" si="91"/>
        <v>3563473</v>
      </c>
      <c r="I695" s="69">
        <f t="shared" si="91"/>
        <v>3477677</v>
      </c>
      <c r="J695" s="69">
        <f t="shared" si="91"/>
        <v>3387096</v>
      </c>
      <c r="M695" s="57"/>
    </row>
    <row r="696" spans="1:13" s="9" customFormat="1" x14ac:dyDescent="0.2">
      <c r="A696" s="75"/>
      <c r="B696" s="70" t="s">
        <v>200</v>
      </c>
      <c r="C696" s="69">
        <f t="shared" ref="C696:J696" si="92">+C1985</f>
        <v>17708</v>
      </c>
      <c r="D696" s="69">
        <f t="shared" si="92"/>
        <v>233500</v>
      </c>
      <c r="E696" s="69">
        <f t="shared" si="92"/>
        <v>133500</v>
      </c>
      <c r="F696" s="69">
        <f t="shared" si="92"/>
        <v>161473</v>
      </c>
      <c r="G696" s="69">
        <f t="shared" si="92"/>
        <v>193767.59999999998</v>
      </c>
      <c r="H696" s="69">
        <f t="shared" si="92"/>
        <v>140175</v>
      </c>
      <c r="I696" s="69">
        <f t="shared" si="92"/>
        <v>147184</v>
      </c>
      <c r="J696" s="69">
        <f t="shared" si="92"/>
        <v>154544</v>
      </c>
      <c r="M696" s="57"/>
    </row>
    <row r="697" spans="1:13" s="9" customFormat="1" x14ac:dyDescent="0.2">
      <c r="A697" s="75"/>
      <c r="B697" s="70" t="s">
        <v>201</v>
      </c>
      <c r="C697" s="69">
        <f>C1606</f>
        <v>1018660</v>
      </c>
      <c r="D697" s="69">
        <f>D1606</f>
        <v>1296402</v>
      </c>
      <c r="E697" s="69">
        <f>E1606</f>
        <v>1296402</v>
      </c>
      <c r="F697" s="69">
        <f>F1606</f>
        <v>931987</v>
      </c>
      <c r="G697" s="69">
        <f>G1606</f>
        <v>1118384.4000000001</v>
      </c>
      <c r="H697" s="69">
        <v>0</v>
      </c>
      <c r="I697" s="69">
        <v>0</v>
      </c>
      <c r="J697" s="69">
        <v>0</v>
      </c>
      <c r="M697" s="57"/>
    </row>
    <row r="698" spans="1:13" x14ac:dyDescent="0.2">
      <c r="A698" s="75"/>
      <c r="B698" s="70" t="s">
        <v>202</v>
      </c>
      <c r="C698" s="69">
        <f t="shared" ref="C698:J698" si="93">C2307</f>
        <v>2164067</v>
      </c>
      <c r="D698" s="69">
        <f t="shared" si="93"/>
        <v>1640439</v>
      </c>
      <c r="E698" s="69">
        <f t="shared" si="93"/>
        <v>1640439</v>
      </c>
      <c r="F698" s="69">
        <f t="shared" si="93"/>
        <v>0</v>
      </c>
      <c r="G698" s="69">
        <f t="shared" si="93"/>
        <v>1640439</v>
      </c>
      <c r="H698" s="69">
        <f t="shared" si="93"/>
        <v>4464983</v>
      </c>
      <c r="I698" s="69">
        <f t="shared" si="93"/>
        <v>4616363</v>
      </c>
      <c r="J698" s="69">
        <f t="shared" si="93"/>
        <v>4740495</v>
      </c>
      <c r="M698" s="57"/>
    </row>
    <row r="699" spans="1:13" x14ac:dyDescent="0.2">
      <c r="A699" s="75"/>
      <c r="B699" s="71" t="s">
        <v>203</v>
      </c>
      <c r="C699" s="56">
        <f t="shared" ref="C699:J699" si="94">+C2467</f>
        <v>4009531</v>
      </c>
      <c r="D699" s="56">
        <f t="shared" si="94"/>
        <v>2643782</v>
      </c>
      <c r="E699" s="56">
        <f t="shared" si="94"/>
        <v>2539182</v>
      </c>
      <c r="F699" s="56">
        <f t="shared" si="94"/>
        <v>0</v>
      </c>
      <c r="G699" s="56">
        <f t="shared" si="94"/>
        <v>0</v>
      </c>
      <c r="H699" s="56">
        <f t="shared" si="94"/>
        <v>3134164</v>
      </c>
      <c r="I699" s="56">
        <f t="shared" si="94"/>
        <v>3029635</v>
      </c>
      <c r="J699" s="56">
        <f t="shared" si="94"/>
        <v>2438507</v>
      </c>
      <c r="M699" s="57"/>
    </row>
    <row r="700" spans="1:13" x14ac:dyDescent="0.2">
      <c r="B700" s="58" t="s">
        <v>419</v>
      </c>
      <c r="C700" s="72">
        <f t="shared" ref="C700:J700" si="95">SUM(C689:C699)</f>
        <v>12530719</v>
      </c>
      <c r="D700" s="72">
        <f t="shared" si="95"/>
        <v>7532416</v>
      </c>
      <c r="E700" s="72">
        <f t="shared" si="95"/>
        <v>8208816</v>
      </c>
      <c r="F700" s="72">
        <f t="shared" si="95"/>
        <v>3365468.333333333</v>
      </c>
      <c r="G700" s="72">
        <f t="shared" si="95"/>
        <v>5375401</v>
      </c>
      <c r="H700" s="72">
        <f t="shared" si="95"/>
        <v>12122054</v>
      </c>
      <c r="I700" s="72">
        <f t="shared" si="95"/>
        <v>12136689</v>
      </c>
      <c r="J700" s="72">
        <f t="shared" si="95"/>
        <v>11631776</v>
      </c>
      <c r="M700" s="57"/>
    </row>
    <row r="701" spans="1:13" x14ac:dyDescent="0.2">
      <c r="B701" s="58"/>
      <c r="C701" s="69"/>
      <c r="D701" s="69"/>
      <c r="E701" s="69"/>
      <c r="G701" s="69"/>
      <c r="H701" s="69"/>
      <c r="I701" s="69"/>
      <c r="J701" s="69"/>
      <c r="M701" s="57"/>
    </row>
    <row r="702" spans="1:13" ht="13.5" thickBot="1" x14ac:dyDescent="0.25">
      <c r="B702" s="65" t="s">
        <v>4033</v>
      </c>
      <c r="C702" s="76">
        <f t="shared" ref="C702:J702" si="96">+C686+C700</f>
        <v>21286766</v>
      </c>
      <c r="D702" s="76">
        <f t="shared" si="96"/>
        <v>12391510</v>
      </c>
      <c r="E702" s="76">
        <f t="shared" si="96"/>
        <v>13449910</v>
      </c>
      <c r="F702" s="76">
        <f t="shared" si="96"/>
        <v>9402053.3333333321</v>
      </c>
      <c r="G702" s="76">
        <f t="shared" si="96"/>
        <v>12559573</v>
      </c>
      <c r="H702" s="76">
        <f t="shared" si="96"/>
        <v>18336355</v>
      </c>
      <c r="I702" s="76">
        <f t="shared" si="96"/>
        <v>18790013</v>
      </c>
      <c r="J702" s="76">
        <f t="shared" si="96"/>
        <v>18755754</v>
      </c>
      <c r="M702" s="57"/>
    </row>
    <row r="703" spans="1:13" ht="13.5" thickTop="1" x14ac:dyDescent="0.2">
      <c r="B703" s="58"/>
      <c r="C703" s="72"/>
      <c r="D703" s="72"/>
      <c r="E703" s="72"/>
      <c r="F703" s="72"/>
      <c r="G703" s="72"/>
      <c r="H703" s="72"/>
      <c r="I703" s="72"/>
      <c r="J703" s="72"/>
      <c r="M703" s="57"/>
    </row>
    <row r="704" spans="1:13" ht="13.5" thickBot="1" x14ac:dyDescent="0.25">
      <c r="B704" s="65" t="s">
        <v>4059</v>
      </c>
      <c r="C704" s="77">
        <f t="shared" ref="C704:J704" si="97">C616-C702</f>
        <v>5163424</v>
      </c>
      <c r="D704" s="77">
        <f t="shared" si="97"/>
        <v>20798488</v>
      </c>
      <c r="E704" s="77">
        <f t="shared" si="97"/>
        <v>20421088</v>
      </c>
      <c r="F704" s="77">
        <f t="shared" si="97"/>
        <v>4313105.6666666679</v>
      </c>
      <c r="G704" s="77">
        <f t="shared" si="97"/>
        <v>20776605.800000001</v>
      </c>
      <c r="H704" s="77">
        <f t="shared" si="97"/>
        <v>23896445</v>
      </c>
      <c r="I704" s="77">
        <f t="shared" si="97"/>
        <v>28910047</v>
      </c>
      <c r="J704" s="77">
        <f t="shared" si="97"/>
        <v>33562783</v>
      </c>
      <c r="M704" s="57"/>
    </row>
    <row r="705" spans="2:13" ht="13.5" thickTop="1" x14ac:dyDescent="0.2">
      <c r="B705" s="58"/>
      <c r="C705" s="78"/>
      <c r="D705" s="78"/>
      <c r="E705" s="78"/>
      <c r="F705" s="78"/>
      <c r="G705" s="78"/>
      <c r="H705" s="78"/>
      <c r="I705" s="78"/>
      <c r="J705" s="78"/>
      <c r="M705" s="57"/>
    </row>
    <row r="706" spans="2:13" x14ac:dyDescent="0.2">
      <c r="B706" s="58"/>
      <c r="C706" s="78"/>
      <c r="D706" s="78"/>
      <c r="E706" s="78"/>
      <c r="F706" s="78"/>
      <c r="G706" s="78"/>
      <c r="H706" s="78"/>
      <c r="I706" s="78"/>
      <c r="J706" s="78"/>
      <c r="M706" s="57"/>
    </row>
    <row r="707" spans="2:13" x14ac:dyDescent="0.2">
      <c r="B707" s="58"/>
      <c r="C707" s="78"/>
      <c r="D707" s="78"/>
      <c r="E707" s="78"/>
      <c r="F707" s="78"/>
      <c r="G707" s="78"/>
      <c r="H707" s="78"/>
      <c r="I707" s="78"/>
      <c r="J707" s="78"/>
      <c r="M707" s="57"/>
    </row>
    <row r="708" spans="2:13" x14ac:dyDescent="0.2">
      <c r="B708" s="58"/>
      <c r="C708" s="78"/>
      <c r="D708" s="78"/>
      <c r="E708" s="78"/>
      <c r="F708" s="78"/>
      <c r="G708" s="78"/>
      <c r="H708" s="78"/>
      <c r="I708" s="78"/>
      <c r="J708" s="78"/>
      <c r="M708" s="57"/>
    </row>
    <row r="709" spans="2:13" x14ac:dyDescent="0.2">
      <c r="B709" s="58"/>
      <c r="C709" s="78"/>
      <c r="D709" s="78"/>
      <c r="E709" s="78"/>
      <c r="F709" s="78"/>
      <c r="G709" s="78"/>
      <c r="H709" s="78"/>
      <c r="I709" s="78"/>
      <c r="J709" s="78"/>
      <c r="M709" s="57"/>
    </row>
    <row r="710" spans="2:13" x14ac:dyDescent="0.2">
      <c r="B710" s="58"/>
      <c r="C710" s="78"/>
      <c r="D710" s="78"/>
      <c r="E710" s="78"/>
      <c r="F710" s="78"/>
      <c r="G710" s="78"/>
      <c r="H710" s="78"/>
      <c r="I710" s="78"/>
      <c r="J710" s="78"/>
      <c r="M710" s="57"/>
    </row>
    <row r="711" spans="2:13" x14ac:dyDescent="0.2">
      <c r="B711" s="58"/>
      <c r="C711" s="78"/>
      <c r="D711" s="78"/>
      <c r="E711" s="78"/>
      <c r="F711" s="78"/>
      <c r="G711" s="78"/>
      <c r="H711" s="78"/>
      <c r="I711" s="78"/>
      <c r="J711" s="78"/>
      <c r="M711" s="57"/>
    </row>
    <row r="712" spans="2:13" x14ac:dyDescent="0.2">
      <c r="B712" s="58"/>
      <c r="C712" s="78"/>
      <c r="D712" s="78"/>
      <c r="E712" s="78"/>
      <c r="F712" s="78"/>
      <c r="G712" s="78"/>
      <c r="H712" s="78"/>
      <c r="I712" s="78"/>
      <c r="J712" s="78"/>
      <c r="M712" s="57"/>
    </row>
    <row r="713" spans="2:13" x14ac:dyDescent="0.2">
      <c r="B713" s="58"/>
      <c r="C713" s="78"/>
      <c r="D713" s="78"/>
      <c r="E713" s="78"/>
      <c r="F713" s="78"/>
      <c r="G713" s="78"/>
      <c r="H713" s="78"/>
      <c r="I713" s="78"/>
      <c r="J713" s="78"/>
      <c r="M713" s="57"/>
    </row>
    <row r="714" spans="2:13" x14ac:dyDescent="0.2">
      <c r="B714" s="58"/>
      <c r="C714" s="78"/>
      <c r="D714" s="78"/>
      <c r="E714" s="78"/>
      <c r="F714" s="78"/>
      <c r="G714" s="78"/>
      <c r="H714" s="78"/>
      <c r="I714" s="78"/>
      <c r="J714" s="78"/>
      <c r="M714" s="57"/>
    </row>
    <row r="715" spans="2:13" x14ac:dyDescent="0.2">
      <c r="B715" s="58"/>
      <c r="C715" s="78"/>
      <c r="D715" s="78"/>
      <c r="E715" s="78"/>
      <c r="F715" s="78"/>
      <c r="G715" s="78"/>
      <c r="H715" s="78"/>
      <c r="I715" s="78"/>
      <c r="J715" s="78"/>
      <c r="M715" s="57"/>
    </row>
    <row r="716" spans="2:13" x14ac:dyDescent="0.2">
      <c r="B716" s="58"/>
      <c r="C716" s="78"/>
      <c r="D716" s="78"/>
      <c r="E716" s="78"/>
      <c r="F716" s="78"/>
      <c r="G716" s="78"/>
      <c r="H716" s="78"/>
      <c r="I716" s="78"/>
      <c r="J716" s="78"/>
      <c r="M716" s="57"/>
    </row>
    <row r="717" spans="2:13" x14ac:dyDescent="0.2">
      <c r="B717" s="58"/>
      <c r="C717" s="78"/>
      <c r="D717" s="78"/>
      <c r="E717" s="78"/>
      <c r="F717" s="78"/>
      <c r="G717" s="78"/>
      <c r="H717" s="78"/>
      <c r="I717" s="78"/>
      <c r="J717" s="78"/>
      <c r="M717" s="57"/>
    </row>
    <row r="718" spans="2:13" x14ac:dyDescent="0.2">
      <c r="B718" s="58"/>
      <c r="C718" s="78"/>
      <c r="D718" s="78"/>
      <c r="E718" s="78"/>
      <c r="F718" s="78"/>
      <c r="G718" s="78"/>
      <c r="H718" s="78"/>
      <c r="I718" s="78"/>
      <c r="J718" s="78"/>
      <c r="M718" s="57"/>
    </row>
    <row r="719" spans="2:13" x14ac:dyDescent="0.2">
      <c r="B719" s="58"/>
      <c r="C719" s="78"/>
      <c r="D719" s="78"/>
      <c r="E719" s="78"/>
      <c r="F719" s="78"/>
      <c r="G719" s="78"/>
      <c r="H719" s="78"/>
      <c r="I719" s="78"/>
      <c r="J719" s="78"/>
      <c r="M719" s="57"/>
    </row>
    <row r="720" spans="2:13" x14ac:dyDescent="0.2">
      <c r="B720" s="58"/>
      <c r="C720" s="78"/>
      <c r="D720" s="78"/>
      <c r="E720" s="78"/>
      <c r="F720" s="78"/>
      <c r="G720" s="78"/>
      <c r="H720" s="78"/>
      <c r="I720" s="78"/>
      <c r="J720" s="78"/>
      <c r="M720" s="57"/>
    </row>
    <row r="721" spans="1:13" x14ac:dyDescent="0.2">
      <c r="B721" s="58"/>
      <c r="C721" s="78"/>
      <c r="D721" s="78"/>
      <c r="E721" s="78"/>
      <c r="F721" s="78"/>
      <c r="G721" s="78"/>
      <c r="H721" s="78"/>
      <c r="I721" s="78"/>
      <c r="J721" s="78"/>
      <c r="M721" s="57"/>
    </row>
    <row r="722" spans="1:13" x14ac:dyDescent="0.2">
      <c r="B722" s="58"/>
      <c r="C722" s="78"/>
      <c r="D722" s="78"/>
      <c r="E722" s="78"/>
      <c r="F722" s="78"/>
      <c r="G722" s="78"/>
      <c r="H722" s="78"/>
      <c r="I722" s="78"/>
      <c r="J722" s="78"/>
      <c r="M722" s="57"/>
    </row>
    <row r="723" spans="1:13" x14ac:dyDescent="0.2">
      <c r="B723" s="58"/>
      <c r="C723" s="78"/>
      <c r="D723" s="78"/>
      <c r="E723" s="78"/>
      <c r="F723" s="78"/>
      <c r="G723" s="78"/>
      <c r="H723" s="78"/>
      <c r="I723" s="78"/>
      <c r="J723" s="78"/>
      <c r="M723" s="57"/>
    </row>
    <row r="724" spans="1:13" x14ac:dyDescent="0.2">
      <c r="B724" s="58"/>
      <c r="C724" s="78"/>
      <c r="D724" s="78"/>
      <c r="E724" s="78"/>
      <c r="F724" s="78"/>
      <c r="G724" s="78"/>
      <c r="H724" s="78"/>
      <c r="I724" s="78"/>
      <c r="J724" s="78"/>
      <c r="M724" s="57"/>
    </row>
    <row r="725" spans="1:13" x14ac:dyDescent="0.2">
      <c r="B725" s="58"/>
      <c r="C725" s="78"/>
      <c r="D725" s="78"/>
      <c r="E725" s="78"/>
      <c r="F725" s="78"/>
      <c r="G725" s="78"/>
      <c r="H725" s="78"/>
      <c r="I725" s="78"/>
      <c r="J725" s="78"/>
      <c r="M725" s="57"/>
    </row>
    <row r="726" spans="1:13" x14ac:dyDescent="0.2">
      <c r="B726" s="58"/>
      <c r="C726" s="78"/>
      <c r="D726" s="78"/>
      <c r="E726" s="78"/>
      <c r="F726" s="78"/>
      <c r="G726" s="78"/>
      <c r="H726" s="78"/>
      <c r="I726" s="78"/>
      <c r="J726" s="78"/>
      <c r="M726" s="57"/>
    </row>
    <row r="727" spans="1:13" x14ac:dyDescent="0.2">
      <c r="B727" s="58"/>
      <c r="C727" s="78"/>
      <c r="D727" s="78"/>
      <c r="E727" s="78"/>
      <c r="F727" s="78"/>
      <c r="G727" s="78"/>
      <c r="H727" s="78"/>
      <c r="I727" s="78"/>
      <c r="J727" s="78"/>
      <c r="M727" s="57"/>
    </row>
    <row r="728" spans="1:13" x14ac:dyDescent="0.2">
      <c r="B728" s="58"/>
      <c r="C728" s="78"/>
      <c r="D728" s="78"/>
      <c r="E728" s="78"/>
      <c r="F728" s="78"/>
      <c r="G728" s="78"/>
      <c r="H728" s="78"/>
      <c r="I728" s="78"/>
      <c r="J728" s="78"/>
      <c r="M728" s="57"/>
    </row>
    <row r="729" spans="1:13" x14ac:dyDescent="0.2">
      <c r="B729" s="58"/>
      <c r="C729" s="78"/>
      <c r="D729" s="78"/>
      <c r="E729" s="78"/>
      <c r="F729" s="78"/>
      <c r="G729" s="78"/>
      <c r="H729" s="78"/>
      <c r="I729" s="78"/>
      <c r="J729" s="78"/>
      <c r="M729" s="57"/>
    </row>
    <row r="730" spans="1:13" x14ac:dyDescent="0.2">
      <c r="F730" s="78"/>
      <c r="G730" s="78"/>
      <c r="H730" s="78"/>
      <c r="M730" s="57"/>
    </row>
    <row r="731" spans="1:13" x14ac:dyDescent="0.2">
      <c r="A731" s="6"/>
      <c r="B731" s="6"/>
      <c r="C731" s="6"/>
      <c r="D731" s="6"/>
      <c r="E731" s="6"/>
      <c r="F731" s="78"/>
      <c r="G731" s="78"/>
      <c r="H731" s="78"/>
      <c r="I731" s="6"/>
      <c r="J731" s="6"/>
      <c r="M731" s="57"/>
    </row>
    <row r="732" spans="1:13" x14ac:dyDescent="0.2">
      <c r="A732" s="6"/>
      <c r="B732" s="6"/>
      <c r="C732" s="6"/>
      <c r="D732" s="6"/>
      <c r="E732" s="6"/>
      <c r="F732" s="78"/>
      <c r="G732" s="78"/>
      <c r="H732" s="78"/>
      <c r="I732" s="6"/>
      <c r="J732" s="6"/>
      <c r="M732" s="57"/>
    </row>
    <row r="733" spans="1:13" x14ac:dyDescent="0.2">
      <c r="A733" s="6"/>
      <c r="B733" s="6"/>
      <c r="C733" s="6"/>
      <c r="D733" s="6"/>
      <c r="E733" s="6"/>
      <c r="F733" s="78"/>
      <c r="G733" s="78"/>
      <c r="H733" s="78"/>
      <c r="I733" s="6"/>
      <c r="J733" s="6"/>
      <c r="M733" s="57"/>
    </row>
    <row r="734" spans="1:13" x14ac:dyDescent="0.2">
      <c r="A734" s="6"/>
      <c r="B734" s="6"/>
      <c r="C734" s="6"/>
      <c r="D734" s="6"/>
      <c r="E734" s="6"/>
      <c r="F734" s="78"/>
      <c r="G734" s="78"/>
      <c r="H734" s="78"/>
      <c r="I734" s="6"/>
      <c r="J734" s="6"/>
      <c r="M734" s="57"/>
    </row>
    <row r="735" spans="1:13" ht="15" x14ac:dyDescent="0.25">
      <c r="A735" s="91">
        <v>1110</v>
      </c>
      <c r="B735" s="92" t="s">
        <v>486</v>
      </c>
      <c r="G735" s="69"/>
      <c r="H735" s="69"/>
      <c r="M735" s="57"/>
    </row>
    <row r="736" spans="1:13" x14ac:dyDescent="0.2">
      <c r="A736" s="93">
        <v>1111</v>
      </c>
      <c r="B736" s="106" t="s">
        <v>490</v>
      </c>
      <c r="G736" s="69"/>
      <c r="H736" s="69"/>
      <c r="M736" s="57"/>
    </row>
    <row r="737" spans="1:13" x14ac:dyDescent="0.2">
      <c r="G737" s="69"/>
      <c r="H737" s="69"/>
      <c r="M737" s="57"/>
    </row>
    <row r="738" spans="1:13" x14ac:dyDescent="0.2">
      <c r="A738" s="49"/>
      <c r="B738" s="50" t="s">
        <v>4018</v>
      </c>
      <c r="C738" s="50"/>
      <c r="D738" s="50"/>
      <c r="E738" s="50"/>
      <c r="G738" s="69"/>
      <c r="H738" s="69"/>
      <c r="I738" s="50"/>
      <c r="J738" s="50"/>
      <c r="M738" s="57"/>
    </row>
    <row r="739" spans="1:13" x14ac:dyDescent="0.2">
      <c r="A739" s="49"/>
      <c r="B739" s="50"/>
      <c r="C739" s="50"/>
      <c r="D739" s="50"/>
      <c r="E739" s="50"/>
      <c r="G739" s="69"/>
      <c r="H739" s="69"/>
      <c r="I739" s="50"/>
      <c r="J739" s="50"/>
      <c r="M739" s="57"/>
    </row>
    <row r="740" spans="1:13" x14ac:dyDescent="0.2">
      <c r="A740" s="60"/>
      <c r="B740" s="58" t="s">
        <v>4019</v>
      </c>
      <c r="C740" s="69"/>
      <c r="D740" s="69"/>
      <c r="E740" s="69"/>
      <c r="F740" s="24"/>
      <c r="G740" s="69"/>
      <c r="H740" s="69"/>
      <c r="I740" s="69"/>
      <c r="J740" s="69"/>
      <c r="M740" s="57"/>
    </row>
    <row r="741" spans="1:13" x14ac:dyDescent="0.2">
      <c r="A741" s="60">
        <v>1001</v>
      </c>
      <c r="B741" s="70" t="s">
        <v>472</v>
      </c>
      <c r="C741" s="69">
        <v>13249</v>
      </c>
      <c r="D741" s="69">
        <v>192443</v>
      </c>
      <c r="E741" s="69">
        <v>167873</v>
      </c>
      <c r="F741" s="69">
        <v>58912</v>
      </c>
      <c r="G741" s="69">
        <f t="shared" ref="G741:G753" si="98">F741/$F$11*$G$11</f>
        <v>70694.399999999994</v>
      </c>
      <c r="H741" s="69">
        <f>[3]Salary_Bdgt!$H$133</f>
        <v>167236</v>
      </c>
      <c r="I741" s="69">
        <f t="shared" ref="I741:J753" si="99">ROUND(H741*1.08,0)</f>
        <v>180615</v>
      </c>
      <c r="J741" s="69">
        <f t="shared" si="99"/>
        <v>195064</v>
      </c>
      <c r="M741" s="57"/>
    </row>
    <row r="742" spans="1:13" x14ac:dyDescent="0.2">
      <c r="A742" s="60">
        <v>1005</v>
      </c>
      <c r="B742" s="70" t="s">
        <v>473</v>
      </c>
      <c r="C742" s="69">
        <v>986</v>
      </c>
      <c r="D742" s="69">
        <f>[2]Sal_RIA!$L$96</f>
        <v>0</v>
      </c>
      <c r="E742" s="69">
        <f>+D742</f>
        <v>0</v>
      </c>
      <c r="F742" s="69">
        <v>0</v>
      </c>
      <c r="G742" s="69">
        <f t="shared" si="98"/>
        <v>0</v>
      </c>
      <c r="H742" s="69">
        <f>+[3]Salary_Bdgt!$L$133</f>
        <v>0</v>
      </c>
      <c r="I742" s="69">
        <f t="shared" si="99"/>
        <v>0</v>
      </c>
      <c r="J742" s="69">
        <f t="shared" si="99"/>
        <v>0</v>
      </c>
      <c r="M742" s="57"/>
    </row>
    <row r="743" spans="1:13" x14ac:dyDescent="0.2">
      <c r="A743" s="60">
        <v>1006</v>
      </c>
      <c r="B743" s="70" t="s">
        <v>474</v>
      </c>
      <c r="C743" s="69">
        <v>3165</v>
      </c>
      <c r="D743" s="69">
        <v>34774</v>
      </c>
      <c r="E743" s="69">
        <f>+D743+14529</f>
        <v>49303</v>
      </c>
      <c r="F743" s="69">
        <v>13390</v>
      </c>
      <c r="G743" s="69">
        <f t="shared" si="98"/>
        <v>16068</v>
      </c>
      <c r="H743" s="69">
        <f>+[3]Salary_Bdgt!$N$133</f>
        <v>34752</v>
      </c>
      <c r="I743" s="69">
        <f t="shared" si="99"/>
        <v>37532</v>
      </c>
      <c r="J743" s="69">
        <f t="shared" si="99"/>
        <v>40535</v>
      </c>
      <c r="M743" s="57"/>
    </row>
    <row r="744" spans="1:13" x14ac:dyDescent="0.2">
      <c r="A744" s="60">
        <v>1007</v>
      </c>
      <c r="B744" s="70" t="s">
        <v>481</v>
      </c>
      <c r="C744" s="69">
        <v>228</v>
      </c>
      <c r="D744" s="69">
        <v>1539</v>
      </c>
      <c r="E744" s="69">
        <f>+D744+566</f>
        <v>2105</v>
      </c>
      <c r="F744" s="69">
        <v>486</v>
      </c>
      <c r="G744" s="69">
        <f t="shared" si="98"/>
        <v>583.20000000000005</v>
      </c>
      <c r="H744" s="69">
        <f>+[3]Salary_Bdgt!$I$133</f>
        <v>1617</v>
      </c>
      <c r="I744" s="69">
        <f t="shared" si="99"/>
        <v>1746</v>
      </c>
      <c r="J744" s="69">
        <f t="shared" si="99"/>
        <v>1886</v>
      </c>
      <c r="M744" s="57"/>
    </row>
    <row r="745" spans="1:13" x14ac:dyDescent="0.2">
      <c r="A745" s="60">
        <v>1009</v>
      </c>
      <c r="B745" s="70" t="s">
        <v>482</v>
      </c>
      <c r="C745" s="69">
        <v>7</v>
      </c>
      <c r="D745" s="69">
        <f>[2]Sal_RIA!$M$96</f>
        <v>0</v>
      </c>
      <c r="E745" s="69">
        <v>19</v>
      </c>
      <c r="F745" s="69">
        <v>15</v>
      </c>
      <c r="G745" s="69">
        <f t="shared" si="98"/>
        <v>18</v>
      </c>
      <c r="H745" s="69">
        <f>+[3]Salary_Bdgt!$M$133</f>
        <v>0</v>
      </c>
      <c r="I745" s="69">
        <f t="shared" si="99"/>
        <v>0</v>
      </c>
      <c r="J745" s="69">
        <f t="shared" si="99"/>
        <v>0</v>
      </c>
      <c r="M745" s="57"/>
    </row>
    <row r="746" spans="1:13" x14ac:dyDescent="0.2">
      <c r="A746" s="60">
        <v>1010</v>
      </c>
      <c r="B746" s="70" t="s">
        <v>28</v>
      </c>
      <c r="C746" s="69">
        <v>1506</v>
      </c>
      <c r="D746" s="69">
        <v>16037</v>
      </c>
      <c r="E746" s="69">
        <f>+D746</f>
        <v>16037</v>
      </c>
      <c r="F746" s="69">
        <v>5091</v>
      </c>
      <c r="G746" s="69">
        <f t="shared" si="98"/>
        <v>6109.2000000000007</v>
      </c>
      <c r="H746" s="69">
        <f>+[3]Salary_Bdgt!$Q$133</f>
        <v>13936</v>
      </c>
      <c r="I746" s="69">
        <f t="shared" si="99"/>
        <v>15051</v>
      </c>
      <c r="J746" s="69">
        <f t="shared" si="99"/>
        <v>16255</v>
      </c>
      <c r="M746" s="57"/>
    </row>
    <row r="747" spans="1:13" x14ac:dyDescent="0.2">
      <c r="A747" s="60">
        <v>1011</v>
      </c>
      <c r="B747" s="70" t="s">
        <v>4045</v>
      </c>
      <c r="C747" s="69">
        <v>0</v>
      </c>
      <c r="D747" s="69">
        <v>0</v>
      </c>
      <c r="E747" s="69">
        <v>0</v>
      </c>
      <c r="F747" s="69">
        <v>0</v>
      </c>
      <c r="G747" s="69">
        <f t="shared" si="98"/>
        <v>0</v>
      </c>
      <c r="H747" s="69">
        <f>+[3]Salary_Bdgt!$U$133</f>
        <v>0</v>
      </c>
      <c r="I747" s="69">
        <f t="shared" si="99"/>
        <v>0</v>
      </c>
      <c r="J747" s="69">
        <f t="shared" si="99"/>
        <v>0</v>
      </c>
      <c r="M747" s="57"/>
    </row>
    <row r="748" spans="1:13" x14ac:dyDescent="0.2">
      <c r="A748" s="75">
        <v>1014</v>
      </c>
      <c r="B748" s="70" t="s">
        <v>36</v>
      </c>
      <c r="C748" s="69">
        <v>0</v>
      </c>
      <c r="D748" s="69">
        <v>0</v>
      </c>
      <c r="E748" s="69">
        <v>0</v>
      </c>
      <c r="F748" s="69">
        <v>0</v>
      </c>
      <c r="G748" s="69">
        <f t="shared" si="98"/>
        <v>0</v>
      </c>
      <c r="H748" s="69">
        <f>+[3]Salary_Bdgt!$S$133</f>
        <v>0</v>
      </c>
      <c r="I748" s="69">
        <f t="shared" si="99"/>
        <v>0</v>
      </c>
      <c r="J748" s="69">
        <f t="shared" si="99"/>
        <v>0</v>
      </c>
      <c r="M748" s="57"/>
    </row>
    <row r="749" spans="1:13" x14ac:dyDescent="0.2">
      <c r="A749" s="60">
        <v>1015</v>
      </c>
      <c r="B749" s="70" t="s">
        <v>445</v>
      </c>
      <c r="C749" s="69">
        <v>0</v>
      </c>
      <c r="D749" s="69">
        <v>0</v>
      </c>
      <c r="E749" s="69">
        <v>0</v>
      </c>
      <c r="F749" s="69">
        <v>0</v>
      </c>
      <c r="G749" s="69">
        <f t="shared" si="98"/>
        <v>0</v>
      </c>
      <c r="H749" s="69">
        <f>+[3]Salary_Bdgt!$O$133+[3]Salary_Bdgt!$P$133+[3]Salary_Bdgt!$W$133</f>
        <v>0</v>
      </c>
      <c r="I749" s="69">
        <f t="shared" si="99"/>
        <v>0</v>
      </c>
      <c r="J749" s="69">
        <f t="shared" si="99"/>
        <v>0</v>
      </c>
      <c r="M749" s="57"/>
    </row>
    <row r="750" spans="1:13" x14ac:dyDescent="0.2">
      <c r="A750" s="60">
        <v>1016</v>
      </c>
      <c r="B750" s="70" t="s">
        <v>475</v>
      </c>
      <c r="C750" s="69">
        <v>0</v>
      </c>
      <c r="D750" s="69">
        <v>0</v>
      </c>
      <c r="E750" s="69">
        <v>0</v>
      </c>
      <c r="F750" s="69">
        <v>0</v>
      </c>
      <c r="G750" s="69">
        <f t="shared" si="98"/>
        <v>0</v>
      </c>
      <c r="H750" s="69">
        <f>+[3]Salary_Bdgt!$T$133+[3]Salary_Bdgt!$V$133</f>
        <v>0</v>
      </c>
      <c r="I750" s="69">
        <f t="shared" si="99"/>
        <v>0</v>
      </c>
      <c r="J750" s="69">
        <f t="shared" si="99"/>
        <v>0</v>
      </c>
      <c r="M750" s="57"/>
    </row>
    <row r="751" spans="1:13" x14ac:dyDescent="0.2">
      <c r="A751" s="60">
        <v>1017</v>
      </c>
      <c r="B751" s="70" t="s">
        <v>4044</v>
      </c>
      <c r="C751" s="69">
        <v>265</v>
      </c>
      <c r="D751" s="69">
        <v>3849</v>
      </c>
      <c r="E751" s="69">
        <f>+D751</f>
        <v>3849</v>
      </c>
      <c r="F751" s="69">
        <v>290</v>
      </c>
      <c r="G751" s="69">
        <f t="shared" si="98"/>
        <v>348</v>
      </c>
      <c r="H751" s="69">
        <f>+[3]Salary_Bdgt!$J$133</f>
        <v>3345</v>
      </c>
      <c r="I751" s="69">
        <f t="shared" si="99"/>
        <v>3613</v>
      </c>
      <c r="J751" s="69">
        <f t="shared" si="99"/>
        <v>3902</v>
      </c>
      <c r="M751" s="57"/>
    </row>
    <row r="752" spans="1:13" x14ac:dyDescent="0.2">
      <c r="A752" s="60">
        <v>1046</v>
      </c>
      <c r="B752" s="70" t="s">
        <v>491</v>
      </c>
      <c r="C752" s="69">
        <v>4176</v>
      </c>
      <c r="D752" s="69">
        <f>[2]Sal_RIA!$R$96</f>
        <v>0</v>
      </c>
      <c r="E752" s="69">
        <v>9456</v>
      </c>
      <c r="F752" s="69">
        <v>8940</v>
      </c>
      <c r="G752" s="69">
        <f t="shared" si="98"/>
        <v>10728</v>
      </c>
      <c r="H752" s="69">
        <f>+[3]Salary_Bdgt!$R$133</f>
        <v>0</v>
      </c>
      <c r="I752" s="69">
        <f t="shared" si="99"/>
        <v>0</v>
      </c>
      <c r="J752" s="69">
        <f t="shared" si="99"/>
        <v>0</v>
      </c>
      <c r="M752" s="57"/>
    </row>
    <row r="753" spans="1:13" x14ac:dyDescent="0.2">
      <c r="A753" s="60">
        <v>1182</v>
      </c>
      <c r="B753" s="71" t="s">
        <v>1065</v>
      </c>
      <c r="C753" s="56">
        <v>167</v>
      </c>
      <c r="D753" s="56">
        <v>3579</v>
      </c>
      <c r="E753" s="56">
        <f>+D753</f>
        <v>3579</v>
      </c>
      <c r="F753" s="56">
        <v>0</v>
      </c>
      <c r="G753" s="56">
        <f t="shared" si="98"/>
        <v>0</v>
      </c>
      <c r="H753" s="56">
        <f>+[3]Salary_Bdgt!$K$133</f>
        <v>3111</v>
      </c>
      <c r="I753" s="56">
        <f t="shared" si="99"/>
        <v>3360</v>
      </c>
      <c r="J753" s="56">
        <f t="shared" si="99"/>
        <v>3629</v>
      </c>
      <c r="M753" s="57"/>
    </row>
    <row r="754" spans="1:13" x14ac:dyDescent="0.2">
      <c r="A754" s="60"/>
      <c r="B754" s="58" t="s">
        <v>416</v>
      </c>
      <c r="C754" s="72">
        <f t="shared" ref="C754:J754" si="100">SUM(C741:C753)</f>
        <v>23749</v>
      </c>
      <c r="D754" s="72">
        <f t="shared" si="100"/>
        <v>252221</v>
      </c>
      <c r="E754" s="72">
        <f t="shared" si="100"/>
        <v>252221</v>
      </c>
      <c r="F754" s="72">
        <f t="shared" si="100"/>
        <v>87124</v>
      </c>
      <c r="G754" s="72">
        <f t="shared" si="100"/>
        <v>104548.79999999999</v>
      </c>
      <c r="H754" s="72">
        <f t="shared" si="100"/>
        <v>223997</v>
      </c>
      <c r="I754" s="72">
        <f t="shared" si="100"/>
        <v>241917</v>
      </c>
      <c r="J754" s="72">
        <f t="shared" si="100"/>
        <v>261271</v>
      </c>
      <c r="M754" s="57"/>
    </row>
    <row r="755" spans="1:13" x14ac:dyDescent="0.2">
      <c r="A755" s="60"/>
      <c r="B755" s="58"/>
      <c r="C755" s="69"/>
      <c r="D755" s="69"/>
      <c r="E755" s="69"/>
      <c r="G755" s="69"/>
      <c r="H755" s="69"/>
      <c r="I755" s="69"/>
      <c r="J755" s="69"/>
      <c r="M755" s="57"/>
    </row>
    <row r="756" spans="1:13" x14ac:dyDescent="0.2">
      <c r="A756" s="60"/>
      <c r="B756" s="58" t="s">
        <v>4021</v>
      </c>
      <c r="C756" s="69"/>
      <c r="D756" s="69"/>
      <c r="E756" s="69"/>
      <c r="G756" s="69"/>
      <c r="H756" s="69"/>
      <c r="I756" s="69"/>
      <c r="J756" s="69"/>
      <c r="M756" s="57"/>
    </row>
    <row r="757" spans="1:13" x14ac:dyDescent="0.2">
      <c r="A757" s="60">
        <v>3207</v>
      </c>
      <c r="B757" s="71" t="s">
        <v>4046</v>
      </c>
      <c r="C757" s="56">
        <v>75</v>
      </c>
      <c r="D757" s="56">
        <v>1050</v>
      </c>
      <c r="E757" s="56">
        <v>1050</v>
      </c>
      <c r="F757" s="56">
        <v>0</v>
      </c>
      <c r="G757" s="56">
        <f>F757/$F$11*$G$11</f>
        <v>0</v>
      </c>
      <c r="H757" s="56">
        <f>ROUND(E757*1.05,0)</f>
        <v>1103</v>
      </c>
      <c r="I757" s="56">
        <f>ROUND(H757*1.06,0)</f>
        <v>1169</v>
      </c>
      <c r="J757" s="56">
        <f>ROUND(I757*1.06,0)</f>
        <v>1239</v>
      </c>
      <c r="M757" s="57"/>
    </row>
    <row r="758" spans="1:13" x14ac:dyDescent="0.2">
      <c r="A758" s="60"/>
      <c r="B758" s="58" t="s">
        <v>417</v>
      </c>
      <c r="C758" s="72">
        <f>SUM(C757:C757)</f>
        <v>75</v>
      </c>
      <c r="D758" s="72">
        <f t="shared" ref="D758:I758" si="101">SUM(D757:D757)</f>
        <v>1050</v>
      </c>
      <c r="E758" s="72">
        <f t="shared" si="101"/>
        <v>1050</v>
      </c>
      <c r="F758" s="72">
        <f t="shared" si="101"/>
        <v>0</v>
      </c>
      <c r="G758" s="72">
        <f t="shared" si="101"/>
        <v>0</v>
      </c>
      <c r="H758" s="72">
        <f t="shared" si="101"/>
        <v>1103</v>
      </c>
      <c r="I758" s="72">
        <f t="shared" si="101"/>
        <v>1169</v>
      </c>
      <c r="J758" s="72">
        <f>SUM(J757:J757)</f>
        <v>1239</v>
      </c>
      <c r="M758" s="57"/>
    </row>
    <row r="759" spans="1:13" x14ac:dyDescent="0.2">
      <c r="A759" s="60"/>
      <c r="B759" s="58"/>
      <c r="C759" s="69"/>
      <c r="D759" s="69"/>
      <c r="E759" s="69"/>
      <c r="G759" s="69"/>
      <c r="H759" s="69"/>
      <c r="I759" s="69"/>
      <c r="J759" s="69"/>
      <c r="M759" s="57"/>
    </row>
    <row r="760" spans="1:13" x14ac:dyDescent="0.2">
      <c r="A760" s="60"/>
      <c r="B760" s="58" t="s">
        <v>435</v>
      </c>
      <c r="C760" s="69"/>
      <c r="D760" s="69"/>
      <c r="E760" s="69"/>
      <c r="G760" s="69"/>
      <c r="H760" s="69"/>
      <c r="I760" s="69"/>
      <c r="J760" s="69"/>
      <c r="M760" s="57"/>
    </row>
    <row r="761" spans="1:13" x14ac:dyDescent="0.2">
      <c r="A761" s="60">
        <v>2113</v>
      </c>
      <c r="B761" s="70" t="s">
        <v>21</v>
      </c>
      <c r="C761" s="69">
        <v>0</v>
      </c>
      <c r="D761" s="69">
        <v>5300</v>
      </c>
      <c r="E761" s="69">
        <v>5300</v>
      </c>
      <c r="F761" s="69">
        <v>0</v>
      </c>
      <c r="G761" s="69">
        <f t="shared" ref="G761:G767" si="102">F761/$F$11*$G$11</f>
        <v>0</v>
      </c>
      <c r="H761" s="69">
        <f>ROUND(E761*1.05,-2)</f>
        <v>5600</v>
      </c>
      <c r="I761" s="69">
        <f t="shared" ref="I761:J770" si="103">ROUND(H761*1.06,0)</f>
        <v>5936</v>
      </c>
      <c r="J761" s="69">
        <f t="shared" si="103"/>
        <v>6292</v>
      </c>
      <c r="M761" s="57"/>
    </row>
    <row r="762" spans="1:13" x14ac:dyDescent="0.2">
      <c r="A762" s="60">
        <v>2207</v>
      </c>
      <c r="B762" s="70" t="s">
        <v>4063</v>
      </c>
      <c r="C762" s="69">
        <v>0</v>
      </c>
      <c r="D762" s="69">
        <v>1100</v>
      </c>
      <c r="E762" s="69">
        <v>1100</v>
      </c>
      <c r="F762" s="69">
        <v>0</v>
      </c>
      <c r="G762" s="69">
        <f t="shared" si="102"/>
        <v>0</v>
      </c>
      <c r="H762" s="69">
        <v>0</v>
      </c>
      <c r="I762" s="69">
        <f t="shared" si="103"/>
        <v>0</v>
      </c>
      <c r="J762" s="69">
        <f t="shared" si="103"/>
        <v>0</v>
      </c>
      <c r="M762" s="57"/>
    </row>
    <row r="763" spans="1:13" x14ac:dyDescent="0.2">
      <c r="A763" s="60">
        <v>2212</v>
      </c>
      <c r="B763" s="70" t="s">
        <v>488</v>
      </c>
      <c r="C763" s="69">
        <v>0</v>
      </c>
      <c r="D763" s="69">
        <v>500</v>
      </c>
      <c r="E763" s="69">
        <v>500</v>
      </c>
      <c r="F763" s="69">
        <v>0</v>
      </c>
      <c r="G763" s="69">
        <f t="shared" si="102"/>
        <v>0</v>
      </c>
      <c r="H763" s="69">
        <f>ROUND(E763*1.05,-2)</f>
        <v>500</v>
      </c>
      <c r="I763" s="69">
        <f t="shared" si="103"/>
        <v>530</v>
      </c>
      <c r="J763" s="69">
        <f t="shared" si="103"/>
        <v>562</v>
      </c>
      <c r="M763" s="57"/>
    </row>
    <row r="764" spans="1:13" x14ac:dyDescent="0.2">
      <c r="A764" s="60">
        <v>2226</v>
      </c>
      <c r="B764" s="70" t="s">
        <v>204</v>
      </c>
      <c r="C764" s="69">
        <v>0</v>
      </c>
      <c r="D764" s="69">
        <v>3200</v>
      </c>
      <c r="E764" s="69">
        <v>3200</v>
      </c>
      <c r="F764" s="69">
        <v>0</v>
      </c>
      <c r="G764" s="69">
        <f t="shared" si="102"/>
        <v>0</v>
      </c>
      <c r="H764" s="69">
        <f>ROUND(E764*1.05,-2)</f>
        <v>3400</v>
      </c>
      <c r="I764" s="69">
        <f t="shared" si="103"/>
        <v>3604</v>
      </c>
      <c r="J764" s="69">
        <f t="shared" si="103"/>
        <v>3820</v>
      </c>
      <c r="M764" s="57"/>
    </row>
    <row r="765" spans="1:13" x14ac:dyDescent="0.2">
      <c r="A765" s="75">
        <v>2227</v>
      </c>
      <c r="B765" s="70" t="s">
        <v>448</v>
      </c>
      <c r="C765" s="69">
        <v>0</v>
      </c>
      <c r="D765" s="69">
        <v>1100</v>
      </c>
      <c r="E765" s="69">
        <v>1100</v>
      </c>
      <c r="F765" s="69">
        <v>0</v>
      </c>
      <c r="G765" s="69">
        <f t="shared" si="102"/>
        <v>0</v>
      </c>
      <c r="H765" s="69">
        <f>ROUND(E765*1.05,-2)</f>
        <v>1200</v>
      </c>
      <c r="I765" s="69">
        <f t="shared" si="103"/>
        <v>1272</v>
      </c>
      <c r="J765" s="69">
        <f t="shared" si="103"/>
        <v>1348</v>
      </c>
      <c r="M765" s="57"/>
    </row>
    <row r="766" spans="1:13" x14ac:dyDescent="0.2">
      <c r="A766" s="60">
        <v>2233</v>
      </c>
      <c r="B766" s="70" t="s">
        <v>497</v>
      </c>
      <c r="C766" s="69">
        <v>0</v>
      </c>
      <c r="D766" s="69">
        <v>2100</v>
      </c>
      <c r="E766" s="69">
        <v>2100</v>
      </c>
      <c r="F766" s="69">
        <v>0</v>
      </c>
      <c r="G766" s="69">
        <f t="shared" si="102"/>
        <v>0</v>
      </c>
      <c r="H766" s="69">
        <v>0</v>
      </c>
      <c r="I766" s="69">
        <f t="shared" si="103"/>
        <v>0</v>
      </c>
      <c r="J766" s="69">
        <f t="shared" si="103"/>
        <v>0</v>
      </c>
      <c r="M766" s="57"/>
    </row>
    <row r="767" spans="1:13" x14ac:dyDescent="0.2">
      <c r="A767" s="60">
        <v>2238</v>
      </c>
      <c r="B767" s="70" t="s">
        <v>479</v>
      </c>
      <c r="C767" s="69">
        <v>2815</v>
      </c>
      <c r="D767" s="69">
        <v>10000</v>
      </c>
      <c r="E767" s="69">
        <v>10000</v>
      </c>
      <c r="F767" s="69">
        <v>11866</v>
      </c>
      <c r="G767" s="69">
        <f t="shared" si="102"/>
        <v>14239.199999999999</v>
      </c>
      <c r="H767" s="69">
        <f>ROUND(E767*1.05,-2)</f>
        <v>10500</v>
      </c>
      <c r="I767" s="69">
        <f t="shared" si="103"/>
        <v>11130</v>
      </c>
      <c r="J767" s="69">
        <f t="shared" si="103"/>
        <v>11798</v>
      </c>
      <c r="M767" s="57"/>
    </row>
    <row r="768" spans="1:13" x14ac:dyDescent="0.2">
      <c r="A768" s="60">
        <v>2246</v>
      </c>
      <c r="B768" s="70" t="s">
        <v>2422</v>
      </c>
      <c r="C768" s="69">
        <v>0</v>
      </c>
      <c r="D768" s="69">
        <v>1100</v>
      </c>
      <c r="E768" s="69">
        <v>1100</v>
      </c>
      <c r="F768" s="69">
        <v>0</v>
      </c>
      <c r="G768" s="69">
        <f>F768/$F$11*$G$11</f>
        <v>0</v>
      </c>
      <c r="H768" s="69">
        <f>ROUND(E768*1.05,-2)</f>
        <v>1200</v>
      </c>
      <c r="I768" s="69">
        <f t="shared" si="103"/>
        <v>1272</v>
      </c>
      <c r="J768" s="69">
        <f t="shared" si="103"/>
        <v>1348</v>
      </c>
      <c r="M768" s="57"/>
    </row>
    <row r="769" spans="1:13" x14ac:dyDescent="0.2">
      <c r="A769" s="75">
        <v>2305</v>
      </c>
      <c r="B769" s="70" t="s">
        <v>31</v>
      </c>
      <c r="C769" s="69">
        <v>0</v>
      </c>
      <c r="D769" s="69">
        <v>1100</v>
      </c>
      <c r="E769" s="69">
        <v>1100</v>
      </c>
      <c r="F769" s="69">
        <v>0</v>
      </c>
      <c r="G769" s="69">
        <f>F769/$F$11*$G$11</f>
        <v>0</v>
      </c>
      <c r="H769" s="69">
        <f>ROUND(E769*1.05,-2)</f>
        <v>1200</v>
      </c>
      <c r="I769" s="69">
        <f t="shared" si="103"/>
        <v>1272</v>
      </c>
      <c r="J769" s="69">
        <f t="shared" si="103"/>
        <v>1348</v>
      </c>
      <c r="M769" s="57"/>
    </row>
    <row r="770" spans="1:13" x14ac:dyDescent="0.2">
      <c r="A770" s="60">
        <v>2201</v>
      </c>
      <c r="B770" s="71" t="s">
        <v>205</v>
      </c>
      <c r="C770" s="56">
        <v>0</v>
      </c>
      <c r="D770" s="56">
        <v>28400</v>
      </c>
      <c r="E770" s="56">
        <v>28400</v>
      </c>
      <c r="F770" s="56">
        <v>0</v>
      </c>
      <c r="G770" s="56">
        <f>F770/$F$11*$G$11</f>
        <v>0</v>
      </c>
      <c r="H770" s="56">
        <f>ROUND(E770*1.05,-2)</f>
        <v>29800</v>
      </c>
      <c r="I770" s="56">
        <f t="shared" si="103"/>
        <v>31588</v>
      </c>
      <c r="J770" s="56">
        <f t="shared" si="103"/>
        <v>33483</v>
      </c>
      <c r="M770" s="57"/>
    </row>
    <row r="771" spans="1:13" x14ac:dyDescent="0.2">
      <c r="A771" s="60"/>
      <c r="B771" s="58" t="s">
        <v>436</v>
      </c>
      <c r="C771" s="72">
        <f t="shared" ref="C771:J771" si="104">SUM(C761:C770)</f>
        <v>2815</v>
      </c>
      <c r="D771" s="72">
        <f t="shared" si="104"/>
        <v>53900</v>
      </c>
      <c r="E771" s="72">
        <f t="shared" si="104"/>
        <v>53900</v>
      </c>
      <c r="F771" s="72">
        <f t="shared" si="104"/>
        <v>11866</v>
      </c>
      <c r="G771" s="72">
        <f t="shared" si="104"/>
        <v>14239.199999999999</v>
      </c>
      <c r="H771" s="72">
        <f t="shared" si="104"/>
        <v>53400</v>
      </c>
      <c r="I771" s="72">
        <f t="shared" si="104"/>
        <v>56604</v>
      </c>
      <c r="J771" s="72">
        <f t="shared" si="104"/>
        <v>59999</v>
      </c>
      <c r="M771" s="57"/>
    </row>
    <row r="772" spans="1:13" x14ac:dyDescent="0.2">
      <c r="A772" s="67"/>
      <c r="B772" s="61"/>
      <c r="C772" s="97"/>
      <c r="D772" s="97"/>
      <c r="E772" s="97"/>
      <c r="F772" s="97"/>
      <c r="G772" s="97"/>
      <c r="H772" s="97"/>
      <c r="I772" s="97"/>
      <c r="J772" s="97"/>
      <c r="M772" s="57"/>
    </row>
    <row r="773" spans="1:13" x14ac:dyDescent="0.2">
      <c r="A773" s="64"/>
      <c r="B773" s="58" t="s">
        <v>4055</v>
      </c>
      <c r="C773" s="73">
        <f t="shared" ref="C773:J773" si="105">C754+C758+C771</f>
        <v>26639</v>
      </c>
      <c r="D773" s="73">
        <f t="shared" si="105"/>
        <v>307171</v>
      </c>
      <c r="E773" s="73">
        <f t="shared" si="105"/>
        <v>307171</v>
      </c>
      <c r="F773" s="73">
        <f t="shared" si="105"/>
        <v>98990</v>
      </c>
      <c r="G773" s="73">
        <f t="shared" si="105"/>
        <v>118787.99999999999</v>
      </c>
      <c r="H773" s="73">
        <f t="shared" si="105"/>
        <v>278500</v>
      </c>
      <c r="I773" s="73">
        <f t="shared" si="105"/>
        <v>299690</v>
      </c>
      <c r="J773" s="73">
        <f t="shared" si="105"/>
        <v>322509</v>
      </c>
      <c r="M773" s="57"/>
    </row>
    <row r="774" spans="1:13" x14ac:dyDescent="0.2">
      <c r="A774" s="60"/>
      <c r="B774" s="58"/>
      <c r="C774" s="96"/>
      <c r="D774" s="96"/>
      <c r="E774" s="96"/>
      <c r="G774" s="69"/>
      <c r="H774" s="69"/>
      <c r="I774" s="96"/>
      <c r="J774" s="96"/>
      <c r="M774" s="57"/>
    </row>
    <row r="775" spans="1:13" x14ac:dyDescent="0.2">
      <c r="A775" s="75"/>
      <c r="B775" s="58" t="s">
        <v>418</v>
      </c>
      <c r="C775" s="69"/>
      <c r="D775" s="69"/>
      <c r="E775" s="69"/>
      <c r="G775" s="69"/>
      <c r="H775" s="69"/>
      <c r="I775" s="69"/>
      <c r="J775" s="69"/>
      <c r="M775" s="57"/>
    </row>
    <row r="776" spans="1:13" x14ac:dyDescent="0.2">
      <c r="A776" s="75">
        <v>4204</v>
      </c>
      <c r="B776" s="70" t="s">
        <v>4058</v>
      </c>
      <c r="C776" s="69">
        <v>0</v>
      </c>
      <c r="D776" s="69">
        <v>0</v>
      </c>
      <c r="E776" s="69">
        <v>0</v>
      </c>
      <c r="F776" s="69">
        <v>0</v>
      </c>
      <c r="G776" s="69">
        <f>F776/$F$11*$G$11</f>
        <v>0</v>
      </c>
      <c r="H776" s="69">
        <f t="shared" ref="H776:J777" si="106">ROUND(G776*1.08,0)</f>
        <v>0</v>
      </c>
      <c r="I776" s="69">
        <f t="shared" si="106"/>
        <v>0</v>
      </c>
      <c r="J776" s="69">
        <f t="shared" si="106"/>
        <v>0</v>
      </c>
      <c r="M776" s="57"/>
    </row>
    <row r="777" spans="1:13" x14ac:dyDescent="0.2">
      <c r="A777" s="75">
        <v>4207</v>
      </c>
      <c r="B777" s="71" t="s">
        <v>222</v>
      </c>
      <c r="C777" s="56">
        <v>0</v>
      </c>
      <c r="D777" s="56">
        <v>0</v>
      </c>
      <c r="E777" s="56">
        <v>0</v>
      </c>
      <c r="F777" s="56">
        <v>0</v>
      </c>
      <c r="G777" s="56">
        <f>F777/$F$11*$G$11</f>
        <v>0</v>
      </c>
      <c r="H777" s="56">
        <f t="shared" si="106"/>
        <v>0</v>
      </c>
      <c r="I777" s="56">
        <f t="shared" si="106"/>
        <v>0</v>
      </c>
      <c r="J777" s="56">
        <f t="shared" si="106"/>
        <v>0</v>
      </c>
      <c r="M777" s="57"/>
    </row>
    <row r="778" spans="1:13" x14ac:dyDescent="0.2">
      <c r="A778" s="75"/>
      <c r="B778" s="58" t="s">
        <v>419</v>
      </c>
      <c r="C778" s="59">
        <f t="shared" ref="C778:J778" si="107">SUM(C776:C777)</f>
        <v>0</v>
      </c>
      <c r="D778" s="59">
        <f t="shared" si="107"/>
        <v>0</v>
      </c>
      <c r="E778" s="59">
        <f t="shared" si="107"/>
        <v>0</v>
      </c>
      <c r="F778" s="59">
        <f t="shared" si="107"/>
        <v>0</v>
      </c>
      <c r="G778" s="59">
        <f t="shared" si="107"/>
        <v>0</v>
      </c>
      <c r="H778" s="59">
        <f t="shared" si="107"/>
        <v>0</v>
      </c>
      <c r="I778" s="59">
        <f t="shared" si="107"/>
        <v>0</v>
      </c>
      <c r="J778" s="59">
        <f t="shared" si="107"/>
        <v>0</v>
      </c>
      <c r="M778" s="57"/>
    </row>
    <row r="779" spans="1:13" x14ac:dyDescent="0.2">
      <c r="A779" s="60"/>
      <c r="B779" s="58"/>
      <c r="C779" s="96"/>
      <c r="D779" s="96"/>
      <c r="E779" s="96"/>
      <c r="G779" s="69"/>
      <c r="H779" s="69"/>
      <c r="I779" s="96"/>
      <c r="J779" s="96"/>
      <c r="M779" s="57"/>
    </row>
    <row r="780" spans="1:13" ht="13.5" thickBot="1" x14ac:dyDescent="0.25">
      <c r="A780" s="64"/>
      <c r="B780" s="65" t="s">
        <v>4033</v>
      </c>
      <c r="C780" s="76">
        <f t="shared" ref="C780:J780" si="108">C773+C778</f>
        <v>26639</v>
      </c>
      <c r="D780" s="76">
        <f t="shared" si="108"/>
        <v>307171</v>
      </c>
      <c r="E780" s="76">
        <f t="shared" si="108"/>
        <v>307171</v>
      </c>
      <c r="F780" s="76">
        <f t="shared" si="108"/>
        <v>98990</v>
      </c>
      <c r="G780" s="76">
        <f t="shared" si="108"/>
        <v>118787.99999999999</v>
      </c>
      <c r="H780" s="76">
        <f t="shared" si="108"/>
        <v>278500</v>
      </c>
      <c r="I780" s="76">
        <f t="shared" si="108"/>
        <v>299690</v>
      </c>
      <c r="J780" s="76">
        <f t="shared" si="108"/>
        <v>322509</v>
      </c>
      <c r="M780" s="57"/>
    </row>
    <row r="781" spans="1:13" ht="13.5" thickTop="1" x14ac:dyDescent="0.2">
      <c r="A781" s="64"/>
      <c r="B781" s="58"/>
      <c r="C781" s="72"/>
      <c r="D781" s="72"/>
      <c r="E781" s="72"/>
      <c r="F781" s="72"/>
      <c r="G781" s="72"/>
      <c r="H781" s="72"/>
      <c r="I781" s="72"/>
      <c r="J781" s="72"/>
      <c r="M781" s="57"/>
    </row>
    <row r="782" spans="1:13" ht="13.5" thickBot="1" x14ac:dyDescent="0.25">
      <c r="A782" s="67"/>
      <c r="B782" s="65" t="s">
        <v>4059</v>
      </c>
      <c r="C782" s="77">
        <f t="shared" ref="C782:J782" si="109">-C780</f>
        <v>-26639</v>
      </c>
      <c r="D782" s="77">
        <f t="shared" si="109"/>
        <v>-307171</v>
      </c>
      <c r="E782" s="77">
        <f t="shared" si="109"/>
        <v>-307171</v>
      </c>
      <c r="F782" s="77">
        <f t="shared" si="109"/>
        <v>-98990</v>
      </c>
      <c r="G782" s="77">
        <f t="shared" si="109"/>
        <v>-118787.99999999999</v>
      </c>
      <c r="H782" s="77">
        <f t="shared" si="109"/>
        <v>-278500</v>
      </c>
      <c r="I782" s="77">
        <f t="shared" si="109"/>
        <v>-299690</v>
      </c>
      <c r="J782" s="77">
        <f t="shared" si="109"/>
        <v>-322509</v>
      </c>
      <c r="M782" s="57"/>
    </row>
    <row r="783" spans="1:13" ht="13.5" thickTop="1" x14ac:dyDescent="0.2">
      <c r="A783" s="67"/>
      <c r="B783" s="58"/>
      <c r="C783" s="78"/>
      <c r="D783" s="78"/>
      <c r="E783" s="78"/>
      <c r="G783" s="69"/>
      <c r="H783" s="69"/>
      <c r="I783" s="78"/>
      <c r="J783" s="78"/>
      <c r="M783" s="57"/>
    </row>
    <row r="784" spans="1:13" x14ac:dyDescent="0.2">
      <c r="G784" s="69"/>
      <c r="H784" s="69"/>
      <c r="M784" s="57"/>
    </row>
    <row r="785" spans="7:13" x14ac:dyDescent="0.2">
      <c r="G785" s="69"/>
      <c r="H785" s="69"/>
      <c r="M785" s="57"/>
    </row>
    <row r="786" spans="7:13" x14ac:dyDescent="0.2">
      <c r="G786" s="69"/>
      <c r="H786" s="69"/>
      <c r="M786" s="57"/>
    </row>
    <row r="787" spans="7:13" x14ac:dyDescent="0.2">
      <c r="G787" s="69"/>
      <c r="H787" s="69"/>
      <c r="M787" s="57"/>
    </row>
    <row r="788" spans="7:13" x14ac:dyDescent="0.2">
      <c r="G788" s="69"/>
      <c r="H788" s="69"/>
      <c r="M788" s="57"/>
    </row>
    <row r="789" spans="7:13" x14ac:dyDescent="0.2">
      <c r="G789" s="69"/>
      <c r="H789" s="69"/>
      <c r="M789" s="57"/>
    </row>
    <row r="790" spans="7:13" x14ac:dyDescent="0.2">
      <c r="G790" s="69"/>
      <c r="H790" s="69"/>
      <c r="M790" s="57"/>
    </row>
    <row r="791" spans="7:13" x14ac:dyDescent="0.2">
      <c r="G791" s="69"/>
      <c r="H791" s="69"/>
      <c r="M791" s="57"/>
    </row>
    <row r="792" spans="7:13" x14ac:dyDescent="0.2">
      <c r="G792" s="69"/>
      <c r="H792" s="69"/>
      <c r="M792" s="57"/>
    </row>
    <row r="793" spans="7:13" x14ac:dyDescent="0.2">
      <c r="G793" s="69"/>
      <c r="H793" s="69"/>
      <c r="M793" s="57"/>
    </row>
    <row r="794" spans="7:13" x14ac:dyDescent="0.2">
      <c r="G794" s="69"/>
      <c r="H794" s="69"/>
      <c r="M794" s="57"/>
    </row>
    <row r="795" spans="7:13" x14ac:dyDescent="0.2">
      <c r="G795" s="69"/>
      <c r="H795" s="69"/>
      <c r="M795" s="57"/>
    </row>
    <row r="796" spans="7:13" x14ac:dyDescent="0.2">
      <c r="G796" s="69"/>
      <c r="H796" s="69"/>
      <c r="M796" s="57"/>
    </row>
    <row r="797" spans="7:13" x14ac:dyDescent="0.2">
      <c r="G797" s="69"/>
      <c r="H797" s="69"/>
      <c r="M797" s="57"/>
    </row>
    <row r="798" spans="7:13" x14ac:dyDescent="0.2">
      <c r="G798" s="69"/>
      <c r="H798" s="69"/>
      <c r="M798" s="57"/>
    </row>
    <row r="799" spans="7:13" x14ac:dyDescent="0.2">
      <c r="G799" s="69"/>
      <c r="H799" s="69"/>
      <c r="M799" s="57"/>
    </row>
    <row r="800" spans="7:13" x14ac:dyDescent="0.2">
      <c r="G800" s="69"/>
      <c r="H800" s="69"/>
      <c r="M800" s="57"/>
    </row>
    <row r="801" spans="1:13" x14ac:dyDescent="0.2">
      <c r="G801" s="69"/>
      <c r="H801" s="69"/>
      <c r="M801" s="57"/>
    </row>
    <row r="802" spans="1:13" x14ac:dyDescent="0.2">
      <c r="G802" s="69"/>
      <c r="H802" s="69"/>
      <c r="M802" s="57"/>
    </row>
    <row r="803" spans="1:13" x14ac:dyDescent="0.2">
      <c r="G803" s="69"/>
      <c r="H803" s="69"/>
      <c r="M803" s="57"/>
    </row>
    <row r="804" spans="1:13" x14ac:dyDescent="0.2">
      <c r="G804" s="69"/>
      <c r="H804" s="69"/>
      <c r="M804" s="57"/>
    </row>
    <row r="805" spans="1:13" x14ac:dyDescent="0.2">
      <c r="G805" s="69"/>
      <c r="H805" s="69"/>
      <c r="M805" s="57"/>
    </row>
    <row r="806" spans="1:13" x14ac:dyDescent="0.2">
      <c r="G806" s="69"/>
      <c r="H806" s="69"/>
      <c r="M806" s="57"/>
    </row>
    <row r="807" spans="1:13" x14ac:dyDescent="0.2">
      <c r="A807" s="6"/>
      <c r="B807" s="13"/>
      <c r="C807" s="13"/>
      <c r="D807" s="13"/>
      <c r="E807" s="13"/>
      <c r="G807" s="69"/>
      <c r="H807" s="69"/>
      <c r="I807" s="13"/>
      <c r="J807" s="13"/>
      <c r="M807" s="57"/>
    </row>
    <row r="808" spans="1:13" x14ac:dyDescent="0.2">
      <c r="A808" s="6"/>
      <c r="B808" s="13"/>
      <c r="C808" s="13"/>
      <c r="D808" s="13"/>
      <c r="E808" s="13"/>
      <c r="G808" s="69"/>
      <c r="H808" s="69"/>
      <c r="I808" s="13"/>
      <c r="J808" s="13"/>
      <c r="M808" s="57"/>
    </row>
    <row r="809" spans="1:13" x14ac:dyDescent="0.2">
      <c r="A809" s="6"/>
      <c r="B809" s="13"/>
      <c r="C809" s="13"/>
      <c r="D809" s="13"/>
      <c r="E809" s="13"/>
      <c r="G809" s="69"/>
      <c r="H809" s="69"/>
      <c r="I809" s="13"/>
      <c r="J809" s="13"/>
      <c r="M809" s="57"/>
    </row>
    <row r="810" spans="1:13" x14ac:dyDescent="0.2">
      <c r="A810" s="6"/>
      <c r="B810" s="13"/>
      <c r="C810" s="13"/>
      <c r="D810" s="13"/>
      <c r="E810" s="13"/>
      <c r="G810" s="69"/>
      <c r="H810" s="69"/>
      <c r="I810" s="13"/>
      <c r="J810" s="13"/>
      <c r="M810" s="57"/>
    </row>
    <row r="811" spans="1:13" x14ac:dyDescent="0.2">
      <c r="A811" s="6"/>
      <c r="B811" s="13"/>
      <c r="C811" s="13"/>
      <c r="D811" s="13"/>
      <c r="E811" s="13"/>
      <c r="G811" s="69"/>
      <c r="H811" s="69"/>
      <c r="I811" s="13"/>
      <c r="J811" s="13"/>
      <c r="M811" s="57"/>
    </row>
    <row r="812" spans="1:13" ht="15" x14ac:dyDescent="0.25">
      <c r="A812" s="91">
        <v>1110</v>
      </c>
      <c r="B812" s="92" t="s">
        <v>486</v>
      </c>
      <c r="G812" s="69"/>
      <c r="H812" s="69"/>
      <c r="M812" s="57"/>
    </row>
    <row r="813" spans="1:13" ht="15" x14ac:dyDescent="0.25">
      <c r="A813" s="93">
        <v>1112</v>
      </c>
      <c r="B813" s="83" t="s">
        <v>492</v>
      </c>
      <c r="C813" s="48"/>
      <c r="D813" s="48"/>
      <c r="E813" s="48"/>
      <c r="G813" s="69"/>
      <c r="H813" s="69"/>
      <c r="I813" s="48"/>
      <c r="J813" s="48"/>
      <c r="M813" s="57"/>
    </row>
    <row r="814" spans="1:13" ht="15" x14ac:dyDescent="0.25">
      <c r="B814" s="48"/>
      <c r="C814" s="48"/>
      <c r="D814" s="48"/>
      <c r="E814" s="48"/>
      <c r="G814" s="69"/>
      <c r="H814" s="69"/>
      <c r="I814" s="48"/>
      <c r="J814" s="48"/>
      <c r="M814" s="57"/>
    </row>
    <row r="815" spans="1:13" x14ac:dyDescent="0.2">
      <c r="B815" s="50" t="s">
        <v>61</v>
      </c>
      <c r="C815" s="50"/>
      <c r="D815" s="50"/>
      <c r="E815" s="50"/>
      <c r="G815" s="69"/>
      <c r="H815" s="69"/>
      <c r="I815" s="50"/>
      <c r="J815" s="50"/>
      <c r="M815" s="57"/>
    </row>
    <row r="816" spans="1:13" x14ac:dyDescent="0.2">
      <c r="B816" s="46"/>
      <c r="C816" s="46"/>
      <c r="D816" s="107"/>
      <c r="E816" s="46"/>
      <c r="F816" s="139"/>
      <c r="G816" s="69"/>
      <c r="H816" s="69"/>
      <c r="I816" s="121"/>
      <c r="J816" s="46"/>
    </row>
    <row r="817" spans="1:14" ht="13.5" x14ac:dyDescent="0.25">
      <c r="B817" s="58" t="s">
        <v>492</v>
      </c>
      <c r="C817" s="99"/>
      <c r="D817" s="99"/>
      <c r="E817" s="99"/>
      <c r="G817" s="69"/>
      <c r="H817" s="69"/>
      <c r="I817" s="156"/>
      <c r="J817" s="156"/>
      <c r="K817" s="158"/>
      <c r="L817" s="656"/>
      <c r="M817" s="660"/>
      <c r="N817" s="657"/>
    </row>
    <row r="818" spans="1:14" x14ac:dyDescent="0.2">
      <c r="A818" s="75">
        <v>5606</v>
      </c>
      <c r="B818" s="70" t="s">
        <v>1081</v>
      </c>
      <c r="C818" s="69">
        <v>0</v>
      </c>
      <c r="D818" s="69">
        <v>0</v>
      </c>
      <c r="E818" s="69">
        <v>0</v>
      </c>
      <c r="F818" s="69">
        <v>0</v>
      </c>
      <c r="G818" s="69">
        <v>0</v>
      </c>
      <c r="H818" s="69">
        <f>ROUND(+TARIFF_FARMS!F9,0)</f>
        <v>2251155</v>
      </c>
      <c r="I818" s="69">
        <f t="shared" ref="I818:J821" si="110">ROUND(H818*1.06,0)</f>
        <v>2386224</v>
      </c>
      <c r="J818" s="69">
        <f t="shared" si="110"/>
        <v>2529397</v>
      </c>
      <c r="L818" s="69"/>
      <c r="M818" s="658"/>
      <c r="N818" s="659"/>
    </row>
    <row r="819" spans="1:14" x14ac:dyDescent="0.2">
      <c r="A819" s="75">
        <v>5607</v>
      </c>
      <c r="B819" s="70" t="s">
        <v>207</v>
      </c>
      <c r="C819" s="69">
        <v>0</v>
      </c>
      <c r="D819" s="69">
        <v>1296505</v>
      </c>
      <c r="E819" s="69">
        <v>1296505</v>
      </c>
      <c r="F819" s="69">
        <v>1314250</v>
      </c>
      <c r="G819" s="69">
        <f>+F819</f>
        <v>1314250</v>
      </c>
      <c r="H819" s="69">
        <f>ROUND(+RATES_CALC!L356,0)</f>
        <v>713687</v>
      </c>
      <c r="I819" s="69">
        <f t="shared" si="110"/>
        <v>756508</v>
      </c>
      <c r="J819" s="69">
        <f t="shared" si="110"/>
        <v>801898</v>
      </c>
      <c r="L819" s="69"/>
      <c r="M819" s="161"/>
      <c r="N819" s="162"/>
    </row>
    <row r="820" spans="1:14" x14ac:dyDescent="0.2">
      <c r="A820" s="101">
        <v>5609</v>
      </c>
      <c r="B820" s="70" t="s">
        <v>206</v>
      </c>
      <c r="C820" s="69">
        <v>707630</v>
      </c>
      <c r="D820" s="69">
        <v>1550078</v>
      </c>
      <c r="E820" s="69">
        <v>1550078</v>
      </c>
      <c r="F820" s="69">
        <f>22682540*0.079</f>
        <v>1791920.66</v>
      </c>
      <c r="G820" s="69">
        <f>+F820</f>
        <v>1791920.66</v>
      </c>
      <c r="H820" s="69">
        <f>ROUND(+RATES_CALC!I157,0)</f>
        <v>1971113</v>
      </c>
      <c r="I820" s="69">
        <f t="shared" si="110"/>
        <v>2089380</v>
      </c>
      <c r="J820" s="69">
        <f t="shared" si="110"/>
        <v>2214743</v>
      </c>
      <c r="L820" s="69"/>
      <c r="M820" s="161"/>
      <c r="N820" s="162"/>
    </row>
    <row r="821" spans="1:14" x14ac:dyDescent="0.2">
      <c r="A821" s="75">
        <v>5610</v>
      </c>
      <c r="B821" s="70" t="s">
        <v>1082</v>
      </c>
      <c r="C821" s="69">
        <v>4611378</v>
      </c>
      <c r="D821" s="69">
        <v>3399897</v>
      </c>
      <c r="E821" s="69">
        <v>3399897</v>
      </c>
      <c r="F821" s="69">
        <f>3756210</f>
        <v>3756210</v>
      </c>
      <c r="G821" s="69">
        <f>+F821</f>
        <v>3756210</v>
      </c>
      <c r="H821" s="69">
        <f>ROUND(+RATES_CALC!M5037+RATES_CALC!M5057-RATES_CALC!M5050,0)</f>
        <v>4131831</v>
      </c>
      <c r="I821" s="69">
        <f t="shared" si="110"/>
        <v>4379741</v>
      </c>
      <c r="J821" s="69">
        <f t="shared" si="110"/>
        <v>4642525</v>
      </c>
      <c r="L821" s="69"/>
      <c r="M821" s="161"/>
      <c r="N821" s="162"/>
    </row>
    <row r="822" spans="1:14" x14ac:dyDescent="0.2">
      <c r="A822" s="75">
        <v>5610</v>
      </c>
      <c r="B822" s="53" t="s">
        <v>2765</v>
      </c>
      <c r="C822" s="69">
        <v>0</v>
      </c>
      <c r="D822" s="69">
        <v>0</v>
      </c>
      <c r="E822" s="69">
        <v>0</v>
      </c>
      <c r="F822" s="69">
        <v>937183</v>
      </c>
      <c r="G822" s="69">
        <f>+F822</f>
        <v>937183</v>
      </c>
      <c r="H822" s="69">
        <f>ROUND(Levies!R12,0)</f>
        <v>1143828</v>
      </c>
      <c r="I822" s="69">
        <f>ROUND(H822*1.06,0)</f>
        <v>1212458</v>
      </c>
      <c r="J822" s="69">
        <f>ROUND(I822*1.06,0)</f>
        <v>1285205</v>
      </c>
      <c r="L822" s="69"/>
      <c r="M822" s="161"/>
      <c r="N822" s="162"/>
    </row>
    <row r="823" spans="1:14" x14ac:dyDescent="0.2">
      <c r="A823" s="75">
        <v>5610</v>
      </c>
      <c r="B823" s="71" t="s">
        <v>1086</v>
      </c>
      <c r="C823" s="56">
        <v>0</v>
      </c>
      <c r="D823" s="56">
        <v>0</v>
      </c>
      <c r="E823" s="56">
        <v>0</v>
      </c>
      <c r="F823" s="56">
        <f>3814500*0.041</f>
        <v>156394.5</v>
      </c>
      <c r="G823" s="56">
        <f>+F823</f>
        <v>156394.5</v>
      </c>
      <c r="H823" s="56">
        <f>ROUND(+RATES_CALC!M5050,0)</f>
        <v>172034</v>
      </c>
      <c r="I823" s="56">
        <f>ROUND(H823*1.06,0)</f>
        <v>182356</v>
      </c>
      <c r="J823" s="56">
        <f>ROUND(I823*1.06,0)</f>
        <v>193297</v>
      </c>
      <c r="L823" s="69"/>
      <c r="M823" s="161"/>
      <c r="N823" s="162"/>
    </row>
    <row r="824" spans="1:14" x14ac:dyDescent="0.2">
      <c r="B824" s="58" t="s">
        <v>427</v>
      </c>
      <c r="C824" s="100">
        <f t="shared" ref="C824:J824" si="111">SUM(C818:C823)</f>
        <v>5319008</v>
      </c>
      <c r="D824" s="100">
        <f t="shared" si="111"/>
        <v>6246480</v>
      </c>
      <c r="E824" s="100">
        <f t="shared" si="111"/>
        <v>6246480</v>
      </c>
      <c r="F824" s="100">
        <f>SUM(F818:F823)</f>
        <v>7955958.1600000001</v>
      </c>
      <c r="G824" s="100">
        <f t="shared" si="111"/>
        <v>7955958.1600000001</v>
      </c>
      <c r="H824" s="100">
        <f t="shared" si="111"/>
        <v>10383648</v>
      </c>
      <c r="I824" s="100">
        <f t="shared" si="111"/>
        <v>11006667</v>
      </c>
      <c r="J824" s="100">
        <f t="shared" si="111"/>
        <v>11667065</v>
      </c>
      <c r="M824" s="157"/>
    </row>
    <row r="825" spans="1:14" x14ac:dyDescent="0.2">
      <c r="B825" s="58"/>
      <c r="C825" s="99"/>
      <c r="D825" s="99"/>
      <c r="E825" s="99"/>
      <c r="F825" s="24"/>
      <c r="G825" s="69"/>
      <c r="H825" s="69"/>
      <c r="I825" s="99"/>
      <c r="J825" s="99"/>
      <c r="L825" s="541"/>
      <c r="M825" s="57"/>
    </row>
    <row r="826" spans="1:14" x14ac:dyDescent="0.2">
      <c r="B826" s="58" t="s">
        <v>64</v>
      </c>
      <c r="C826" s="99"/>
      <c r="D826" s="99"/>
      <c r="E826" s="99"/>
      <c r="G826" s="69"/>
      <c r="H826" s="126"/>
      <c r="I826" s="99"/>
      <c r="J826" s="99"/>
      <c r="L826" s="555"/>
      <c r="M826" s="57"/>
    </row>
    <row r="827" spans="1:14" x14ac:dyDescent="0.2">
      <c r="A827" s="75">
        <v>5299</v>
      </c>
      <c r="B827" s="71" t="s">
        <v>2412</v>
      </c>
      <c r="C827" s="62">
        <v>175821</v>
      </c>
      <c r="D827" s="56">
        <v>170100</v>
      </c>
      <c r="E827" s="56">
        <v>170100</v>
      </c>
      <c r="F827" s="56">
        <v>186589</v>
      </c>
      <c r="G827" s="56">
        <f>F827/$F$11*$G$11</f>
        <v>223906.80000000002</v>
      </c>
      <c r="H827" s="56">
        <f>ROUND(H824*0.03,0)</f>
        <v>311509</v>
      </c>
      <c r="I827" s="56">
        <f>ROUND(I824*0.03,0)</f>
        <v>330200</v>
      </c>
      <c r="J827" s="56">
        <f>ROUND(J824*0.03,0)</f>
        <v>350012</v>
      </c>
      <c r="L827" s="542"/>
      <c r="M827" s="157"/>
    </row>
    <row r="828" spans="1:14" x14ac:dyDescent="0.2">
      <c r="B828" s="58" t="s">
        <v>428</v>
      </c>
      <c r="C828" s="100">
        <f t="shared" ref="C828:J828" si="112">SUM(C827)</f>
        <v>175821</v>
      </c>
      <c r="D828" s="100">
        <f t="shared" si="112"/>
        <v>170100</v>
      </c>
      <c r="E828" s="100">
        <f t="shared" si="112"/>
        <v>170100</v>
      </c>
      <c r="F828" s="100">
        <f t="shared" si="112"/>
        <v>186589</v>
      </c>
      <c r="G828" s="100">
        <f t="shared" si="112"/>
        <v>223906.80000000002</v>
      </c>
      <c r="H828" s="100">
        <f t="shared" si="112"/>
        <v>311509</v>
      </c>
      <c r="I828" s="100">
        <f t="shared" si="112"/>
        <v>330200</v>
      </c>
      <c r="J828" s="100">
        <f t="shared" si="112"/>
        <v>350012</v>
      </c>
      <c r="M828" s="57"/>
    </row>
    <row r="829" spans="1:14" x14ac:dyDescent="0.2">
      <c r="B829" s="58"/>
      <c r="C829" s="100"/>
      <c r="D829" s="153"/>
      <c r="E829" s="100"/>
      <c r="F829" s="24"/>
      <c r="G829" s="69"/>
      <c r="H829" s="69"/>
      <c r="I829" s="100"/>
      <c r="J829" s="100"/>
      <c r="M829" s="57"/>
    </row>
    <row r="830" spans="1:14" x14ac:dyDescent="0.2">
      <c r="B830" s="58" t="s">
        <v>4013</v>
      </c>
      <c r="C830" s="99"/>
      <c r="D830" s="96"/>
      <c r="E830" s="155"/>
      <c r="F830" s="24"/>
      <c r="G830" s="69"/>
      <c r="H830" s="69"/>
      <c r="I830" s="96"/>
      <c r="J830" s="96"/>
      <c r="M830" s="57"/>
    </row>
    <row r="831" spans="1:14" x14ac:dyDescent="0.2">
      <c r="A831" s="101">
        <v>5608</v>
      </c>
      <c r="B831" s="71" t="s">
        <v>493</v>
      </c>
      <c r="C831" s="62">
        <v>-1313887</v>
      </c>
      <c r="D831" s="108">
        <f>-1731073</f>
        <v>-1731073</v>
      </c>
      <c r="E831" s="108">
        <f>-1731073-328229-328229</f>
        <v>-2387531</v>
      </c>
      <c r="F831" s="108">
        <f>-668177-537576-672967</f>
        <v>-1878720</v>
      </c>
      <c r="G831" s="108">
        <f>+F831</f>
        <v>-1878720</v>
      </c>
      <c r="H831" s="108">
        <f>ROUND((-H818/2)-RATES_CALC!N5037,0)</f>
        <v>-2720933</v>
      </c>
      <c r="I831" s="108">
        <f>ROUND((-I818*0.75)-RATES_CALC!N5038,0)</f>
        <v>-3480745</v>
      </c>
      <c r="J831" s="108">
        <f>ROUND(-RATES_CALC!N5039,0)</f>
        <v>-1792542</v>
      </c>
      <c r="M831"/>
      <c r="N831"/>
    </row>
    <row r="832" spans="1:14" x14ac:dyDescent="0.2">
      <c r="B832" s="58" t="s">
        <v>429</v>
      </c>
      <c r="C832" s="100">
        <f t="shared" ref="C832:J832" si="113">SUM(C831)</f>
        <v>-1313887</v>
      </c>
      <c r="D832" s="100">
        <f t="shared" si="113"/>
        <v>-1731073</v>
      </c>
      <c r="E832" s="100">
        <f t="shared" si="113"/>
        <v>-2387531</v>
      </c>
      <c r="F832" s="100">
        <f t="shared" si="113"/>
        <v>-1878720</v>
      </c>
      <c r="G832" s="100">
        <f t="shared" si="113"/>
        <v>-1878720</v>
      </c>
      <c r="H832" s="100">
        <f t="shared" si="113"/>
        <v>-2720933</v>
      </c>
      <c r="I832" s="100">
        <f t="shared" si="113"/>
        <v>-3480745</v>
      </c>
      <c r="J832" s="100">
        <f t="shared" si="113"/>
        <v>-1792542</v>
      </c>
      <c r="M832" s="57"/>
    </row>
    <row r="833" spans="1:14" x14ac:dyDescent="0.2">
      <c r="B833" s="58"/>
      <c r="C833" s="99"/>
      <c r="D833" s="99"/>
      <c r="E833" s="99"/>
      <c r="F833" s="99"/>
      <c r="G833" s="99"/>
      <c r="H833" s="99"/>
      <c r="I833" s="99"/>
      <c r="J833" s="99"/>
      <c r="M833" s="57"/>
    </row>
    <row r="834" spans="1:14" ht="13.5" thickBot="1" x14ac:dyDescent="0.25">
      <c r="B834" s="65" t="s">
        <v>4043</v>
      </c>
      <c r="C834" s="66">
        <f t="shared" ref="C834:J834" si="114">+C824+C828+C832</f>
        <v>4180942</v>
      </c>
      <c r="D834" s="66">
        <f t="shared" si="114"/>
        <v>4685507</v>
      </c>
      <c r="E834" s="66">
        <f t="shared" si="114"/>
        <v>4029049</v>
      </c>
      <c r="F834" s="66">
        <f t="shared" si="114"/>
        <v>6263827.1600000001</v>
      </c>
      <c r="G834" s="66">
        <f t="shared" si="114"/>
        <v>6301144.96</v>
      </c>
      <c r="H834" s="66">
        <f t="shared" si="114"/>
        <v>7974224</v>
      </c>
      <c r="I834" s="66">
        <f t="shared" si="114"/>
        <v>7856122</v>
      </c>
      <c r="J834" s="66">
        <f t="shared" si="114"/>
        <v>10224535</v>
      </c>
      <c r="L834" s="540"/>
      <c r="M834" s="57"/>
    </row>
    <row r="835" spans="1:14" ht="13.5" thickTop="1" x14ac:dyDescent="0.2">
      <c r="B835" s="68"/>
      <c r="C835" s="68"/>
      <c r="D835" s="68"/>
      <c r="E835" s="68"/>
      <c r="F835" s="109"/>
      <c r="G835" s="69"/>
      <c r="H835" s="69"/>
      <c r="I835" s="68"/>
      <c r="J835" s="68"/>
      <c r="L835" s="534"/>
      <c r="M835" s="57"/>
    </row>
    <row r="836" spans="1:14" x14ac:dyDescent="0.2">
      <c r="B836" s="50" t="s">
        <v>4018</v>
      </c>
      <c r="C836" s="50"/>
      <c r="D836" s="50"/>
      <c r="E836" s="110"/>
      <c r="G836" s="69"/>
      <c r="H836" s="69"/>
      <c r="I836" s="50"/>
      <c r="J836" s="50"/>
      <c r="L836" s="534"/>
      <c r="M836" s="57"/>
      <c r="N836" s="125"/>
    </row>
    <row r="837" spans="1:14" x14ac:dyDescent="0.2">
      <c r="B837" s="50"/>
      <c r="C837" s="50"/>
      <c r="D837" s="50"/>
      <c r="E837" s="50"/>
      <c r="F837" s="27"/>
      <c r="G837" s="69"/>
      <c r="H837" s="69"/>
      <c r="I837" s="50"/>
      <c r="J837" s="50"/>
      <c r="M837" s="57"/>
    </row>
    <row r="838" spans="1:14" x14ac:dyDescent="0.2">
      <c r="B838" s="58" t="s">
        <v>430</v>
      </c>
      <c r="C838" s="69"/>
      <c r="D838" s="69"/>
      <c r="E838" s="126"/>
      <c r="F838" s="24"/>
      <c r="G838" s="69"/>
      <c r="H838" s="126"/>
      <c r="I838" s="69"/>
      <c r="J838" s="69"/>
      <c r="M838" s="57"/>
    </row>
    <row r="839" spans="1:14" x14ac:dyDescent="0.2">
      <c r="A839" s="75">
        <v>2500</v>
      </c>
      <c r="B839" s="71" t="s">
        <v>431</v>
      </c>
      <c r="C839" s="56">
        <v>1125524</v>
      </c>
      <c r="D839" s="56">
        <v>735398</v>
      </c>
      <c r="E839" s="56">
        <v>735398</v>
      </c>
      <c r="F839" s="56">
        <v>735398</v>
      </c>
      <c r="G839" s="56">
        <f>+F839</f>
        <v>735398</v>
      </c>
      <c r="H839" s="56">
        <f>ROUND(H824*0.12,0)-299150</f>
        <v>946888</v>
      </c>
      <c r="I839" s="56">
        <f>ROUND(I824*0.1,0)</f>
        <v>1100667</v>
      </c>
      <c r="J839" s="56">
        <f>ROUND(J824*0.1,0)</f>
        <v>1166707</v>
      </c>
      <c r="M839" s="57"/>
    </row>
    <row r="840" spans="1:14" x14ac:dyDescent="0.2">
      <c r="B840" s="58" t="s">
        <v>432</v>
      </c>
      <c r="C840" s="72">
        <f t="shared" ref="C840:J840" si="115">SUM(C839)</f>
        <v>1125524</v>
      </c>
      <c r="D840" s="72">
        <f t="shared" si="115"/>
        <v>735398</v>
      </c>
      <c r="E840" s="72">
        <f t="shared" si="115"/>
        <v>735398</v>
      </c>
      <c r="F840" s="72">
        <f t="shared" si="115"/>
        <v>735398</v>
      </c>
      <c r="G840" s="72">
        <f t="shared" si="115"/>
        <v>735398</v>
      </c>
      <c r="H840" s="72">
        <f t="shared" si="115"/>
        <v>946888</v>
      </c>
      <c r="I840" s="72">
        <f t="shared" si="115"/>
        <v>1100667</v>
      </c>
      <c r="J840" s="72">
        <f t="shared" si="115"/>
        <v>1166707</v>
      </c>
      <c r="M840" s="57"/>
    </row>
    <row r="841" spans="1:14" x14ac:dyDescent="0.2">
      <c r="B841" s="50"/>
      <c r="C841" s="50"/>
      <c r="D841" s="50"/>
      <c r="E841" s="50"/>
      <c r="G841" s="69"/>
      <c r="H841" s="69"/>
      <c r="I841" s="50"/>
      <c r="J841" s="50"/>
      <c r="M841" s="57"/>
    </row>
    <row r="842" spans="1:14" x14ac:dyDescent="0.2">
      <c r="B842" s="58" t="s">
        <v>435</v>
      </c>
      <c r="C842" s="126"/>
      <c r="D842" s="69"/>
      <c r="E842" s="69"/>
      <c r="G842" s="69"/>
      <c r="H842" s="69"/>
      <c r="I842" s="70"/>
      <c r="J842" s="70"/>
      <c r="M842" s="57"/>
    </row>
    <row r="843" spans="1:14" x14ac:dyDescent="0.2">
      <c r="A843" s="75">
        <v>2219</v>
      </c>
      <c r="B843" s="70" t="s">
        <v>1069</v>
      </c>
      <c r="C843" s="99">
        <v>376165</v>
      </c>
      <c r="D843" s="96">
        <v>0</v>
      </c>
      <c r="E843" s="96">
        <v>0</v>
      </c>
      <c r="F843" s="96">
        <v>0</v>
      </c>
      <c r="G843" s="69">
        <v>0</v>
      </c>
      <c r="H843" s="69">
        <f>ROUND(Levies!R26,0)</f>
        <v>436762</v>
      </c>
      <c r="I843" s="69">
        <f>ROUND(H843*1.06,0)</f>
        <v>462968</v>
      </c>
      <c r="J843" s="69">
        <f>ROUND(I843*1.06,0)</f>
        <v>490746</v>
      </c>
      <c r="M843" s="57"/>
    </row>
    <row r="844" spans="1:14" x14ac:dyDescent="0.2">
      <c r="A844" s="75">
        <v>2308</v>
      </c>
      <c r="B844" s="71" t="s">
        <v>2396</v>
      </c>
      <c r="C844" s="56">
        <v>8437</v>
      </c>
      <c r="D844" s="56">
        <v>2001050</v>
      </c>
      <c r="E844" s="56">
        <f>2001050-1000000</f>
        <v>1001050</v>
      </c>
      <c r="F844" s="56">
        <v>373605</v>
      </c>
      <c r="G844" s="56">
        <f>F844/$F$11*$G$11</f>
        <v>448326</v>
      </c>
      <c r="H844" s="56">
        <v>1000000</v>
      </c>
      <c r="I844" s="56">
        <v>100000</v>
      </c>
      <c r="J844" s="56">
        <f>ROUND(I844*1.05,0)</f>
        <v>105000</v>
      </c>
      <c r="M844" s="57"/>
    </row>
    <row r="845" spans="1:14" x14ac:dyDescent="0.2">
      <c r="B845" s="58" t="s">
        <v>436</v>
      </c>
      <c r="C845" s="72">
        <f t="shared" ref="C845:J845" si="116">SUM(C843:C844)</f>
        <v>384602</v>
      </c>
      <c r="D845" s="72">
        <f t="shared" si="116"/>
        <v>2001050</v>
      </c>
      <c r="E845" s="72">
        <f t="shared" si="116"/>
        <v>1001050</v>
      </c>
      <c r="F845" s="72">
        <f t="shared" si="116"/>
        <v>373605</v>
      </c>
      <c r="G845" s="72">
        <f t="shared" si="116"/>
        <v>448326</v>
      </c>
      <c r="H845" s="72">
        <f t="shared" si="116"/>
        <v>1436762</v>
      </c>
      <c r="I845" s="72">
        <f t="shared" si="116"/>
        <v>562968</v>
      </c>
      <c r="J845" s="72">
        <f t="shared" si="116"/>
        <v>595746</v>
      </c>
      <c r="M845" s="57"/>
    </row>
    <row r="846" spans="1:14" x14ac:dyDescent="0.2">
      <c r="B846" s="61"/>
      <c r="C846" s="56"/>
      <c r="D846" s="56"/>
      <c r="E846" s="56"/>
      <c r="F846" s="56"/>
      <c r="G846" s="56"/>
      <c r="H846" s="56"/>
      <c r="I846" s="56"/>
      <c r="J846" s="56"/>
      <c r="M846" s="57"/>
    </row>
    <row r="847" spans="1:14" x14ac:dyDescent="0.2">
      <c r="B847" s="58" t="s">
        <v>4055</v>
      </c>
      <c r="C847" s="73">
        <f t="shared" ref="C847:J847" si="117">C840+C845</f>
        <v>1510126</v>
      </c>
      <c r="D847" s="73">
        <f t="shared" si="117"/>
        <v>2736448</v>
      </c>
      <c r="E847" s="73">
        <f t="shared" si="117"/>
        <v>1736448</v>
      </c>
      <c r="F847" s="73">
        <f t="shared" si="117"/>
        <v>1109003</v>
      </c>
      <c r="G847" s="73">
        <f t="shared" si="117"/>
        <v>1183724</v>
      </c>
      <c r="H847" s="73">
        <f t="shared" si="117"/>
        <v>2383650</v>
      </c>
      <c r="I847" s="73">
        <f t="shared" si="117"/>
        <v>1663635</v>
      </c>
      <c r="J847" s="73">
        <f t="shared" si="117"/>
        <v>1762453</v>
      </c>
      <c r="M847" s="57"/>
    </row>
    <row r="848" spans="1:14" x14ac:dyDescent="0.2">
      <c r="B848" s="58"/>
      <c r="C848" s="73"/>
      <c r="D848" s="73"/>
      <c r="E848" s="73"/>
      <c r="F848" s="24"/>
      <c r="G848" s="69"/>
      <c r="H848" s="69"/>
      <c r="I848" s="73"/>
      <c r="J848" s="73"/>
      <c r="M848" s="57"/>
    </row>
    <row r="849" spans="1:13" x14ac:dyDescent="0.2">
      <c r="B849" s="58" t="s">
        <v>418</v>
      </c>
    </row>
    <row r="850" spans="1:13" x14ac:dyDescent="0.2">
      <c r="A850" s="101">
        <v>4209</v>
      </c>
      <c r="B850" s="71" t="s">
        <v>1066</v>
      </c>
      <c r="C850" s="62">
        <v>54948</v>
      </c>
      <c r="D850" s="105">
        <v>0</v>
      </c>
      <c r="E850" s="105">
        <v>0</v>
      </c>
      <c r="F850" s="56">
        <v>0</v>
      </c>
      <c r="G850" s="56">
        <v>0</v>
      </c>
      <c r="H850" s="56">
        <v>0</v>
      </c>
      <c r="I850" s="105">
        <v>0</v>
      </c>
      <c r="J850" s="105">
        <v>0</v>
      </c>
      <c r="M850" s="57"/>
    </row>
    <row r="851" spans="1:13" x14ac:dyDescent="0.2">
      <c r="B851" s="58" t="s">
        <v>419</v>
      </c>
      <c r="C851" s="154">
        <f t="shared" ref="C851:J851" si="118">SUM(C850)</f>
        <v>54948</v>
      </c>
      <c r="D851" s="154">
        <f t="shared" si="118"/>
        <v>0</v>
      </c>
      <c r="E851" s="154">
        <f t="shared" si="118"/>
        <v>0</v>
      </c>
      <c r="F851" s="154">
        <f t="shared" si="118"/>
        <v>0</v>
      </c>
      <c r="G851" s="154">
        <f t="shared" si="118"/>
        <v>0</v>
      </c>
      <c r="H851" s="154">
        <f t="shared" si="118"/>
        <v>0</v>
      </c>
      <c r="I851" s="154">
        <f t="shared" si="118"/>
        <v>0</v>
      </c>
      <c r="J851" s="154">
        <f t="shared" si="118"/>
        <v>0</v>
      </c>
    </row>
    <row r="852" spans="1:13" x14ac:dyDescent="0.2">
      <c r="B852" s="58"/>
      <c r="C852" s="72"/>
      <c r="D852" s="72"/>
      <c r="E852" s="72"/>
      <c r="F852" s="72"/>
      <c r="G852" s="72"/>
      <c r="H852" s="72"/>
      <c r="I852" s="72"/>
      <c r="J852" s="72"/>
      <c r="M852" s="57"/>
    </row>
    <row r="853" spans="1:13" ht="13.5" thickBot="1" x14ac:dyDescent="0.25">
      <c r="B853" s="65" t="s">
        <v>4033</v>
      </c>
      <c r="C853" s="76">
        <f t="shared" ref="C853:J853" si="119">C847+C851</f>
        <v>1565074</v>
      </c>
      <c r="D853" s="76">
        <f t="shared" si="119"/>
        <v>2736448</v>
      </c>
      <c r="E853" s="76">
        <f t="shared" si="119"/>
        <v>1736448</v>
      </c>
      <c r="F853" s="76">
        <f t="shared" si="119"/>
        <v>1109003</v>
      </c>
      <c r="G853" s="76">
        <f t="shared" si="119"/>
        <v>1183724</v>
      </c>
      <c r="H853" s="76">
        <f t="shared" si="119"/>
        <v>2383650</v>
      </c>
      <c r="I853" s="76">
        <f t="shared" si="119"/>
        <v>1663635</v>
      </c>
      <c r="J853" s="76">
        <f t="shared" si="119"/>
        <v>1762453</v>
      </c>
      <c r="M853" s="57"/>
    </row>
    <row r="854" spans="1:13" ht="13.5" thickTop="1" x14ac:dyDescent="0.2">
      <c r="B854" s="58"/>
      <c r="C854" s="72"/>
      <c r="D854" s="72"/>
      <c r="E854" s="72"/>
      <c r="F854" s="72"/>
      <c r="G854" s="72"/>
      <c r="H854" s="72"/>
      <c r="I854" s="72"/>
      <c r="J854" s="72"/>
      <c r="M854" s="57"/>
    </row>
    <row r="855" spans="1:13" ht="13.5" thickBot="1" x14ac:dyDescent="0.25">
      <c r="B855" s="65" t="s">
        <v>4059</v>
      </c>
      <c r="C855" s="77">
        <f t="shared" ref="C855:J855" si="120">C834-C853</f>
        <v>2615868</v>
      </c>
      <c r="D855" s="77">
        <f t="shared" si="120"/>
        <v>1949059</v>
      </c>
      <c r="E855" s="77">
        <f t="shared" si="120"/>
        <v>2292601</v>
      </c>
      <c r="F855" s="77">
        <f t="shared" si="120"/>
        <v>5154824.16</v>
      </c>
      <c r="G855" s="77">
        <f t="shared" si="120"/>
        <v>5117420.96</v>
      </c>
      <c r="H855" s="77">
        <f t="shared" si="120"/>
        <v>5590574</v>
      </c>
      <c r="I855" s="77">
        <f t="shared" si="120"/>
        <v>6192487</v>
      </c>
      <c r="J855" s="77">
        <f t="shared" si="120"/>
        <v>8462082</v>
      </c>
      <c r="M855" s="57"/>
    </row>
    <row r="856" spans="1:13" ht="13.5" thickTop="1" x14ac:dyDescent="0.2">
      <c r="B856" s="58"/>
      <c r="C856" s="78"/>
      <c r="D856" s="78"/>
      <c r="E856" s="78"/>
      <c r="G856" s="69"/>
      <c r="H856" s="69"/>
      <c r="I856" s="78"/>
      <c r="J856" s="78"/>
      <c r="M856" s="57"/>
    </row>
    <row r="857" spans="1:13" x14ac:dyDescent="0.2">
      <c r="G857" s="69"/>
      <c r="H857" s="69"/>
      <c r="M857" s="57"/>
    </row>
    <row r="858" spans="1:13" x14ac:dyDescent="0.2">
      <c r="G858" s="69"/>
      <c r="H858" s="69"/>
      <c r="M858" s="57"/>
    </row>
    <row r="859" spans="1:13" x14ac:dyDescent="0.2">
      <c r="G859" s="69"/>
      <c r="H859" s="69"/>
      <c r="M859" s="57"/>
    </row>
    <row r="860" spans="1:13" x14ac:dyDescent="0.2">
      <c r="G860" s="69"/>
      <c r="H860" s="69"/>
      <c r="M860" s="57"/>
    </row>
    <row r="861" spans="1:13" x14ac:dyDescent="0.2">
      <c r="G861" s="69"/>
      <c r="H861" s="69"/>
      <c r="M861" s="57"/>
    </row>
    <row r="862" spans="1:13" x14ac:dyDescent="0.2">
      <c r="G862" s="69"/>
      <c r="H862" s="69"/>
      <c r="M862" s="57"/>
    </row>
    <row r="863" spans="1:13" x14ac:dyDescent="0.2">
      <c r="G863" s="69"/>
      <c r="H863" s="69"/>
      <c r="M863" s="57"/>
    </row>
    <row r="864" spans="1:13" x14ac:dyDescent="0.2">
      <c r="G864" s="69"/>
      <c r="H864" s="69"/>
      <c r="M864" s="57"/>
    </row>
    <row r="865" spans="7:13" x14ac:dyDescent="0.2">
      <c r="G865" s="69"/>
      <c r="H865" s="69"/>
      <c r="M865" s="57"/>
    </row>
    <row r="866" spans="7:13" x14ac:dyDescent="0.2">
      <c r="G866" s="69"/>
      <c r="H866" s="69"/>
      <c r="M866" s="57"/>
    </row>
    <row r="867" spans="7:13" x14ac:dyDescent="0.2">
      <c r="G867" s="69"/>
      <c r="H867" s="69"/>
      <c r="M867" s="57"/>
    </row>
    <row r="868" spans="7:13" x14ac:dyDescent="0.2">
      <c r="G868" s="69"/>
      <c r="H868" s="69"/>
      <c r="M868" s="57"/>
    </row>
    <row r="869" spans="7:13" x14ac:dyDescent="0.2">
      <c r="G869" s="69"/>
      <c r="H869" s="69"/>
      <c r="M869" s="57"/>
    </row>
    <row r="870" spans="7:13" x14ac:dyDescent="0.2">
      <c r="G870" s="69"/>
      <c r="H870" s="69"/>
      <c r="M870" s="57"/>
    </row>
    <row r="871" spans="7:13" x14ac:dyDescent="0.2">
      <c r="G871" s="69"/>
      <c r="H871" s="69"/>
      <c r="M871" s="57"/>
    </row>
    <row r="872" spans="7:13" x14ac:dyDescent="0.2">
      <c r="G872" s="69"/>
      <c r="H872" s="69"/>
      <c r="M872" s="57"/>
    </row>
    <row r="873" spans="7:13" x14ac:dyDescent="0.2">
      <c r="G873" s="69"/>
      <c r="H873" s="69"/>
      <c r="M873" s="57"/>
    </row>
    <row r="874" spans="7:13" x14ac:dyDescent="0.2">
      <c r="G874" s="69"/>
      <c r="H874" s="69"/>
      <c r="M874" s="57"/>
    </row>
    <row r="875" spans="7:13" x14ac:dyDescent="0.2">
      <c r="G875" s="69"/>
      <c r="H875" s="69"/>
      <c r="M875" s="57"/>
    </row>
    <row r="876" spans="7:13" x14ac:dyDescent="0.2">
      <c r="G876" s="69"/>
      <c r="H876" s="69"/>
      <c r="M876" s="57"/>
    </row>
    <row r="877" spans="7:13" x14ac:dyDescent="0.2">
      <c r="G877" s="69"/>
      <c r="H877" s="69"/>
      <c r="M877" s="57"/>
    </row>
    <row r="878" spans="7:13" x14ac:dyDescent="0.2">
      <c r="G878" s="69"/>
      <c r="H878" s="69"/>
      <c r="M878" s="57"/>
    </row>
    <row r="879" spans="7:13" x14ac:dyDescent="0.2">
      <c r="G879" s="69"/>
      <c r="H879" s="69"/>
      <c r="M879" s="57"/>
    </row>
    <row r="880" spans="7:13" x14ac:dyDescent="0.2">
      <c r="G880" s="69"/>
      <c r="H880" s="69"/>
      <c r="M880" s="57"/>
    </row>
    <row r="881" spans="1:13" x14ac:dyDescent="0.2">
      <c r="G881" s="69"/>
      <c r="H881" s="69"/>
      <c r="M881" s="57"/>
    </row>
    <row r="882" spans="1:13" x14ac:dyDescent="0.2">
      <c r="G882" s="69"/>
      <c r="H882" s="69"/>
      <c r="M882" s="57"/>
    </row>
    <row r="883" spans="1:13" x14ac:dyDescent="0.2">
      <c r="G883" s="69"/>
      <c r="H883" s="69"/>
      <c r="M883" s="57"/>
    </row>
    <row r="884" spans="1:13" x14ac:dyDescent="0.2">
      <c r="G884" s="69"/>
      <c r="H884" s="69"/>
      <c r="M884" s="57"/>
    </row>
    <row r="885" spans="1:13" x14ac:dyDescent="0.2">
      <c r="G885" s="69"/>
      <c r="H885" s="69"/>
      <c r="M885" s="57"/>
    </row>
    <row r="886" spans="1:13" x14ac:dyDescent="0.2">
      <c r="G886" s="69"/>
      <c r="H886" s="69"/>
      <c r="M886" s="57"/>
    </row>
    <row r="887" spans="1:13" x14ac:dyDescent="0.2">
      <c r="G887" s="69"/>
      <c r="H887" s="69"/>
      <c r="M887" s="57"/>
    </row>
    <row r="888" spans="1:13" x14ac:dyDescent="0.2">
      <c r="G888" s="69"/>
      <c r="H888" s="69"/>
      <c r="M888" s="57"/>
    </row>
    <row r="889" spans="1:13" x14ac:dyDescent="0.2">
      <c r="A889" s="6"/>
      <c r="B889" s="6"/>
      <c r="C889" s="6"/>
      <c r="D889" s="6"/>
      <c r="E889" s="6"/>
      <c r="G889" s="69"/>
      <c r="H889" s="69"/>
      <c r="I889" s="6"/>
      <c r="J889" s="6"/>
      <c r="M889" s="57"/>
    </row>
    <row r="890" spans="1:13" x14ac:dyDescent="0.2">
      <c r="A890" s="6"/>
      <c r="B890" s="6"/>
      <c r="C890" s="6"/>
      <c r="D890" s="6"/>
      <c r="E890" s="6"/>
      <c r="G890" s="69"/>
      <c r="H890" s="69"/>
      <c r="I890" s="6"/>
      <c r="J890" s="6"/>
      <c r="M890" s="57"/>
    </row>
    <row r="891" spans="1:13" x14ac:dyDescent="0.2">
      <c r="A891" s="6"/>
      <c r="B891" s="6"/>
      <c r="C891" s="6"/>
      <c r="D891" s="6"/>
      <c r="E891" s="6"/>
      <c r="G891" s="69"/>
      <c r="H891" s="69"/>
      <c r="I891" s="6"/>
      <c r="J891" s="6"/>
      <c r="M891" s="57"/>
    </row>
    <row r="892" spans="1:13" x14ac:dyDescent="0.2">
      <c r="A892" s="6"/>
      <c r="B892" s="6"/>
      <c r="C892" s="6"/>
      <c r="D892" s="6"/>
      <c r="E892" s="6"/>
      <c r="G892" s="69"/>
      <c r="H892" s="69"/>
      <c r="I892" s="6"/>
      <c r="J892" s="6"/>
      <c r="M892" s="57"/>
    </row>
    <row r="893" spans="1:13" x14ac:dyDescent="0.2">
      <c r="A893" s="6"/>
      <c r="B893" s="6"/>
      <c r="C893" s="6"/>
      <c r="D893" s="6"/>
      <c r="E893" s="6"/>
      <c r="G893" s="69"/>
      <c r="H893" s="69"/>
      <c r="I893" s="6"/>
      <c r="J893" s="6"/>
      <c r="M893" s="57"/>
    </row>
    <row r="894" spans="1:13" ht="15" x14ac:dyDescent="0.25">
      <c r="A894" s="91">
        <v>1120</v>
      </c>
      <c r="B894" s="92" t="s">
        <v>494</v>
      </c>
      <c r="G894" s="69"/>
      <c r="H894" s="69"/>
      <c r="M894" s="57"/>
    </row>
    <row r="895" spans="1:13" x14ac:dyDescent="0.2">
      <c r="A895" s="67"/>
      <c r="B895" s="68"/>
      <c r="C895" s="68"/>
      <c r="D895" s="68"/>
      <c r="E895" s="68"/>
      <c r="G895" s="69"/>
      <c r="H895" s="69"/>
      <c r="I895" s="68"/>
      <c r="J895" s="68"/>
      <c r="M895" s="57"/>
    </row>
    <row r="896" spans="1:13" x14ac:dyDescent="0.2">
      <c r="A896" s="49"/>
      <c r="B896" s="50" t="s">
        <v>4018</v>
      </c>
      <c r="C896" s="50"/>
      <c r="D896" s="50"/>
      <c r="E896" s="50"/>
      <c r="G896" s="69"/>
      <c r="H896" s="69"/>
      <c r="I896" s="50"/>
      <c r="J896" s="50"/>
      <c r="M896" s="57"/>
    </row>
    <row r="897" spans="1:13" x14ac:dyDescent="0.2">
      <c r="A897" s="49"/>
      <c r="B897" s="50"/>
      <c r="C897" s="50"/>
      <c r="D897" s="50"/>
      <c r="E897" s="50"/>
      <c r="G897" s="69"/>
      <c r="H897" s="69"/>
      <c r="I897" s="50"/>
      <c r="J897" s="50"/>
      <c r="M897" s="57"/>
    </row>
    <row r="898" spans="1:13" x14ac:dyDescent="0.2">
      <c r="A898" s="60"/>
      <c r="B898" s="58" t="s">
        <v>4019</v>
      </c>
      <c r="C898" s="69"/>
      <c r="D898" s="69"/>
      <c r="E898" s="69"/>
      <c r="G898" s="69"/>
      <c r="H898" s="69"/>
      <c r="I898" s="69"/>
      <c r="J898" s="69"/>
      <c r="M898" s="57"/>
    </row>
    <row r="899" spans="1:13" x14ac:dyDescent="0.2">
      <c r="A899" s="60">
        <v>1001</v>
      </c>
      <c r="B899" s="70" t="s">
        <v>472</v>
      </c>
      <c r="C899" s="69">
        <v>227994</v>
      </c>
      <c r="D899" s="69">
        <v>271435</v>
      </c>
      <c r="E899" s="69">
        <v>256311</v>
      </c>
      <c r="F899" s="69">
        <v>252129</v>
      </c>
      <c r="G899" s="69">
        <f t="shared" ref="G899:G911" si="121">F899/$F$11*$G$11</f>
        <v>302554.80000000005</v>
      </c>
      <c r="H899" s="69">
        <f>[3]Salary_Bdgt!$H$141</f>
        <v>233607</v>
      </c>
      <c r="I899" s="69">
        <f t="shared" ref="I899:J911" si="122">ROUND(H899*1.08,0)</f>
        <v>252296</v>
      </c>
      <c r="J899" s="69">
        <f t="shared" si="122"/>
        <v>272480</v>
      </c>
      <c r="M899" s="57"/>
    </row>
    <row r="900" spans="1:13" x14ac:dyDescent="0.2">
      <c r="A900" s="60">
        <v>1005</v>
      </c>
      <c r="B900" s="70" t="s">
        <v>473</v>
      </c>
      <c r="C900" s="69">
        <v>34755</v>
      </c>
      <c r="D900" s="69">
        <v>22905</v>
      </c>
      <c r="E900" s="69">
        <f>+D900+7553</f>
        <v>30458</v>
      </c>
      <c r="F900" s="69">
        <v>31006</v>
      </c>
      <c r="G900" s="69">
        <f t="shared" si="121"/>
        <v>37207.199999999997</v>
      </c>
      <c r="H900" s="69">
        <f>+[3]Salary_Bdgt!$L$141</f>
        <v>26539</v>
      </c>
      <c r="I900" s="69">
        <f t="shared" si="122"/>
        <v>28662</v>
      </c>
      <c r="J900" s="69">
        <f t="shared" si="122"/>
        <v>30955</v>
      </c>
      <c r="M900" s="57"/>
    </row>
    <row r="901" spans="1:13" x14ac:dyDescent="0.2">
      <c r="A901" s="60">
        <v>1006</v>
      </c>
      <c r="B901" s="70" t="s">
        <v>474</v>
      </c>
      <c r="C901" s="69">
        <v>43794</v>
      </c>
      <c r="D901" s="69">
        <v>40921</v>
      </c>
      <c r="E901" s="69">
        <f>+D901+7571</f>
        <v>48492</v>
      </c>
      <c r="F901" s="69">
        <v>51138</v>
      </c>
      <c r="G901" s="69">
        <f t="shared" si="121"/>
        <v>61365.600000000006</v>
      </c>
      <c r="H901" s="69">
        <f>+[3]Salary_Bdgt!$N$141</f>
        <v>37240</v>
      </c>
      <c r="I901" s="69">
        <f t="shared" si="122"/>
        <v>40219</v>
      </c>
      <c r="J901" s="69">
        <f t="shared" si="122"/>
        <v>43437</v>
      </c>
      <c r="M901" s="57"/>
    </row>
    <row r="902" spans="1:13" x14ac:dyDescent="0.2">
      <c r="A902" s="60">
        <v>1007</v>
      </c>
      <c r="B902" s="70" t="s">
        <v>481</v>
      </c>
      <c r="C902" s="69">
        <v>3357</v>
      </c>
      <c r="D902" s="69">
        <v>5136</v>
      </c>
      <c r="E902" s="69">
        <f>+D902</f>
        <v>5136</v>
      </c>
      <c r="F902" s="69">
        <v>3470</v>
      </c>
      <c r="G902" s="69">
        <f t="shared" si="121"/>
        <v>4164</v>
      </c>
      <c r="H902" s="69">
        <f>+[3]Salary_Bdgt!$I$141</f>
        <v>4057</v>
      </c>
      <c r="I902" s="69">
        <f t="shared" si="122"/>
        <v>4382</v>
      </c>
      <c r="J902" s="69">
        <f t="shared" si="122"/>
        <v>4733</v>
      </c>
      <c r="M902" s="57"/>
    </row>
    <row r="903" spans="1:13" x14ac:dyDescent="0.2">
      <c r="A903" s="60">
        <v>1009</v>
      </c>
      <c r="B903" s="70" t="s">
        <v>482</v>
      </c>
      <c r="C903" s="69">
        <v>145</v>
      </c>
      <c r="D903" s="69">
        <f>[2]Sal_RIA!$M$105</f>
        <v>154</v>
      </c>
      <c r="E903" s="69">
        <f>+D903</f>
        <v>154</v>
      </c>
      <c r="F903" s="69">
        <v>150</v>
      </c>
      <c r="G903" s="69">
        <f t="shared" si="121"/>
        <v>180</v>
      </c>
      <c r="H903" s="69">
        <f>+[3]Salary_Bdgt!$M$141</f>
        <v>135</v>
      </c>
      <c r="I903" s="69">
        <f t="shared" si="122"/>
        <v>146</v>
      </c>
      <c r="J903" s="69">
        <f t="shared" si="122"/>
        <v>158</v>
      </c>
      <c r="M903" s="57"/>
    </row>
    <row r="904" spans="1:13" x14ac:dyDescent="0.2">
      <c r="A904" s="60">
        <v>1010</v>
      </c>
      <c r="B904" s="70" t="s">
        <v>28</v>
      </c>
      <c r="C904" s="69">
        <v>17156</v>
      </c>
      <c r="D904" s="69">
        <v>22620</v>
      </c>
      <c r="E904" s="69">
        <f>+D904</f>
        <v>22620</v>
      </c>
      <c r="F904" s="69">
        <v>25337</v>
      </c>
      <c r="G904" s="69">
        <f t="shared" si="121"/>
        <v>30404.399999999998</v>
      </c>
      <c r="H904" s="69">
        <f>+[3]Salary_Bdgt!$Q$141</f>
        <v>19467</v>
      </c>
      <c r="I904" s="69">
        <f t="shared" si="122"/>
        <v>21024</v>
      </c>
      <c r="J904" s="69">
        <f t="shared" si="122"/>
        <v>22706</v>
      </c>
      <c r="M904" s="57"/>
    </row>
    <row r="905" spans="1:13" x14ac:dyDescent="0.2">
      <c r="A905" s="60">
        <v>1011</v>
      </c>
      <c r="B905" s="70" t="s">
        <v>4045</v>
      </c>
      <c r="C905" s="69">
        <v>0</v>
      </c>
      <c r="D905" s="69">
        <v>0</v>
      </c>
      <c r="E905" s="69">
        <v>0</v>
      </c>
      <c r="F905" s="69">
        <v>0</v>
      </c>
      <c r="G905" s="69">
        <f t="shared" si="121"/>
        <v>0</v>
      </c>
      <c r="H905" s="69">
        <f>+[3]Salary_Bdgt!$U$141</f>
        <v>29336</v>
      </c>
      <c r="I905" s="69">
        <f t="shared" si="122"/>
        <v>31683</v>
      </c>
      <c r="J905" s="69">
        <f t="shared" si="122"/>
        <v>34218</v>
      </c>
      <c r="M905" s="57"/>
    </row>
    <row r="906" spans="1:13" x14ac:dyDescent="0.2">
      <c r="A906" s="60">
        <v>1014</v>
      </c>
      <c r="B906" s="70" t="s">
        <v>36</v>
      </c>
      <c r="C906" s="69">
        <v>8856</v>
      </c>
      <c r="D906" s="69">
        <f>[2]Sal_RIA!$S$105</f>
        <v>8012</v>
      </c>
      <c r="E906" s="69">
        <f t="shared" ref="E906:E911" si="123">+D906</f>
        <v>8012</v>
      </c>
      <c r="F906" s="69">
        <v>5705</v>
      </c>
      <c r="G906" s="69">
        <f t="shared" si="121"/>
        <v>6846</v>
      </c>
      <c r="H906" s="69">
        <f>+[3]Salary_Bdgt!$S$141</f>
        <v>6402</v>
      </c>
      <c r="I906" s="69">
        <f t="shared" si="122"/>
        <v>6914</v>
      </c>
      <c r="J906" s="69">
        <f t="shared" si="122"/>
        <v>7467</v>
      </c>
      <c r="M906" s="57"/>
    </row>
    <row r="907" spans="1:13" x14ac:dyDescent="0.2">
      <c r="A907" s="60">
        <v>1015</v>
      </c>
      <c r="B907" s="70" t="s">
        <v>445</v>
      </c>
      <c r="C907" s="69">
        <v>40498</v>
      </c>
      <c r="D907" s="69">
        <v>55182</v>
      </c>
      <c r="E907" s="69">
        <f t="shared" si="123"/>
        <v>55182</v>
      </c>
      <c r="F907" s="69">
        <v>441</v>
      </c>
      <c r="G907" s="69">
        <f t="shared" si="121"/>
        <v>529.20000000000005</v>
      </c>
      <c r="H907" s="69">
        <f>+[3]Salary_Bdgt!$O$141+[3]Salary_Bdgt!$P$141+[3]Salary_Bdgt!$W$141</f>
        <v>0</v>
      </c>
      <c r="I907" s="69">
        <f t="shared" si="122"/>
        <v>0</v>
      </c>
      <c r="J907" s="69">
        <f t="shared" si="122"/>
        <v>0</v>
      </c>
      <c r="M907" s="57"/>
    </row>
    <row r="908" spans="1:13" x14ac:dyDescent="0.2">
      <c r="A908" s="60">
        <v>1016</v>
      </c>
      <c r="B908" s="70" t="s">
        <v>475</v>
      </c>
      <c r="C908" s="69">
        <v>0</v>
      </c>
      <c r="D908" s="69">
        <v>29879</v>
      </c>
      <c r="E908" s="69">
        <f t="shared" si="123"/>
        <v>29879</v>
      </c>
      <c r="F908" s="69">
        <v>5159</v>
      </c>
      <c r="G908" s="69">
        <f t="shared" si="121"/>
        <v>6190.7999999999993</v>
      </c>
      <c r="H908" s="69">
        <f>+[3]Salary_Bdgt!$T$141+[3]Salary_Bdgt!$V$141</f>
        <v>68222</v>
      </c>
      <c r="I908" s="69">
        <f t="shared" si="122"/>
        <v>73680</v>
      </c>
      <c r="J908" s="69">
        <f t="shared" si="122"/>
        <v>79574</v>
      </c>
      <c r="M908" s="57"/>
    </row>
    <row r="909" spans="1:13" x14ac:dyDescent="0.2">
      <c r="A909" s="60">
        <v>1017</v>
      </c>
      <c r="B909" s="70" t="s">
        <v>4044</v>
      </c>
      <c r="C909" s="69">
        <v>3893</v>
      </c>
      <c r="D909" s="69">
        <v>6546</v>
      </c>
      <c r="E909" s="69">
        <f t="shared" si="123"/>
        <v>6546</v>
      </c>
      <c r="F909" s="69">
        <v>1798</v>
      </c>
      <c r="G909" s="69">
        <f t="shared" si="121"/>
        <v>2157.6000000000004</v>
      </c>
      <c r="H909" s="69">
        <f>+[3]Salary_Bdgt!$J$141</f>
        <v>5433</v>
      </c>
      <c r="I909" s="69">
        <f t="shared" si="122"/>
        <v>5868</v>
      </c>
      <c r="J909" s="69">
        <f t="shared" si="122"/>
        <v>6337</v>
      </c>
      <c r="M909" s="57"/>
    </row>
    <row r="910" spans="1:13" x14ac:dyDescent="0.2">
      <c r="A910" s="60">
        <v>1046</v>
      </c>
      <c r="B910" s="70" t="s">
        <v>491</v>
      </c>
      <c r="C910" s="69">
        <v>33600</v>
      </c>
      <c r="D910" s="69">
        <v>36960</v>
      </c>
      <c r="E910" s="69">
        <f t="shared" si="123"/>
        <v>36960</v>
      </c>
      <c r="F910" s="69">
        <v>28000</v>
      </c>
      <c r="G910" s="69">
        <f t="shared" si="121"/>
        <v>33600</v>
      </c>
      <c r="H910" s="69">
        <f>+[3]Salary_Bdgt!$R$141</f>
        <v>36288</v>
      </c>
      <c r="I910" s="69">
        <f t="shared" si="122"/>
        <v>39191</v>
      </c>
      <c r="J910" s="69">
        <f t="shared" si="122"/>
        <v>42326</v>
      </c>
      <c r="M910" s="57"/>
    </row>
    <row r="911" spans="1:13" x14ac:dyDescent="0.2">
      <c r="A911" s="60">
        <v>1182</v>
      </c>
      <c r="B911" s="71" t="s">
        <v>1065</v>
      </c>
      <c r="C911" s="56">
        <v>2759</v>
      </c>
      <c r="D911" s="56">
        <v>6088</v>
      </c>
      <c r="E911" s="56">
        <f t="shared" si="123"/>
        <v>6088</v>
      </c>
      <c r="F911" s="56">
        <v>0</v>
      </c>
      <c r="G911" s="56">
        <f t="shared" si="121"/>
        <v>0</v>
      </c>
      <c r="H911" s="56">
        <f>+[3]Salary_Bdgt!$K$141</f>
        <v>5053</v>
      </c>
      <c r="I911" s="56">
        <f t="shared" si="122"/>
        <v>5457</v>
      </c>
      <c r="J911" s="56">
        <f t="shared" si="122"/>
        <v>5894</v>
      </c>
      <c r="M911" s="57"/>
    </row>
    <row r="912" spans="1:13" x14ac:dyDescent="0.2">
      <c r="A912" s="60"/>
      <c r="B912" s="58" t="s">
        <v>416</v>
      </c>
      <c r="C912" s="72">
        <f t="shared" ref="C912:J912" si="124">SUM(C899:C911)</f>
        <v>416807</v>
      </c>
      <c r="D912" s="72">
        <f t="shared" si="124"/>
        <v>505838</v>
      </c>
      <c r="E912" s="72">
        <f t="shared" si="124"/>
        <v>505838</v>
      </c>
      <c r="F912" s="72">
        <f t="shared" si="124"/>
        <v>404333</v>
      </c>
      <c r="G912" s="72">
        <f t="shared" si="124"/>
        <v>485199.60000000009</v>
      </c>
      <c r="H912" s="72">
        <f t="shared" si="124"/>
        <v>471779</v>
      </c>
      <c r="I912" s="72">
        <f t="shared" si="124"/>
        <v>509522</v>
      </c>
      <c r="J912" s="72">
        <f t="shared" si="124"/>
        <v>550285</v>
      </c>
      <c r="M912" s="57"/>
    </row>
    <row r="913" spans="1:13" x14ac:dyDescent="0.2">
      <c r="A913" s="60"/>
      <c r="B913" s="58"/>
      <c r="C913" s="69"/>
      <c r="D913" s="69"/>
      <c r="E913" s="69"/>
      <c r="G913" s="69"/>
      <c r="H913" s="69"/>
      <c r="I913" s="69"/>
      <c r="J913" s="69"/>
      <c r="M913" s="57"/>
    </row>
    <row r="914" spans="1:13" x14ac:dyDescent="0.2">
      <c r="A914" s="60"/>
      <c r="B914" s="58" t="s">
        <v>4021</v>
      </c>
      <c r="C914" s="69"/>
      <c r="D914" s="69"/>
      <c r="E914" s="69"/>
      <c r="G914" s="69"/>
      <c r="H914" s="69"/>
      <c r="I914" s="69"/>
      <c r="J914" s="69"/>
      <c r="M914" s="57"/>
    </row>
    <row r="915" spans="1:13" x14ac:dyDescent="0.2">
      <c r="A915" s="60">
        <v>3207</v>
      </c>
      <c r="B915" s="70" t="s">
        <v>4046</v>
      </c>
      <c r="C915" s="69">
        <v>20181</v>
      </c>
      <c r="D915" s="69">
        <v>105000</v>
      </c>
      <c r="E915" s="69">
        <v>105000</v>
      </c>
      <c r="F915" s="69">
        <v>10233</v>
      </c>
      <c r="G915" s="69">
        <f>F915/$F$11*$G$11</f>
        <v>12279.599999999999</v>
      </c>
      <c r="H915" s="69">
        <f>ROUND(E915*1.05,0)</f>
        <v>110250</v>
      </c>
      <c r="I915" s="69">
        <f>ROUND(H915*1.06,0)</f>
        <v>116865</v>
      </c>
      <c r="J915" s="69">
        <f>ROUND(I915*1.06,0)</f>
        <v>123877</v>
      </c>
      <c r="M915" s="57"/>
    </row>
    <row r="916" spans="1:13" x14ac:dyDescent="0.2">
      <c r="A916" s="60">
        <v>3215</v>
      </c>
      <c r="B916" s="71" t="s">
        <v>42</v>
      </c>
      <c r="C916" s="56">
        <v>104218</v>
      </c>
      <c r="D916" s="56">
        <v>294000</v>
      </c>
      <c r="E916" s="56">
        <v>294000</v>
      </c>
      <c r="F916" s="56">
        <v>51095</v>
      </c>
      <c r="G916" s="56">
        <f>F916/$F$11*$G$11</f>
        <v>61314</v>
      </c>
      <c r="H916" s="56">
        <v>0</v>
      </c>
      <c r="I916" s="56">
        <f>ROUND(H916*1.06,0)</f>
        <v>0</v>
      </c>
      <c r="J916" s="56">
        <f>ROUND(I916*1.06,0)</f>
        <v>0</v>
      </c>
      <c r="M916" s="57"/>
    </row>
    <row r="917" spans="1:13" x14ac:dyDescent="0.2">
      <c r="A917" s="60"/>
      <c r="B917" s="58" t="s">
        <v>417</v>
      </c>
      <c r="C917" s="72">
        <f>SUM(C915:C916)</f>
        <v>124399</v>
      </c>
      <c r="D917" s="72">
        <f t="shared" ref="D917:J917" si="125">SUM(D915:D916)</f>
        <v>399000</v>
      </c>
      <c r="E917" s="72">
        <f t="shared" si="125"/>
        <v>399000</v>
      </c>
      <c r="F917" s="72">
        <f t="shared" si="125"/>
        <v>61328</v>
      </c>
      <c r="G917" s="72">
        <f t="shared" si="125"/>
        <v>73593.600000000006</v>
      </c>
      <c r="H917" s="72">
        <f t="shared" si="125"/>
        <v>110250</v>
      </c>
      <c r="I917" s="72">
        <f t="shared" si="125"/>
        <v>116865</v>
      </c>
      <c r="J917" s="72">
        <f t="shared" si="125"/>
        <v>123877</v>
      </c>
      <c r="M917" s="57"/>
    </row>
    <row r="918" spans="1:13" x14ac:dyDescent="0.2">
      <c r="A918" s="60"/>
      <c r="B918" s="58"/>
      <c r="C918" s="69"/>
      <c r="D918" s="69"/>
      <c r="E918" s="69"/>
      <c r="G918" s="69"/>
      <c r="H918" s="69"/>
      <c r="I918" s="69"/>
      <c r="J918" s="69"/>
      <c r="M918" s="57"/>
    </row>
    <row r="919" spans="1:13" x14ac:dyDescent="0.2">
      <c r="A919" s="60"/>
      <c r="B919" s="58" t="s">
        <v>435</v>
      </c>
      <c r="C919" s="69"/>
      <c r="D919" s="69"/>
      <c r="E919" s="69"/>
      <c r="G919" s="69"/>
      <c r="H919" s="69"/>
      <c r="I919" s="69"/>
      <c r="J919" s="69"/>
      <c r="M919" s="57"/>
    </row>
    <row r="920" spans="1:13" x14ac:dyDescent="0.2">
      <c r="A920" s="60">
        <v>2113</v>
      </c>
      <c r="B920" s="70" t="s">
        <v>21</v>
      </c>
      <c r="C920" s="69">
        <v>0</v>
      </c>
      <c r="D920" s="69">
        <v>1050</v>
      </c>
      <c r="E920" s="69">
        <v>1050</v>
      </c>
      <c r="F920" s="69">
        <v>3133</v>
      </c>
      <c r="G920" s="69">
        <f t="shared" ref="G920:G932" si="126">F920/$F$11*$G$11</f>
        <v>3759.6000000000004</v>
      </c>
      <c r="H920" s="69">
        <f>ROUND(E920*1.05,0)</f>
        <v>1103</v>
      </c>
      <c r="I920" s="69">
        <f t="shared" ref="I920:J932" si="127">ROUND(H920*1.06,0)</f>
        <v>1169</v>
      </c>
      <c r="J920" s="69">
        <f t="shared" si="127"/>
        <v>1239</v>
      </c>
      <c r="M920" s="57"/>
    </row>
    <row r="921" spans="1:13" x14ac:dyDescent="0.2">
      <c r="A921" s="60">
        <v>2138</v>
      </c>
      <c r="B921" s="64" t="s">
        <v>209</v>
      </c>
      <c r="C921" s="69">
        <v>0</v>
      </c>
      <c r="D921" s="69">
        <v>75000</v>
      </c>
      <c r="E921" s="69">
        <f>75000</f>
        <v>75000</v>
      </c>
      <c r="F921" s="69">
        <v>0</v>
      </c>
      <c r="G921" s="69">
        <f t="shared" si="126"/>
        <v>0</v>
      </c>
      <c r="H921" s="69">
        <f>ROUND(E921*1.05,0)</f>
        <v>78750</v>
      </c>
      <c r="I921" s="69">
        <f t="shared" si="127"/>
        <v>83475</v>
      </c>
      <c r="J921" s="69">
        <f t="shared" si="127"/>
        <v>88484</v>
      </c>
      <c r="M921" s="57"/>
    </row>
    <row r="922" spans="1:13" x14ac:dyDescent="0.2">
      <c r="A922" s="60">
        <v>2207</v>
      </c>
      <c r="B922" s="70" t="s">
        <v>4063</v>
      </c>
      <c r="C922" s="69">
        <v>0</v>
      </c>
      <c r="D922" s="69">
        <v>1050</v>
      </c>
      <c r="E922" s="69">
        <v>1050</v>
      </c>
      <c r="F922" s="69">
        <v>0</v>
      </c>
      <c r="G922" s="69">
        <f t="shared" si="126"/>
        <v>0</v>
      </c>
      <c r="H922" s="69">
        <v>0</v>
      </c>
      <c r="I922" s="69">
        <f t="shared" si="127"/>
        <v>0</v>
      </c>
      <c r="J922" s="69">
        <f t="shared" si="127"/>
        <v>0</v>
      </c>
      <c r="M922" s="57"/>
    </row>
    <row r="923" spans="1:13" x14ac:dyDescent="0.2">
      <c r="A923" s="60">
        <v>2212</v>
      </c>
      <c r="B923" s="70" t="s">
        <v>488</v>
      </c>
      <c r="C923" s="69">
        <v>0</v>
      </c>
      <c r="D923" s="69">
        <v>525</v>
      </c>
      <c r="E923" s="69">
        <v>525</v>
      </c>
      <c r="F923" s="69">
        <v>0</v>
      </c>
      <c r="G923" s="69">
        <f t="shared" si="126"/>
        <v>0</v>
      </c>
      <c r="H923" s="69">
        <f>ROUND(E923*1.05,0)</f>
        <v>551</v>
      </c>
      <c r="I923" s="69">
        <f t="shared" si="127"/>
        <v>584</v>
      </c>
      <c r="J923" s="69">
        <f t="shared" si="127"/>
        <v>619</v>
      </c>
      <c r="M923" s="57"/>
    </row>
    <row r="924" spans="1:13" x14ac:dyDescent="0.2">
      <c r="A924" s="75">
        <v>2224</v>
      </c>
      <c r="B924" s="70" t="s">
        <v>2954</v>
      </c>
      <c r="C924" s="69">
        <v>18092</v>
      </c>
      <c r="D924" s="69">
        <v>1659</v>
      </c>
      <c r="E924" s="69">
        <v>1659</v>
      </c>
      <c r="F924" s="69">
        <v>1722</v>
      </c>
      <c r="G924" s="69">
        <f t="shared" si="126"/>
        <v>2066.3999999999996</v>
      </c>
      <c r="H924" s="69">
        <f>ROUND(E924*1.05,0)</f>
        <v>1742</v>
      </c>
      <c r="I924" s="69">
        <f t="shared" si="127"/>
        <v>1847</v>
      </c>
      <c r="J924" s="69">
        <f t="shared" si="127"/>
        <v>1958</v>
      </c>
      <c r="M924" s="57"/>
    </row>
    <row r="925" spans="1:13" x14ac:dyDescent="0.2">
      <c r="A925" s="60">
        <v>2225</v>
      </c>
      <c r="B925" s="70" t="s">
        <v>477</v>
      </c>
      <c r="C925" s="69">
        <v>148019</v>
      </c>
      <c r="D925" s="69">
        <v>567000</v>
      </c>
      <c r="E925" s="69">
        <v>567000</v>
      </c>
      <c r="F925" s="69">
        <f>1793+4995</f>
        <v>6788</v>
      </c>
      <c r="G925" s="69">
        <f t="shared" si="126"/>
        <v>8145.5999999999995</v>
      </c>
      <c r="H925" s="69">
        <f>ROUND(E925*1.05,0)</f>
        <v>595350</v>
      </c>
      <c r="I925" s="69">
        <f t="shared" si="127"/>
        <v>631071</v>
      </c>
      <c r="J925" s="69">
        <f t="shared" si="127"/>
        <v>668935</v>
      </c>
      <c r="M925" s="57"/>
    </row>
    <row r="926" spans="1:13" x14ac:dyDescent="0.2">
      <c r="A926" s="75">
        <v>2227</v>
      </c>
      <c r="B926" s="70" t="s">
        <v>448</v>
      </c>
      <c r="C926" s="69">
        <v>777</v>
      </c>
      <c r="D926" s="69">
        <v>1050</v>
      </c>
      <c r="E926" s="69">
        <v>1050</v>
      </c>
      <c r="F926" s="69">
        <v>0</v>
      </c>
      <c r="G926" s="69">
        <f t="shared" si="126"/>
        <v>0</v>
      </c>
      <c r="H926" s="69">
        <f>ROUND(E926*1.05,0)</f>
        <v>1103</v>
      </c>
      <c r="I926" s="69">
        <f t="shared" si="127"/>
        <v>1169</v>
      </c>
      <c r="J926" s="69">
        <f t="shared" si="127"/>
        <v>1239</v>
      </c>
      <c r="M926" s="57"/>
    </row>
    <row r="927" spans="1:13" x14ac:dyDescent="0.2">
      <c r="A927" s="60">
        <v>2233</v>
      </c>
      <c r="B927" s="70" t="s">
        <v>497</v>
      </c>
      <c r="C927" s="69">
        <v>7620</v>
      </c>
      <c r="D927" s="69">
        <v>25000</v>
      </c>
      <c r="E927" s="69">
        <v>25000</v>
      </c>
      <c r="F927" s="69">
        <v>0</v>
      </c>
      <c r="G927" s="69">
        <f t="shared" si="126"/>
        <v>0</v>
      </c>
      <c r="H927" s="69">
        <v>0</v>
      </c>
      <c r="I927" s="69">
        <f t="shared" si="127"/>
        <v>0</v>
      </c>
      <c r="J927" s="69">
        <f t="shared" si="127"/>
        <v>0</v>
      </c>
      <c r="M927" s="57"/>
    </row>
    <row r="928" spans="1:13" x14ac:dyDescent="0.2">
      <c r="A928" s="60">
        <v>2238</v>
      </c>
      <c r="B928" s="70" t="s">
        <v>479</v>
      </c>
      <c r="C928" s="69">
        <v>11761</v>
      </c>
      <c r="D928" s="69">
        <v>50000</v>
      </c>
      <c r="E928" s="69">
        <v>50000</v>
      </c>
      <c r="F928" s="69">
        <v>22750</v>
      </c>
      <c r="G928" s="69">
        <f t="shared" si="126"/>
        <v>27300</v>
      </c>
      <c r="H928" s="69">
        <f>ROUND(E928*1.05,0)</f>
        <v>52500</v>
      </c>
      <c r="I928" s="69">
        <f t="shared" si="127"/>
        <v>55650</v>
      </c>
      <c r="J928" s="69">
        <f t="shared" si="127"/>
        <v>58989</v>
      </c>
      <c r="M928" s="57"/>
    </row>
    <row r="929" spans="1:13" x14ac:dyDescent="0.2">
      <c r="A929" s="75">
        <v>2240</v>
      </c>
      <c r="B929" s="70" t="s">
        <v>210</v>
      </c>
      <c r="C929" s="69">
        <f>344167-136329</f>
        <v>207838</v>
      </c>
      <c r="D929" s="69">
        <v>457500</v>
      </c>
      <c r="E929" s="69">
        <v>457500</v>
      </c>
      <c r="F929" s="69">
        <f>155451+190138</f>
        <v>345589</v>
      </c>
      <c r="G929" s="69">
        <f t="shared" si="126"/>
        <v>414706.80000000005</v>
      </c>
      <c r="H929" s="69">
        <f>ROUND(E929*1.05,0)</f>
        <v>480375</v>
      </c>
      <c r="I929" s="69">
        <f t="shared" si="127"/>
        <v>509198</v>
      </c>
      <c r="J929" s="69">
        <f t="shared" si="127"/>
        <v>539750</v>
      </c>
      <c r="M929" s="57"/>
    </row>
    <row r="930" spans="1:13" x14ac:dyDescent="0.2">
      <c r="A930" s="60">
        <v>2246</v>
      </c>
      <c r="B930" s="70" t="s">
        <v>2422</v>
      </c>
      <c r="C930" s="69">
        <v>2329</v>
      </c>
      <c r="D930" s="69">
        <v>1050</v>
      </c>
      <c r="E930" s="69">
        <v>1050</v>
      </c>
      <c r="F930" s="69">
        <v>3360</v>
      </c>
      <c r="G930" s="69">
        <f t="shared" si="126"/>
        <v>4032</v>
      </c>
      <c r="H930" s="69">
        <f>ROUND(E930*1.05,0)</f>
        <v>1103</v>
      </c>
      <c r="I930" s="69">
        <f t="shared" si="127"/>
        <v>1169</v>
      </c>
      <c r="J930" s="69">
        <f t="shared" si="127"/>
        <v>1239</v>
      </c>
      <c r="M930" s="57"/>
    </row>
    <row r="931" spans="1:13" x14ac:dyDescent="0.2">
      <c r="A931" s="60">
        <v>2256</v>
      </c>
      <c r="B931" s="70" t="s">
        <v>4054</v>
      </c>
      <c r="C931" s="69">
        <v>89825</v>
      </c>
      <c r="D931" s="69">
        <v>27038</v>
      </c>
      <c r="E931" s="69">
        <v>27038</v>
      </c>
      <c r="F931" s="69">
        <v>910368</v>
      </c>
      <c r="G931" s="69">
        <f t="shared" si="126"/>
        <v>1092441.6000000001</v>
      </c>
      <c r="H931" s="69">
        <f>ROUND(E931*1.05,0)</f>
        <v>28390</v>
      </c>
      <c r="I931" s="69">
        <f t="shared" si="127"/>
        <v>30093</v>
      </c>
      <c r="J931" s="69">
        <f t="shared" si="127"/>
        <v>31899</v>
      </c>
      <c r="M931" s="57"/>
    </row>
    <row r="932" spans="1:13" x14ac:dyDescent="0.2">
      <c r="A932" s="75">
        <v>2305</v>
      </c>
      <c r="B932" s="71" t="s">
        <v>31</v>
      </c>
      <c r="C932" s="56">
        <v>151</v>
      </c>
      <c r="D932" s="56">
        <v>1050</v>
      </c>
      <c r="E932" s="56">
        <v>1050</v>
      </c>
      <c r="F932" s="56">
        <v>0</v>
      </c>
      <c r="G932" s="56">
        <f t="shared" si="126"/>
        <v>0</v>
      </c>
      <c r="H932" s="56">
        <f>ROUND(E932*1.05,0)</f>
        <v>1103</v>
      </c>
      <c r="I932" s="56">
        <f t="shared" si="127"/>
        <v>1169</v>
      </c>
      <c r="J932" s="56">
        <f t="shared" si="127"/>
        <v>1239</v>
      </c>
      <c r="M932" s="57"/>
    </row>
    <row r="933" spans="1:13" x14ac:dyDescent="0.2">
      <c r="A933" s="60"/>
      <c r="B933" s="58" t="s">
        <v>436</v>
      </c>
      <c r="C933" s="72">
        <f t="shared" ref="C933:J933" si="128">SUM(C920:C932)</f>
        <v>486412</v>
      </c>
      <c r="D933" s="72">
        <f t="shared" si="128"/>
        <v>1208972</v>
      </c>
      <c r="E933" s="72">
        <f t="shared" si="128"/>
        <v>1208972</v>
      </c>
      <c r="F933" s="72">
        <f t="shared" si="128"/>
        <v>1293710</v>
      </c>
      <c r="G933" s="72">
        <f t="shared" si="128"/>
        <v>1552452</v>
      </c>
      <c r="H933" s="72">
        <f t="shared" si="128"/>
        <v>1242070</v>
      </c>
      <c r="I933" s="72">
        <f t="shared" si="128"/>
        <v>1316594</v>
      </c>
      <c r="J933" s="72">
        <f t="shared" si="128"/>
        <v>1395590</v>
      </c>
      <c r="M933" s="57"/>
    </row>
    <row r="934" spans="1:13" x14ac:dyDescent="0.2">
      <c r="A934" s="60"/>
      <c r="B934" s="58"/>
      <c r="C934" s="72"/>
      <c r="D934" s="72"/>
      <c r="E934" s="72"/>
      <c r="F934" s="72"/>
      <c r="G934" s="72"/>
      <c r="H934" s="72"/>
      <c r="I934" s="72"/>
      <c r="J934" s="72"/>
      <c r="M934" s="57"/>
    </row>
    <row r="935" spans="1:13" x14ac:dyDescent="0.2">
      <c r="A935" s="60"/>
      <c r="B935" s="58" t="s">
        <v>2694</v>
      </c>
      <c r="C935" s="72"/>
      <c r="D935" s="72"/>
      <c r="E935" s="72"/>
      <c r="F935" s="72"/>
      <c r="G935" s="72"/>
      <c r="H935" s="72"/>
      <c r="I935" s="72"/>
      <c r="J935" s="72"/>
      <c r="M935" s="57"/>
    </row>
    <row r="936" spans="1:13" x14ac:dyDescent="0.2">
      <c r="A936" s="60"/>
      <c r="B936" s="55" t="s">
        <v>2389</v>
      </c>
      <c r="C936" s="128">
        <v>0</v>
      </c>
      <c r="D936" s="128">
        <v>0</v>
      </c>
      <c r="E936" s="128">
        <v>0</v>
      </c>
      <c r="F936" s="128">
        <v>0</v>
      </c>
      <c r="G936" s="128">
        <v>0</v>
      </c>
      <c r="H936" s="128">
        <v>2322154</v>
      </c>
      <c r="I936" s="128">
        <v>2322154</v>
      </c>
      <c r="J936" s="128">
        <v>2322154</v>
      </c>
      <c r="M936" s="57"/>
    </row>
    <row r="937" spans="1:13" x14ac:dyDescent="0.2">
      <c r="A937" s="60"/>
      <c r="B937" s="58" t="s">
        <v>3431</v>
      </c>
      <c r="C937" s="72">
        <f t="shared" ref="C937:J937" si="129">SUM(C936)</f>
        <v>0</v>
      </c>
      <c r="D937" s="72">
        <f t="shared" si="129"/>
        <v>0</v>
      </c>
      <c r="E937" s="72">
        <f t="shared" si="129"/>
        <v>0</v>
      </c>
      <c r="F937" s="72">
        <f t="shared" si="129"/>
        <v>0</v>
      </c>
      <c r="G937" s="72">
        <f t="shared" si="129"/>
        <v>0</v>
      </c>
      <c r="H937" s="72">
        <f t="shared" si="129"/>
        <v>2322154</v>
      </c>
      <c r="I937" s="72">
        <f t="shared" si="129"/>
        <v>2322154</v>
      </c>
      <c r="J937" s="72">
        <f t="shared" si="129"/>
        <v>2322154</v>
      </c>
      <c r="M937" s="57"/>
    </row>
    <row r="938" spans="1:13" x14ac:dyDescent="0.2">
      <c r="A938" s="60"/>
      <c r="B938" s="58"/>
      <c r="C938" s="72"/>
      <c r="D938" s="72"/>
      <c r="E938" s="72"/>
      <c r="F938" s="72"/>
      <c r="G938" s="72"/>
      <c r="H938" s="72"/>
      <c r="I938" s="72"/>
      <c r="J938" s="72"/>
      <c r="M938" s="57"/>
    </row>
    <row r="939" spans="1:13" x14ac:dyDescent="0.2">
      <c r="A939" s="67"/>
      <c r="B939" s="61"/>
      <c r="C939" s="97"/>
      <c r="D939" s="97"/>
      <c r="E939" s="97"/>
      <c r="F939" s="97"/>
      <c r="G939" s="97"/>
      <c r="H939" s="97"/>
      <c r="I939" s="97"/>
      <c r="J939" s="97"/>
      <c r="M939" s="57"/>
    </row>
    <row r="940" spans="1:13" x14ac:dyDescent="0.2">
      <c r="A940" s="64"/>
      <c r="B940" s="58" t="s">
        <v>4055</v>
      </c>
      <c r="C940" s="73">
        <f t="shared" ref="C940:J940" si="130">C912+C917+C933+C937</f>
        <v>1027618</v>
      </c>
      <c r="D940" s="73">
        <f t="shared" si="130"/>
        <v>2113810</v>
      </c>
      <c r="E940" s="73">
        <f t="shared" si="130"/>
        <v>2113810</v>
      </c>
      <c r="F940" s="73">
        <f t="shared" si="130"/>
        <v>1759371</v>
      </c>
      <c r="G940" s="73">
        <f t="shared" si="130"/>
        <v>2111245.2000000002</v>
      </c>
      <c r="H940" s="73">
        <f t="shared" si="130"/>
        <v>4146253</v>
      </c>
      <c r="I940" s="73">
        <f t="shared" si="130"/>
        <v>4265135</v>
      </c>
      <c r="J940" s="73">
        <f t="shared" si="130"/>
        <v>4391906</v>
      </c>
      <c r="M940" s="57"/>
    </row>
    <row r="941" spans="1:13" x14ac:dyDescent="0.2">
      <c r="A941" s="64"/>
      <c r="B941" s="58"/>
      <c r="C941" s="73"/>
      <c r="D941" s="73"/>
      <c r="E941" s="73"/>
      <c r="G941" s="69"/>
      <c r="H941" s="69"/>
      <c r="I941" s="73"/>
      <c r="J941" s="73"/>
      <c r="M941" s="57"/>
    </row>
    <row r="942" spans="1:13" x14ac:dyDescent="0.2">
      <c r="B942" s="58" t="s">
        <v>4027</v>
      </c>
      <c r="C942" s="96"/>
      <c r="D942" s="96"/>
      <c r="E942" s="96"/>
      <c r="G942" s="69"/>
      <c r="H942" s="69"/>
      <c r="I942" s="96"/>
      <c r="J942" s="96"/>
      <c r="M942" s="57"/>
    </row>
    <row r="943" spans="1:13" s="9" customFormat="1" x14ac:dyDescent="0.2">
      <c r="A943" s="111"/>
      <c r="B943" s="71" t="s">
        <v>208</v>
      </c>
      <c r="C943" s="56">
        <v>0</v>
      </c>
      <c r="D943" s="56">
        <v>0</v>
      </c>
      <c r="E943" s="56">
        <v>0</v>
      </c>
      <c r="F943" s="56">
        <v>0</v>
      </c>
      <c r="G943" s="56">
        <f>F943/$F$11*$G$11</f>
        <v>0</v>
      </c>
      <c r="H943" s="56">
        <f>G943/$F$11*$G$11</f>
        <v>0</v>
      </c>
      <c r="I943" s="56">
        <v>0</v>
      </c>
      <c r="J943" s="56">
        <v>0</v>
      </c>
      <c r="M943" s="57"/>
    </row>
    <row r="944" spans="1:13" s="5" customFormat="1" x14ac:dyDescent="0.2">
      <c r="A944" s="112"/>
      <c r="B944" s="58" t="s">
        <v>433</v>
      </c>
      <c r="C944" s="73">
        <f t="shared" ref="C944:J944" si="131">SUM(C943)</f>
        <v>0</v>
      </c>
      <c r="D944" s="73">
        <f t="shared" si="131"/>
        <v>0</v>
      </c>
      <c r="E944" s="73">
        <f t="shared" si="131"/>
        <v>0</v>
      </c>
      <c r="F944" s="73">
        <f t="shared" si="131"/>
        <v>0</v>
      </c>
      <c r="G944" s="73">
        <f t="shared" si="131"/>
        <v>0</v>
      </c>
      <c r="H944" s="73">
        <f t="shared" si="131"/>
        <v>0</v>
      </c>
      <c r="I944" s="73">
        <f t="shared" si="131"/>
        <v>0</v>
      </c>
      <c r="J944" s="73">
        <f t="shared" si="131"/>
        <v>0</v>
      </c>
      <c r="M944" s="57"/>
    </row>
    <row r="945" spans="1:13" x14ac:dyDescent="0.2">
      <c r="A945" s="60"/>
      <c r="B945" s="58"/>
      <c r="C945" s="96"/>
      <c r="D945" s="96"/>
      <c r="E945" s="96"/>
      <c r="G945" s="69"/>
      <c r="H945" s="69"/>
      <c r="I945" s="96"/>
      <c r="J945" s="96"/>
      <c r="M945" s="57"/>
    </row>
    <row r="946" spans="1:13" x14ac:dyDescent="0.2">
      <c r="A946" s="75"/>
      <c r="B946" s="58" t="s">
        <v>418</v>
      </c>
      <c r="C946" s="69"/>
      <c r="D946" s="69"/>
      <c r="E946" s="69"/>
      <c r="G946" s="69"/>
      <c r="H946" s="69"/>
      <c r="I946" s="69"/>
      <c r="J946" s="69"/>
      <c r="M946" s="57"/>
    </row>
    <row r="947" spans="1:13" x14ac:dyDescent="0.2">
      <c r="A947" s="60">
        <v>4106</v>
      </c>
      <c r="B947" s="70" t="s">
        <v>1061</v>
      </c>
      <c r="C947" s="69">
        <v>39912</v>
      </c>
      <c r="D947" s="69">
        <v>0</v>
      </c>
      <c r="E947" s="69">
        <v>0</v>
      </c>
      <c r="F947" s="69">
        <v>0</v>
      </c>
      <c r="G947" s="69">
        <v>0</v>
      </c>
      <c r="H947" s="69">
        <f>ROUND(E947*1.08,0)</f>
        <v>0</v>
      </c>
      <c r="I947" s="69">
        <f t="shared" ref="I947:J950" si="132">ROUND(H947*1.08,0)</f>
        <v>0</v>
      </c>
      <c r="J947" s="69">
        <f t="shared" si="132"/>
        <v>0</v>
      </c>
      <c r="M947" s="57"/>
    </row>
    <row r="948" spans="1:13" x14ac:dyDescent="0.2">
      <c r="A948" s="60">
        <v>4209</v>
      </c>
      <c r="B948" s="70" t="s">
        <v>1066</v>
      </c>
      <c r="C948" s="69">
        <v>1363</v>
      </c>
      <c r="D948" s="69">
        <v>0</v>
      </c>
      <c r="E948" s="69">
        <v>0</v>
      </c>
      <c r="F948" s="69">
        <v>0</v>
      </c>
      <c r="G948" s="69">
        <v>0</v>
      </c>
      <c r="H948" s="69">
        <f>ROUND(E948*1.08,0)</f>
        <v>0</v>
      </c>
      <c r="I948" s="69">
        <f t="shared" si="132"/>
        <v>0</v>
      </c>
      <c r="J948" s="69">
        <f t="shared" si="132"/>
        <v>0</v>
      </c>
      <c r="M948" s="57"/>
    </row>
    <row r="949" spans="1:13" x14ac:dyDescent="0.2">
      <c r="A949" s="75">
        <v>4204</v>
      </c>
      <c r="B949" s="70" t="s">
        <v>4058</v>
      </c>
      <c r="C949" s="69">
        <v>2531</v>
      </c>
      <c r="D949" s="69">
        <v>11859</v>
      </c>
      <c r="E949" s="69">
        <v>11859</v>
      </c>
      <c r="F949" s="69">
        <v>11859</v>
      </c>
      <c r="G949" s="69">
        <f>+F949</f>
        <v>11859</v>
      </c>
      <c r="H949" s="69">
        <f>ROUND(E949*1.08,0)</f>
        <v>12808</v>
      </c>
      <c r="I949" s="69">
        <f t="shared" si="132"/>
        <v>13833</v>
      </c>
      <c r="J949" s="69">
        <f t="shared" si="132"/>
        <v>14940</v>
      </c>
      <c r="M949" s="57"/>
    </row>
    <row r="950" spans="1:13" x14ac:dyDescent="0.2">
      <c r="A950" s="75">
        <v>4207</v>
      </c>
      <c r="B950" s="71" t="s">
        <v>222</v>
      </c>
      <c r="C950" s="56">
        <v>2179</v>
      </c>
      <c r="D950" s="56">
        <v>11927</v>
      </c>
      <c r="E950" s="56">
        <v>11927</v>
      </c>
      <c r="F950" s="56">
        <v>11927</v>
      </c>
      <c r="G950" s="56">
        <f>+F950</f>
        <v>11927</v>
      </c>
      <c r="H950" s="56">
        <f>ROUND(E950*1.08,0)</f>
        <v>12881</v>
      </c>
      <c r="I950" s="56">
        <f t="shared" si="132"/>
        <v>13911</v>
      </c>
      <c r="J950" s="56">
        <f t="shared" si="132"/>
        <v>15024</v>
      </c>
      <c r="M950" s="57"/>
    </row>
    <row r="951" spans="1:13" x14ac:dyDescent="0.2">
      <c r="A951" s="75"/>
      <c r="B951" s="58" t="s">
        <v>419</v>
      </c>
      <c r="C951" s="59">
        <f t="shared" ref="C951:J951" si="133">SUM(C947:C950)</f>
        <v>45985</v>
      </c>
      <c r="D951" s="59">
        <f t="shared" si="133"/>
        <v>23786</v>
      </c>
      <c r="E951" s="59">
        <f t="shared" si="133"/>
        <v>23786</v>
      </c>
      <c r="F951" s="59">
        <f t="shared" si="133"/>
        <v>23786</v>
      </c>
      <c r="G951" s="59">
        <f t="shared" si="133"/>
        <v>23786</v>
      </c>
      <c r="H951" s="59">
        <f t="shared" si="133"/>
        <v>25689</v>
      </c>
      <c r="I951" s="59">
        <f t="shared" si="133"/>
        <v>27744</v>
      </c>
      <c r="J951" s="59">
        <f t="shared" si="133"/>
        <v>29964</v>
      </c>
      <c r="M951" s="57"/>
    </row>
    <row r="952" spans="1:13" x14ac:dyDescent="0.2">
      <c r="A952" s="60"/>
      <c r="B952" s="58"/>
      <c r="C952" s="96"/>
      <c r="D952" s="96"/>
      <c r="E952" s="96"/>
      <c r="F952" s="24"/>
      <c r="G952" s="69"/>
      <c r="H952" s="69"/>
      <c r="I952" s="96"/>
      <c r="J952" s="96"/>
      <c r="M952" s="57"/>
    </row>
    <row r="953" spans="1:13" ht="13.5" thickBot="1" x14ac:dyDescent="0.25">
      <c r="A953" s="64"/>
      <c r="B953" s="65" t="s">
        <v>4033</v>
      </c>
      <c r="C953" s="76">
        <f t="shared" ref="C953:J953" si="134">C940+C951+C944</f>
        <v>1073603</v>
      </c>
      <c r="D953" s="76">
        <f t="shared" si="134"/>
        <v>2137596</v>
      </c>
      <c r="E953" s="76">
        <f t="shared" si="134"/>
        <v>2137596</v>
      </c>
      <c r="F953" s="76">
        <f t="shared" si="134"/>
        <v>1783157</v>
      </c>
      <c r="G953" s="76">
        <f t="shared" si="134"/>
        <v>2135031.2000000002</v>
      </c>
      <c r="H953" s="76">
        <f t="shared" si="134"/>
        <v>4171942</v>
      </c>
      <c r="I953" s="76">
        <f t="shared" si="134"/>
        <v>4292879</v>
      </c>
      <c r="J953" s="76">
        <f t="shared" si="134"/>
        <v>4421870</v>
      </c>
      <c r="M953" s="57"/>
    </row>
    <row r="954" spans="1:13" ht="13.5" thickTop="1" x14ac:dyDescent="0.2">
      <c r="A954" s="64"/>
      <c r="B954" s="58"/>
      <c r="C954" s="72"/>
      <c r="D954" s="72"/>
      <c r="E954" s="72"/>
      <c r="F954" s="72"/>
      <c r="G954" s="72"/>
      <c r="H954" s="72"/>
      <c r="I954" s="72"/>
      <c r="J954" s="72"/>
      <c r="M954" s="57"/>
    </row>
    <row r="955" spans="1:13" ht="13.5" thickBot="1" x14ac:dyDescent="0.25">
      <c r="A955" s="67"/>
      <c r="B955" s="65" t="s">
        <v>4059</v>
      </c>
      <c r="C955" s="77">
        <f t="shared" ref="C955:J955" si="135">-C953</f>
        <v>-1073603</v>
      </c>
      <c r="D955" s="77">
        <f t="shared" si="135"/>
        <v>-2137596</v>
      </c>
      <c r="E955" s="77">
        <f t="shared" si="135"/>
        <v>-2137596</v>
      </c>
      <c r="F955" s="77">
        <f t="shared" si="135"/>
        <v>-1783157</v>
      </c>
      <c r="G955" s="77">
        <f t="shared" si="135"/>
        <v>-2135031.2000000002</v>
      </c>
      <c r="H955" s="77">
        <f t="shared" si="135"/>
        <v>-4171942</v>
      </c>
      <c r="I955" s="77">
        <f t="shared" si="135"/>
        <v>-4292879</v>
      </c>
      <c r="J955" s="77">
        <f t="shared" si="135"/>
        <v>-4421870</v>
      </c>
      <c r="M955" s="57"/>
    </row>
    <row r="956" spans="1:13" ht="13.5" thickTop="1" x14ac:dyDescent="0.2">
      <c r="A956" s="67"/>
      <c r="B956" s="58"/>
      <c r="C956" s="78"/>
      <c r="D956" s="78"/>
      <c r="E956" s="78"/>
      <c r="G956" s="69"/>
      <c r="H956" s="69"/>
      <c r="I956" s="78"/>
      <c r="J956" s="78"/>
      <c r="M956" s="57"/>
    </row>
    <row r="957" spans="1:13" x14ac:dyDescent="0.2">
      <c r="G957" s="69"/>
      <c r="H957" s="69"/>
      <c r="M957" s="57"/>
    </row>
    <row r="958" spans="1:13" x14ac:dyDescent="0.2">
      <c r="G958" s="69"/>
      <c r="H958" s="69"/>
      <c r="M958" s="57"/>
    </row>
    <row r="959" spans="1:13" x14ac:dyDescent="0.2">
      <c r="G959" s="69"/>
      <c r="H959" s="69"/>
      <c r="M959" s="57"/>
    </row>
    <row r="960" spans="1:13" x14ac:dyDescent="0.2">
      <c r="G960" s="69"/>
      <c r="H960" s="69"/>
      <c r="M960" s="57"/>
    </row>
    <row r="961" spans="1:13" x14ac:dyDescent="0.2">
      <c r="G961" s="69"/>
      <c r="H961" s="69"/>
      <c r="M961" s="57"/>
    </row>
    <row r="962" spans="1:13" x14ac:dyDescent="0.2">
      <c r="G962" s="69"/>
      <c r="H962" s="69"/>
      <c r="M962" s="57"/>
    </row>
    <row r="963" spans="1:13" x14ac:dyDescent="0.2">
      <c r="G963" s="69"/>
      <c r="H963" s="69"/>
      <c r="M963" s="57"/>
    </row>
    <row r="964" spans="1:13" x14ac:dyDescent="0.2">
      <c r="G964" s="69"/>
      <c r="H964" s="69"/>
      <c r="M964" s="57"/>
    </row>
    <row r="965" spans="1:13" x14ac:dyDescent="0.2">
      <c r="G965" s="69"/>
      <c r="H965" s="69"/>
      <c r="M965" s="57"/>
    </row>
    <row r="966" spans="1:13" x14ac:dyDescent="0.2">
      <c r="G966" s="69"/>
      <c r="H966" s="69"/>
      <c r="M966" s="57"/>
    </row>
    <row r="967" spans="1:13" x14ac:dyDescent="0.2">
      <c r="A967" s="6"/>
      <c r="B967" s="6"/>
      <c r="C967" s="6"/>
      <c r="D967" s="6"/>
      <c r="E967" s="6"/>
      <c r="G967" s="69"/>
      <c r="H967" s="69"/>
      <c r="I967" s="6"/>
      <c r="J967" s="6"/>
      <c r="M967" s="57"/>
    </row>
    <row r="968" spans="1:13" x14ac:dyDescent="0.2">
      <c r="A968" s="6"/>
      <c r="B968" s="6"/>
      <c r="C968" s="6"/>
      <c r="D968" s="6"/>
      <c r="E968" s="6"/>
      <c r="G968" s="69"/>
      <c r="H968" s="69"/>
      <c r="I968" s="6"/>
      <c r="J968" s="6"/>
      <c r="M968" s="57"/>
    </row>
    <row r="969" spans="1:13" x14ac:dyDescent="0.2">
      <c r="A969" s="6"/>
      <c r="B969" s="6"/>
      <c r="C969" s="6"/>
      <c r="D969" s="6"/>
      <c r="E969" s="6"/>
      <c r="G969" s="69"/>
      <c r="H969" s="69"/>
      <c r="I969" s="6"/>
      <c r="J969" s="6"/>
      <c r="M969" s="57"/>
    </row>
    <row r="970" spans="1:13" x14ac:dyDescent="0.2">
      <c r="A970" s="6"/>
      <c r="B970" s="6"/>
      <c r="C970" s="6"/>
      <c r="D970" s="6"/>
      <c r="E970" s="6"/>
      <c r="G970" s="69"/>
      <c r="H970" s="69"/>
      <c r="I970" s="6"/>
      <c r="J970" s="6"/>
      <c r="M970" s="57"/>
    </row>
    <row r="971" spans="1:13" x14ac:dyDescent="0.2">
      <c r="A971" s="6"/>
      <c r="B971" s="6"/>
      <c r="C971" s="6"/>
      <c r="D971" s="6"/>
      <c r="E971" s="6"/>
      <c r="G971" s="69"/>
      <c r="H971" s="69"/>
      <c r="I971" s="6"/>
      <c r="J971" s="6"/>
      <c r="M971" s="57"/>
    </row>
    <row r="972" spans="1:13" ht="15" x14ac:dyDescent="0.25">
      <c r="A972" s="91">
        <v>1130</v>
      </c>
      <c r="B972" s="92" t="s">
        <v>211</v>
      </c>
      <c r="G972" s="69"/>
      <c r="H972" s="69"/>
      <c r="M972" s="57"/>
    </row>
    <row r="973" spans="1:13" ht="15" x14ac:dyDescent="0.25">
      <c r="A973" s="93">
        <v>1131</v>
      </c>
      <c r="B973" s="83" t="s">
        <v>212</v>
      </c>
      <c r="C973" s="48"/>
      <c r="D973" s="48"/>
      <c r="E973" s="48"/>
      <c r="G973" s="69"/>
      <c r="H973" s="69"/>
      <c r="M973" s="57"/>
    </row>
    <row r="974" spans="1:13" ht="15" x14ac:dyDescent="0.25">
      <c r="B974" s="48"/>
      <c r="C974" s="48"/>
      <c r="D974" s="48"/>
      <c r="E974" s="48"/>
      <c r="G974" s="69"/>
      <c r="H974" s="69"/>
      <c r="M974" s="57"/>
    </row>
    <row r="975" spans="1:13" x14ac:dyDescent="0.2">
      <c r="B975" s="50" t="s">
        <v>61</v>
      </c>
      <c r="C975" s="50"/>
      <c r="D975" s="50"/>
      <c r="E975" s="50"/>
      <c r="G975" s="69"/>
      <c r="H975" s="69"/>
      <c r="M975" s="57"/>
    </row>
    <row r="976" spans="1:13" x14ac:dyDescent="0.2">
      <c r="B976" s="46"/>
      <c r="C976" s="46"/>
      <c r="D976" s="46"/>
      <c r="E976" s="46"/>
      <c r="G976" s="69"/>
      <c r="H976" s="69"/>
      <c r="M976" s="57"/>
    </row>
    <row r="977" spans="1:13" x14ac:dyDescent="0.2">
      <c r="B977" s="58" t="s">
        <v>66</v>
      </c>
      <c r="C977" s="99"/>
      <c r="D977" s="99"/>
      <c r="E977" s="99"/>
      <c r="G977" s="69"/>
      <c r="H977" s="69"/>
      <c r="M977" s="57"/>
    </row>
    <row r="978" spans="1:13" x14ac:dyDescent="0.2">
      <c r="A978" s="75">
        <v>5202</v>
      </c>
      <c r="B978" s="53" t="s">
        <v>4558</v>
      </c>
      <c r="C978" s="99">
        <v>17805</v>
      </c>
      <c r="D978" s="69">
        <v>17700</v>
      </c>
      <c r="E978" s="69">
        <v>17700</v>
      </c>
      <c r="F978" s="69">
        <v>16694</v>
      </c>
      <c r="G978" s="69">
        <f>F978/$F$11*$G$11</f>
        <v>20032.800000000003</v>
      </c>
      <c r="H978" s="69">
        <f>ROUND(G978*1.1,0)</f>
        <v>22036</v>
      </c>
      <c r="I978" s="69">
        <f t="shared" ref="I978:J980" si="136">ROUND(H978*1.06,0)</f>
        <v>23358</v>
      </c>
      <c r="J978" s="69">
        <f t="shared" si="136"/>
        <v>24759</v>
      </c>
      <c r="M978" s="57"/>
    </row>
    <row r="979" spans="1:13" x14ac:dyDescent="0.2">
      <c r="A979" s="75">
        <v>5205</v>
      </c>
      <c r="B979" s="53" t="s">
        <v>4559</v>
      </c>
      <c r="C979" s="99">
        <v>230</v>
      </c>
      <c r="D979" s="69">
        <v>5000</v>
      </c>
      <c r="E979" s="69">
        <v>5000</v>
      </c>
      <c r="F979" s="69">
        <v>0</v>
      </c>
      <c r="G979" s="69">
        <f>F979/$F$11*$G$11</f>
        <v>0</v>
      </c>
      <c r="H979" s="69">
        <v>1000</v>
      </c>
      <c r="I979" s="69">
        <f t="shared" si="136"/>
        <v>1060</v>
      </c>
      <c r="J979" s="69">
        <f t="shared" si="136"/>
        <v>1124</v>
      </c>
      <c r="M979" s="57"/>
    </row>
    <row r="980" spans="1:13" x14ac:dyDescent="0.2">
      <c r="A980" s="75">
        <v>5812</v>
      </c>
      <c r="B980" s="55" t="s">
        <v>4560</v>
      </c>
      <c r="C980" s="62">
        <v>194604</v>
      </c>
      <c r="D980" s="56">
        <v>70100</v>
      </c>
      <c r="E980" s="56">
        <v>70100</v>
      </c>
      <c r="F980" s="56">
        <v>138693</v>
      </c>
      <c r="G980" s="56">
        <f>F980/$F$11*$G$11</f>
        <v>166431.59999999998</v>
      </c>
      <c r="H980" s="56">
        <f>ROUND(G980*1.1,0)</f>
        <v>183075</v>
      </c>
      <c r="I980" s="56">
        <f t="shared" si="136"/>
        <v>194060</v>
      </c>
      <c r="J980" s="56">
        <f t="shared" si="136"/>
        <v>205704</v>
      </c>
      <c r="M980" s="57"/>
    </row>
    <row r="981" spans="1:13" x14ac:dyDescent="0.2">
      <c r="B981" s="58" t="s">
        <v>434</v>
      </c>
      <c r="C981" s="100">
        <f t="shared" ref="C981:J981" si="137">SUM(C978:C980)</f>
        <v>212639</v>
      </c>
      <c r="D981" s="100">
        <f t="shared" si="137"/>
        <v>92800</v>
      </c>
      <c r="E981" s="100">
        <f t="shared" si="137"/>
        <v>92800</v>
      </c>
      <c r="F981" s="100">
        <f t="shared" si="137"/>
        <v>155387</v>
      </c>
      <c r="G981" s="100">
        <f t="shared" si="137"/>
        <v>186464.39999999997</v>
      </c>
      <c r="H981" s="100">
        <f t="shared" si="137"/>
        <v>206111</v>
      </c>
      <c r="I981" s="100">
        <f t="shared" si="137"/>
        <v>218478</v>
      </c>
      <c r="J981" s="100">
        <f t="shared" si="137"/>
        <v>231587</v>
      </c>
      <c r="M981" s="57"/>
    </row>
    <row r="982" spans="1:13" x14ac:dyDescent="0.2">
      <c r="B982" s="58"/>
      <c r="C982" s="99"/>
      <c r="D982" s="99"/>
      <c r="E982" s="99"/>
      <c r="F982" s="24"/>
      <c r="G982" s="69"/>
      <c r="H982" s="69"/>
      <c r="I982" s="99"/>
      <c r="J982" s="99"/>
      <c r="M982" s="57"/>
    </row>
    <row r="983" spans="1:13" ht="13.5" thickBot="1" x14ac:dyDescent="0.25">
      <c r="B983" s="65" t="s">
        <v>4043</v>
      </c>
      <c r="C983" s="66">
        <f t="shared" ref="C983:J983" si="138">C981</f>
        <v>212639</v>
      </c>
      <c r="D983" s="66">
        <f t="shared" si="138"/>
        <v>92800</v>
      </c>
      <c r="E983" s="66">
        <f t="shared" si="138"/>
        <v>92800</v>
      </c>
      <c r="F983" s="66">
        <f t="shared" si="138"/>
        <v>155387</v>
      </c>
      <c r="G983" s="66">
        <f t="shared" si="138"/>
        <v>186464.39999999997</v>
      </c>
      <c r="H983" s="66">
        <f t="shared" si="138"/>
        <v>206111</v>
      </c>
      <c r="I983" s="66">
        <f t="shared" si="138"/>
        <v>218478</v>
      </c>
      <c r="J983" s="66">
        <f t="shared" si="138"/>
        <v>231587</v>
      </c>
      <c r="M983" s="57"/>
    </row>
    <row r="984" spans="1:13" ht="13.5" thickTop="1" x14ac:dyDescent="0.2">
      <c r="B984" s="68"/>
      <c r="C984" s="68"/>
      <c r="D984" s="68"/>
      <c r="E984" s="68"/>
      <c r="G984" s="69"/>
      <c r="H984" s="69"/>
      <c r="I984" s="68"/>
      <c r="J984" s="68"/>
      <c r="M984" s="57"/>
    </row>
    <row r="985" spans="1:13" x14ac:dyDescent="0.2">
      <c r="B985" s="50" t="s">
        <v>4018</v>
      </c>
      <c r="C985" s="50"/>
      <c r="D985" s="50"/>
      <c r="E985" s="50"/>
      <c r="G985" s="69"/>
      <c r="H985" s="69"/>
      <c r="I985" s="50"/>
      <c r="J985" s="50"/>
      <c r="M985" s="57"/>
    </row>
    <row r="986" spans="1:13" x14ac:dyDescent="0.2">
      <c r="B986" s="50"/>
      <c r="C986" s="50"/>
      <c r="D986" s="50"/>
      <c r="E986" s="50"/>
      <c r="G986" s="69"/>
      <c r="H986" s="69"/>
      <c r="I986" s="50"/>
      <c r="J986" s="50"/>
      <c r="M986" s="57"/>
    </row>
    <row r="987" spans="1:13" x14ac:dyDescent="0.2">
      <c r="B987" s="58" t="s">
        <v>4021</v>
      </c>
      <c r="C987" s="69"/>
      <c r="D987" s="69"/>
      <c r="E987" s="69"/>
      <c r="G987" s="69"/>
      <c r="H987" s="69"/>
      <c r="I987" s="69"/>
      <c r="J987" s="69"/>
      <c r="M987" s="57"/>
    </row>
    <row r="988" spans="1:13" x14ac:dyDescent="0.2">
      <c r="A988" s="60">
        <v>3205</v>
      </c>
      <c r="B988" s="71" t="s">
        <v>446</v>
      </c>
      <c r="C988" s="56">
        <v>25219</v>
      </c>
      <c r="D988" s="56">
        <v>168000</v>
      </c>
      <c r="E988" s="56">
        <v>168000</v>
      </c>
      <c r="F988" s="56">
        <f>177469+160</f>
        <v>177629</v>
      </c>
      <c r="G988" s="56">
        <f>F988/$F$11*$G$11</f>
        <v>213154.80000000002</v>
      </c>
      <c r="H988" s="56">
        <f>ROUND(E988*1.05,0)</f>
        <v>176400</v>
      </c>
      <c r="I988" s="56">
        <f>ROUND(H988*1.06,0)</f>
        <v>186984</v>
      </c>
      <c r="J988" s="56">
        <f>ROUND(I988*1.06,0)</f>
        <v>198203</v>
      </c>
      <c r="M988" s="57"/>
    </row>
    <row r="989" spans="1:13" x14ac:dyDescent="0.2">
      <c r="B989" s="58" t="s">
        <v>417</v>
      </c>
      <c r="C989" s="72">
        <f>SUM(C988:C988)</f>
        <v>25219</v>
      </c>
      <c r="D989" s="72">
        <f t="shared" ref="D989:J989" si="139">SUM(D988:D988)</f>
        <v>168000</v>
      </c>
      <c r="E989" s="72">
        <f t="shared" si="139"/>
        <v>168000</v>
      </c>
      <c r="F989" s="72">
        <f t="shared" si="139"/>
        <v>177629</v>
      </c>
      <c r="G989" s="72">
        <f t="shared" si="139"/>
        <v>213154.80000000002</v>
      </c>
      <c r="H989" s="72">
        <f t="shared" si="139"/>
        <v>176400</v>
      </c>
      <c r="I989" s="72">
        <f t="shared" si="139"/>
        <v>186984</v>
      </c>
      <c r="J989" s="72">
        <f t="shared" si="139"/>
        <v>198203</v>
      </c>
      <c r="M989" s="57"/>
    </row>
    <row r="990" spans="1:13" x14ac:dyDescent="0.2">
      <c r="B990" s="58"/>
      <c r="C990" s="72"/>
      <c r="D990" s="72"/>
      <c r="E990" s="72"/>
      <c r="G990" s="69"/>
      <c r="H990" s="69"/>
      <c r="I990" s="72"/>
      <c r="J990" s="72"/>
      <c r="M990" s="57"/>
    </row>
    <row r="991" spans="1:13" x14ac:dyDescent="0.2">
      <c r="B991" s="58" t="s">
        <v>435</v>
      </c>
      <c r="C991" s="72"/>
      <c r="D991" s="72"/>
      <c r="E991" s="72"/>
      <c r="G991" s="69"/>
      <c r="H991" s="69"/>
      <c r="I991" s="72"/>
      <c r="J991" s="72"/>
      <c r="M991" s="57"/>
    </row>
    <row r="992" spans="1:13" x14ac:dyDescent="0.2">
      <c r="A992" s="60">
        <v>2256</v>
      </c>
      <c r="B992" s="70" t="s">
        <v>4052</v>
      </c>
      <c r="C992" s="69">
        <v>271042</v>
      </c>
      <c r="D992" s="69">
        <v>290950</v>
      </c>
      <c r="E992" s="69">
        <v>290950</v>
      </c>
      <c r="F992" s="69">
        <v>298169</v>
      </c>
      <c r="G992" s="69">
        <f>F992/$F$11*$G$11</f>
        <v>357802.80000000005</v>
      </c>
      <c r="H992" s="69">
        <f>ROUND(E992*1.05,0)</f>
        <v>305498</v>
      </c>
      <c r="I992" s="69">
        <f>ROUND(H992*1.06,0)</f>
        <v>323828</v>
      </c>
      <c r="J992" s="69">
        <f>ROUND(I992*1.06,0)</f>
        <v>343258</v>
      </c>
      <c r="M992" s="57"/>
    </row>
    <row r="993" spans="1:13" x14ac:dyDescent="0.2">
      <c r="A993" s="60">
        <v>4106</v>
      </c>
      <c r="B993" s="70" t="s">
        <v>1070</v>
      </c>
      <c r="C993" s="69">
        <v>8681</v>
      </c>
      <c r="D993" s="69">
        <v>0</v>
      </c>
      <c r="E993" s="69">
        <v>0</v>
      </c>
      <c r="F993" s="69">
        <v>0</v>
      </c>
      <c r="G993" s="69">
        <f>F993/$F$11*$G$11</f>
        <v>0</v>
      </c>
      <c r="H993" s="69">
        <f>ROUND(E993*1.05,0)</f>
        <v>0</v>
      </c>
      <c r="I993" s="69">
        <f>ROUND(H993*1.05,0)</f>
        <v>0</v>
      </c>
      <c r="J993" s="69">
        <f>ROUND(I993*1.05,0)</f>
        <v>0</v>
      </c>
      <c r="M993" s="57"/>
    </row>
    <row r="994" spans="1:13" x14ac:dyDescent="0.2">
      <c r="A994" s="60">
        <v>4209</v>
      </c>
      <c r="B994" s="70" t="s">
        <v>1066</v>
      </c>
      <c r="C994" s="69">
        <v>2126</v>
      </c>
      <c r="D994" s="69">
        <v>0</v>
      </c>
      <c r="E994" s="69">
        <v>0</v>
      </c>
      <c r="F994" s="69">
        <v>0</v>
      </c>
      <c r="G994" s="69">
        <f>F994/$F$11*$G$11</f>
        <v>0</v>
      </c>
      <c r="H994" s="69">
        <f>ROUND(E994*1.05,0)</f>
        <v>0</v>
      </c>
      <c r="I994" s="69">
        <f>ROUND(H994*1.05,0)</f>
        <v>0</v>
      </c>
      <c r="J994" s="69">
        <f>ROUND(I994*1.05,0)</f>
        <v>0</v>
      </c>
      <c r="M994" s="57"/>
    </row>
    <row r="995" spans="1:13" x14ac:dyDescent="0.2">
      <c r="A995" s="75">
        <v>2252</v>
      </c>
      <c r="B995" s="71" t="s">
        <v>213</v>
      </c>
      <c r="C995" s="56">
        <v>20496</v>
      </c>
      <c r="D995" s="56">
        <v>21000</v>
      </c>
      <c r="E995" s="56">
        <v>21000</v>
      </c>
      <c r="F995" s="56">
        <v>19317</v>
      </c>
      <c r="G995" s="56">
        <f>F995/$F$11*$G$11</f>
        <v>23180.400000000001</v>
      </c>
      <c r="H995" s="56">
        <f>ROUND(E995*1.05,0)</f>
        <v>22050</v>
      </c>
      <c r="I995" s="56">
        <f>ROUND(H995*1.06,0)</f>
        <v>23373</v>
      </c>
      <c r="J995" s="56">
        <f>ROUND(I995*1.06,0)</f>
        <v>24775</v>
      </c>
      <c r="M995" s="57"/>
    </row>
    <row r="996" spans="1:13" x14ac:dyDescent="0.2">
      <c r="A996" s="60"/>
      <c r="B996" s="58" t="s">
        <v>436</v>
      </c>
      <c r="C996" s="72">
        <f t="shared" ref="C996:J996" si="140">SUM(C992:C995)</f>
        <v>302345</v>
      </c>
      <c r="D996" s="72">
        <f t="shared" si="140"/>
        <v>311950</v>
      </c>
      <c r="E996" s="72">
        <f t="shared" si="140"/>
        <v>311950</v>
      </c>
      <c r="F996" s="72">
        <f t="shared" si="140"/>
        <v>317486</v>
      </c>
      <c r="G996" s="72">
        <f t="shared" si="140"/>
        <v>380983.20000000007</v>
      </c>
      <c r="H996" s="72">
        <f t="shared" si="140"/>
        <v>327548</v>
      </c>
      <c r="I996" s="72">
        <f t="shared" si="140"/>
        <v>347201</v>
      </c>
      <c r="J996" s="72">
        <f t="shared" si="140"/>
        <v>368033</v>
      </c>
      <c r="M996" s="57"/>
    </row>
    <row r="997" spans="1:13" x14ac:dyDescent="0.2">
      <c r="A997" s="67"/>
      <c r="B997" s="61"/>
      <c r="C997" s="97"/>
      <c r="D997" s="97"/>
      <c r="E997" s="97"/>
      <c r="F997" s="97"/>
      <c r="G997" s="97"/>
      <c r="H997" s="97"/>
      <c r="I997" s="97"/>
      <c r="J997" s="97"/>
      <c r="M997" s="57"/>
    </row>
    <row r="998" spans="1:13" x14ac:dyDescent="0.2">
      <c r="A998" s="64"/>
      <c r="B998" s="58" t="s">
        <v>4055</v>
      </c>
      <c r="C998" s="73">
        <f t="shared" ref="C998:J998" si="141">+C989+C996</f>
        <v>327564</v>
      </c>
      <c r="D998" s="73">
        <f t="shared" si="141"/>
        <v>479950</v>
      </c>
      <c r="E998" s="73">
        <f t="shared" si="141"/>
        <v>479950</v>
      </c>
      <c r="F998" s="73">
        <f t="shared" si="141"/>
        <v>495115</v>
      </c>
      <c r="G998" s="73">
        <f t="shared" si="141"/>
        <v>594138.00000000012</v>
      </c>
      <c r="H998" s="73">
        <f t="shared" si="141"/>
        <v>503948</v>
      </c>
      <c r="I998" s="73">
        <f t="shared" si="141"/>
        <v>534185</v>
      </c>
      <c r="J998" s="73">
        <f t="shared" si="141"/>
        <v>566236</v>
      </c>
      <c r="M998" s="57"/>
    </row>
    <row r="999" spans="1:13" x14ac:dyDescent="0.2">
      <c r="B999" s="58"/>
      <c r="C999" s="69"/>
      <c r="D999" s="69"/>
      <c r="E999" s="69"/>
      <c r="F999" s="69"/>
      <c r="G999" s="69"/>
      <c r="H999" s="69"/>
      <c r="I999" s="69"/>
      <c r="J999" s="69"/>
      <c r="M999" s="57"/>
    </row>
    <row r="1000" spans="1:13" ht="13.5" thickBot="1" x14ac:dyDescent="0.25">
      <c r="B1000" s="65" t="s">
        <v>4025</v>
      </c>
      <c r="C1000" s="76">
        <f t="shared" ref="C1000:J1000" si="142">+C998</f>
        <v>327564</v>
      </c>
      <c r="D1000" s="76">
        <f t="shared" si="142"/>
        <v>479950</v>
      </c>
      <c r="E1000" s="76">
        <f t="shared" si="142"/>
        <v>479950</v>
      </c>
      <c r="F1000" s="76">
        <f t="shared" si="142"/>
        <v>495115</v>
      </c>
      <c r="G1000" s="76">
        <f t="shared" si="142"/>
        <v>594138.00000000012</v>
      </c>
      <c r="H1000" s="76">
        <f t="shared" si="142"/>
        <v>503948</v>
      </c>
      <c r="I1000" s="76">
        <f t="shared" si="142"/>
        <v>534185</v>
      </c>
      <c r="J1000" s="76">
        <f t="shared" si="142"/>
        <v>566236</v>
      </c>
      <c r="M1000" s="57"/>
    </row>
    <row r="1001" spans="1:13" ht="13.5" thickTop="1" x14ac:dyDescent="0.2">
      <c r="B1001" s="58"/>
      <c r="C1001" s="72"/>
      <c r="D1001" s="72"/>
      <c r="E1001" s="72"/>
      <c r="F1001" s="72"/>
      <c r="G1001" s="72"/>
      <c r="H1001" s="72"/>
      <c r="I1001" s="72"/>
      <c r="J1001" s="72"/>
      <c r="M1001" s="57"/>
    </row>
    <row r="1002" spans="1:13" ht="13.5" thickBot="1" x14ac:dyDescent="0.25">
      <c r="B1002" s="65" t="s">
        <v>4059</v>
      </c>
      <c r="C1002" s="77">
        <f t="shared" ref="C1002:J1002" si="143">C983-C1000</f>
        <v>-114925</v>
      </c>
      <c r="D1002" s="77">
        <f t="shared" si="143"/>
        <v>-387150</v>
      </c>
      <c r="E1002" s="77">
        <f t="shared" si="143"/>
        <v>-387150</v>
      </c>
      <c r="F1002" s="77">
        <f t="shared" si="143"/>
        <v>-339728</v>
      </c>
      <c r="G1002" s="77">
        <f t="shared" si="143"/>
        <v>-407673.60000000015</v>
      </c>
      <c r="H1002" s="77">
        <f t="shared" si="143"/>
        <v>-297837</v>
      </c>
      <c r="I1002" s="77">
        <f t="shared" si="143"/>
        <v>-315707</v>
      </c>
      <c r="J1002" s="77">
        <f t="shared" si="143"/>
        <v>-334649</v>
      </c>
      <c r="M1002" s="57"/>
    </row>
    <row r="1003" spans="1:13" ht="13.5" thickTop="1" x14ac:dyDescent="0.2">
      <c r="B1003" s="58"/>
      <c r="C1003" s="78"/>
      <c r="D1003" s="78"/>
      <c r="E1003" s="78"/>
      <c r="G1003" s="69"/>
      <c r="H1003" s="69"/>
      <c r="I1003" s="78"/>
      <c r="J1003" s="78"/>
      <c r="M1003" s="57"/>
    </row>
    <row r="1004" spans="1:13" x14ac:dyDescent="0.2">
      <c r="G1004" s="69"/>
      <c r="H1004" s="69"/>
      <c r="M1004" s="57"/>
    </row>
    <row r="1005" spans="1:13" x14ac:dyDescent="0.2">
      <c r="G1005" s="69"/>
      <c r="H1005" s="69"/>
      <c r="M1005" s="57"/>
    </row>
    <row r="1006" spans="1:13" x14ac:dyDescent="0.2">
      <c r="G1006" s="69"/>
      <c r="H1006" s="69"/>
      <c r="M1006" s="57"/>
    </row>
    <row r="1007" spans="1:13" x14ac:dyDescent="0.2">
      <c r="G1007" s="69"/>
      <c r="H1007" s="69"/>
      <c r="M1007" s="57"/>
    </row>
    <row r="1008" spans="1:13" x14ac:dyDescent="0.2">
      <c r="G1008" s="69"/>
      <c r="H1008" s="69"/>
      <c r="M1008" s="57"/>
    </row>
    <row r="1009" spans="7:13" x14ac:dyDescent="0.2">
      <c r="G1009" s="69"/>
      <c r="H1009" s="69"/>
      <c r="M1009" s="57"/>
    </row>
    <row r="1010" spans="7:13" x14ac:dyDescent="0.2">
      <c r="G1010" s="69"/>
      <c r="H1010" s="69"/>
      <c r="M1010" s="57"/>
    </row>
    <row r="1011" spans="7:13" x14ac:dyDescent="0.2">
      <c r="G1011" s="69"/>
      <c r="H1011" s="69"/>
      <c r="M1011" s="57"/>
    </row>
    <row r="1012" spans="7:13" x14ac:dyDescent="0.2">
      <c r="G1012" s="69"/>
      <c r="H1012" s="69"/>
      <c r="M1012" s="57"/>
    </row>
    <row r="1013" spans="7:13" x14ac:dyDescent="0.2">
      <c r="G1013" s="69"/>
      <c r="H1013" s="69"/>
      <c r="M1013" s="57"/>
    </row>
    <row r="1014" spans="7:13" x14ac:dyDescent="0.2">
      <c r="G1014" s="69"/>
      <c r="H1014" s="69"/>
      <c r="M1014" s="57"/>
    </row>
    <row r="1015" spans="7:13" x14ac:dyDescent="0.2">
      <c r="G1015" s="69"/>
      <c r="H1015" s="69"/>
      <c r="M1015" s="57"/>
    </row>
    <row r="1016" spans="7:13" x14ac:dyDescent="0.2">
      <c r="G1016" s="69"/>
      <c r="H1016" s="69"/>
      <c r="M1016" s="57"/>
    </row>
    <row r="1017" spans="7:13" x14ac:dyDescent="0.2">
      <c r="G1017" s="69"/>
      <c r="H1017" s="69"/>
      <c r="M1017" s="57"/>
    </row>
    <row r="1018" spans="7:13" x14ac:dyDescent="0.2">
      <c r="G1018" s="69"/>
      <c r="H1018" s="69"/>
      <c r="M1018" s="57"/>
    </row>
    <row r="1019" spans="7:13" x14ac:dyDescent="0.2">
      <c r="G1019" s="69"/>
      <c r="H1019" s="69"/>
      <c r="M1019" s="57"/>
    </row>
    <row r="1020" spans="7:13" x14ac:dyDescent="0.2">
      <c r="G1020" s="69"/>
      <c r="H1020" s="69"/>
      <c r="M1020" s="57"/>
    </row>
    <row r="1021" spans="7:13" x14ac:dyDescent="0.2">
      <c r="G1021" s="69"/>
      <c r="H1021" s="69"/>
      <c r="M1021" s="57"/>
    </row>
    <row r="1022" spans="7:13" x14ac:dyDescent="0.2">
      <c r="G1022" s="69"/>
      <c r="H1022" s="69"/>
      <c r="M1022" s="57"/>
    </row>
    <row r="1023" spans="7:13" x14ac:dyDescent="0.2">
      <c r="G1023" s="69"/>
      <c r="H1023" s="69"/>
      <c r="M1023" s="57"/>
    </row>
    <row r="1024" spans="7:13" x14ac:dyDescent="0.2">
      <c r="G1024" s="69"/>
      <c r="H1024" s="69"/>
      <c r="M1024" s="57"/>
    </row>
    <row r="1025" spans="7:13" x14ac:dyDescent="0.2">
      <c r="G1025" s="69"/>
      <c r="H1025" s="69"/>
      <c r="M1025" s="57"/>
    </row>
    <row r="1026" spans="7:13" x14ac:dyDescent="0.2">
      <c r="G1026" s="69"/>
      <c r="H1026" s="69"/>
      <c r="M1026" s="57"/>
    </row>
    <row r="1027" spans="7:13" x14ac:dyDescent="0.2">
      <c r="G1027" s="69"/>
      <c r="H1027" s="69"/>
      <c r="M1027" s="57"/>
    </row>
    <row r="1028" spans="7:13" x14ac:dyDescent="0.2">
      <c r="G1028" s="69"/>
      <c r="H1028" s="69"/>
      <c r="M1028" s="57"/>
    </row>
    <row r="1029" spans="7:13" x14ac:dyDescent="0.2">
      <c r="G1029" s="69"/>
      <c r="H1029" s="69"/>
      <c r="M1029" s="57"/>
    </row>
    <row r="1030" spans="7:13" x14ac:dyDescent="0.2">
      <c r="G1030" s="69"/>
      <c r="H1030" s="69"/>
      <c r="M1030" s="57"/>
    </row>
    <row r="1031" spans="7:13" x14ac:dyDescent="0.2">
      <c r="G1031" s="69"/>
      <c r="H1031" s="69"/>
      <c r="M1031" s="57"/>
    </row>
    <row r="1032" spans="7:13" x14ac:dyDescent="0.2">
      <c r="G1032" s="69"/>
      <c r="H1032" s="69"/>
      <c r="M1032" s="57"/>
    </row>
    <row r="1033" spans="7:13" x14ac:dyDescent="0.2">
      <c r="G1033" s="69"/>
      <c r="H1033" s="69"/>
      <c r="M1033" s="57"/>
    </row>
    <row r="1034" spans="7:13" x14ac:dyDescent="0.2">
      <c r="G1034" s="69"/>
      <c r="H1034" s="69"/>
      <c r="M1034" s="57"/>
    </row>
    <row r="1035" spans="7:13" x14ac:dyDescent="0.2">
      <c r="G1035" s="69"/>
      <c r="H1035" s="69"/>
      <c r="M1035" s="57"/>
    </row>
    <row r="1036" spans="7:13" x14ac:dyDescent="0.2">
      <c r="G1036" s="69"/>
      <c r="H1036" s="69"/>
      <c r="M1036" s="57"/>
    </row>
    <row r="1037" spans="7:13" x14ac:dyDescent="0.2">
      <c r="G1037" s="69"/>
      <c r="H1037" s="69"/>
      <c r="M1037" s="57"/>
    </row>
    <row r="1038" spans="7:13" x14ac:dyDescent="0.2">
      <c r="G1038" s="69"/>
      <c r="H1038" s="69"/>
      <c r="M1038" s="57"/>
    </row>
    <row r="1039" spans="7:13" x14ac:dyDescent="0.2">
      <c r="G1039" s="69"/>
      <c r="H1039" s="69"/>
      <c r="M1039" s="57"/>
    </row>
    <row r="1040" spans="7:13" x14ac:dyDescent="0.2">
      <c r="G1040" s="69"/>
      <c r="H1040" s="69"/>
      <c r="M1040" s="57"/>
    </row>
    <row r="1041" spans="1:13" x14ac:dyDescent="0.2">
      <c r="G1041" s="69"/>
      <c r="H1041" s="69"/>
      <c r="M1041" s="57"/>
    </row>
    <row r="1042" spans="1:13" x14ac:dyDescent="0.2">
      <c r="G1042" s="69"/>
      <c r="H1042" s="69"/>
      <c r="M1042" s="57"/>
    </row>
    <row r="1043" spans="1:13" x14ac:dyDescent="0.2">
      <c r="A1043" s="6"/>
      <c r="B1043" s="13"/>
      <c r="C1043" s="13"/>
      <c r="D1043" s="13"/>
      <c r="E1043" s="13"/>
      <c r="G1043" s="69"/>
      <c r="H1043" s="69"/>
      <c r="I1043" s="13"/>
      <c r="J1043" s="13"/>
      <c r="M1043" s="57"/>
    </row>
    <row r="1044" spans="1:13" x14ac:dyDescent="0.2">
      <c r="A1044" s="6"/>
      <c r="B1044" s="13"/>
      <c r="C1044" s="13"/>
      <c r="D1044" s="13"/>
      <c r="E1044" s="13"/>
      <c r="G1044" s="69"/>
      <c r="H1044" s="69"/>
      <c r="I1044" s="13"/>
      <c r="J1044" s="13"/>
      <c r="M1044" s="57"/>
    </row>
    <row r="1045" spans="1:13" x14ac:dyDescent="0.2">
      <c r="A1045" s="6"/>
      <c r="B1045" s="13"/>
      <c r="C1045" s="13"/>
      <c r="D1045" s="13"/>
      <c r="E1045" s="13"/>
      <c r="G1045" s="69"/>
      <c r="H1045" s="69"/>
      <c r="I1045" s="13"/>
      <c r="J1045" s="13"/>
      <c r="M1045" s="57"/>
    </row>
    <row r="1046" spans="1:13" x14ac:dyDescent="0.2">
      <c r="A1046" s="6"/>
      <c r="B1046" s="13"/>
      <c r="C1046" s="13"/>
      <c r="D1046" s="13"/>
      <c r="E1046" s="13"/>
      <c r="G1046" s="69"/>
      <c r="H1046" s="69"/>
      <c r="I1046" s="13"/>
      <c r="J1046" s="13"/>
      <c r="M1046" s="57"/>
    </row>
    <row r="1047" spans="1:13" x14ac:dyDescent="0.2">
      <c r="A1047" s="6"/>
      <c r="B1047" s="13"/>
      <c r="C1047" s="13"/>
      <c r="D1047" s="13"/>
      <c r="E1047" s="13"/>
      <c r="G1047" s="69"/>
      <c r="H1047" s="69"/>
      <c r="I1047" s="13"/>
      <c r="J1047" s="13"/>
      <c r="M1047" s="57"/>
    </row>
    <row r="1048" spans="1:13" ht="15" x14ac:dyDescent="0.25">
      <c r="A1048" s="91">
        <v>1130</v>
      </c>
      <c r="B1048" s="92" t="s">
        <v>211</v>
      </c>
      <c r="G1048" s="69"/>
      <c r="H1048" s="69"/>
      <c r="M1048" s="57"/>
    </row>
    <row r="1049" spans="1:13" ht="15" x14ac:dyDescent="0.25">
      <c r="A1049" s="93">
        <v>1132</v>
      </c>
      <c r="B1049" s="83" t="s">
        <v>214</v>
      </c>
      <c r="C1049" s="48"/>
      <c r="D1049" s="48"/>
      <c r="E1049" s="48"/>
      <c r="G1049" s="69"/>
      <c r="H1049" s="69"/>
      <c r="M1049" s="57"/>
    </row>
    <row r="1050" spans="1:13" ht="15" x14ac:dyDescent="0.25">
      <c r="B1050" s="48"/>
      <c r="C1050" s="48"/>
      <c r="D1050" s="48"/>
      <c r="E1050" s="48"/>
      <c r="G1050" s="69"/>
      <c r="H1050" s="69"/>
      <c r="M1050" s="57"/>
    </row>
    <row r="1051" spans="1:13" x14ac:dyDescent="0.2">
      <c r="B1051" s="50" t="s">
        <v>61</v>
      </c>
      <c r="C1051" s="50"/>
      <c r="D1051" s="50"/>
      <c r="E1051" s="50"/>
      <c r="G1051" s="69"/>
      <c r="H1051" s="69"/>
      <c r="M1051" s="57"/>
    </row>
    <row r="1052" spans="1:13" x14ac:dyDescent="0.2">
      <c r="B1052" s="46"/>
      <c r="C1052" s="46"/>
      <c r="D1052" s="46"/>
      <c r="E1052" s="46"/>
      <c r="G1052" s="69"/>
      <c r="H1052" s="69"/>
      <c r="M1052" s="57"/>
    </row>
    <row r="1053" spans="1:13" x14ac:dyDescent="0.2">
      <c r="B1053" s="58" t="s">
        <v>66</v>
      </c>
      <c r="C1053" s="99"/>
      <c r="D1053" s="99"/>
      <c r="E1053" s="99"/>
      <c r="G1053" s="69"/>
      <c r="H1053" s="69"/>
      <c r="M1053" s="57"/>
    </row>
    <row r="1054" spans="1:13" x14ac:dyDescent="0.2">
      <c r="B1054" s="71" t="s">
        <v>215</v>
      </c>
      <c r="C1054" s="62">
        <v>0</v>
      </c>
      <c r="D1054" s="56">
        <v>0</v>
      </c>
      <c r="E1054" s="56">
        <v>0</v>
      </c>
      <c r="F1054" s="56">
        <v>0</v>
      </c>
      <c r="G1054" s="56">
        <f>F1054/$F$11*$G$11</f>
        <v>0</v>
      </c>
      <c r="H1054" s="56">
        <v>0</v>
      </c>
      <c r="I1054" s="56">
        <f>ROUND(H1054*1.06,0)</f>
        <v>0</v>
      </c>
      <c r="J1054" s="56">
        <f>ROUND(I1054*1.06,0)</f>
        <v>0</v>
      </c>
      <c r="M1054" s="57"/>
    </row>
    <row r="1055" spans="1:13" x14ac:dyDescent="0.2">
      <c r="B1055" s="58" t="s">
        <v>434</v>
      </c>
      <c r="C1055" s="100">
        <f t="shared" ref="C1055:J1055" si="144">SUM(C1054:C1054)</f>
        <v>0</v>
      </c>
      <c r="D1055" s="100">
        <f t="shared" si="144"/>
        <v>0</v>
      </c>
      <c r="E1055" s="100">
        <f t="shared" si="144"/>
        <v>0</v>
      </c>
      <c r="F1055" s="100">
        <f t="shared" si="144"/>
        <v>0</v>
      </c>
      <c r="G1055" s="100">
        <f t="shared" si="144"/>
        <v>0</v>
      </c>
      <c r="H1055" s="100">
        <f t="shared" si="144"/>
        <v>0</v>
      </c>
      <c r="I1055" s="100">
        <f t="shared" si="144"/>
        <v>0</v>
      </c>
      <c r="J1055" s="100">
        <f t="shared" si="144"/>
        <v>0</v>
      </c>
      <c r="M1055" s="57"/>
    </row>
    <row r="1056" spans="1:13" x14ac:dyDescent="0.2">
      <c r="B1056" s="61"/>
      <c r="C1056" s="62"/>
      <c r="D1056" s="62"/>
      <c r="E1056" s="62"/>
      <c r="F1056" s="62"/>
      <c r="G1056" s="62"/>
      <c r="H1056" s="62"/>
      <c r="I1056" s="62"/>
      <c r="J1056" s="62"/>
      <c r="M1056" s="57"/>
    </row>
    <row r="1057" spans="2:13" ht="13.5" thickBot="1" x14ac:dyDescent="0.25">
      <c r="B1057" s="65" t="s">
        <v>4043</v>
      </c>
      <c r="C1057" s="66">
        <f t="shared" ref="C1057:J1057" si="145">+C1055</f>
        <v>0</v>
      </c>
      <c r="D1057" s="66">
        <f t="shared" si="145"/>
        <v>0</v>
      </c>
      <c r="E1057" s="66">
        <f t="shared" si="145"/>
        <v>0</v>
      </c>
      <c r="F1057" s="66">
        <f t="shared" si="145"/>
        <v>0</v>
      </c>
      <c r="G1057" s="66">
        <f t="shared" si="145"/>
        <v>0</v>
      </c>
      <c r="H1057" s="66">
        <f t="shared" si="145"/>
        <v>0</v>
      </c>
      <c r="I1057" s="66">
        <f t="shared" si="145"/>
        <v>0</v>
      </c>
      <c r="J1057" s="66">
        <f t="shared" si="145"/>
        <v>0</v>
      </c>
      <c r="M1057" s="57"/>
    </row>
    <row r="1058" spans="2:13" ht="13.5" thickTop="1" x14ac:dyDescent="0.2">
      <c r="B1058" s="68"/>
      <c r="C1058" s="68"/>
      <c r="D1058" s="68"/>
      <c r="E1058" s="68"/>
      <c r="F1058" s="68"/>
      <c r="G1058" s="68"/>
      <c r="H1058" s="68"/>
      <c r="I1058" s="68"/>
      <c r="J1058" s="68"/>
      <c r="M1058" s="57"/>
    </row>
    <row r="1059" spans="2:13" ht="13.5" thickBot="1" x14ac:dyDescent="0.25">
      <c r="B1059" s="65" t="s">
        <v>4059</v>
      </c>
      <c r="C1059" s="77">
        <f t="shared" ref="C1059:J1059" si="146">C1057</f>
        <v>0</v>
      </c>
      <c r="D1059" s="77">
        <f t="shared" si="146"/>
        <v>0</v>
      </c>
      <c r="E1059" s="77">
        <f t="shared" si="146"/>
        <v>0</v>
      </c>
      <c r="F1059" s="77">
        <f t="shared" si="146"/>
        <v>0</v>
      </c>
      <c r="G1059" s="77">
        <f t="shared" si="146"/>
        <v>0</v>
      </c>
      <c r="H1059" s="77">
        <f t="shared" si="146"/>
        <v>0</v>
      </c>
      <c r="I1059" s="77">
        <f t="shared" si="146"/>
        <v>0</v>
      </c>
      <c r="J1059" s="77">
        <f t="shared" si="146"/>
        <v>0</v>
      </c>
      <c r="M1059" s="57"/>
    </row>
    <row r="1060" spans="2:13" ht="13.5" thickTop="1" x14ac:dyDescent="0.2">
      <c r="B1060" s="58"/>
      <c r="C1060" s="78"/>
      <c r="D1060" s="78"/>
      <c r="E1060" s="78"/>
      <c r="G1060" s="69"/>
      <c r="H1060" s="69"/>
      <c r="I1060" s="78"/>
      <c r="J1060" s="78"/>
      <c r="M1060" s="57"/>
    </row>
    <row r="1061" spans="2:13" x14ac:dyDescent="0.2">
      <c r="B1061" s="58"/>
      <c r="C1061" s="78"/>
      <c r="D1061" s="78"/>
      <c r="E1061" s="78"/>
      <c r="G1061" s="69"/>
      <c r="H1061" s="69"/>
      <c r="I1061" s="78"/>
      <c r="J1061" s="78"/>
      <c r="M1061" s="57"/>
    </row>
    <row r="1062" spans="2:13" x14ac:dyDescent="0.2">
      <c r="B1062" s="58"/>
      <c r="C1062" s="78"/>
      <c r="D1062" s="78"/>
      <c r="E1062" s="78"/>
      <c r="G1062" s="69"/>
      <c r="H1062" s="69"/>
      <c r="I1062" s="78"/>
      <c r="J1062" s="78"/>
      <c r="M1062" s="57"/>
    </row>
    <row r="1063" spans="2:13" x14ac:dyDescent="0.2">
      <c r="B1063" s="58"/>
      <c r="C1063" s="78"/>
      <c r="D1063" s="78"/>
      <c r="E1063" s="78"/>
      <c r="G1063" s="69"/>
      <c r="H1063" s="69"/>
      <c r="I1063" s="78"/>
      <c r="J1063" s="78"/>
      <c r="M1063" s="57"/>
    </row>
    <row r="1064" spans="2:13" x14ac:dyDescent="0.2">
      <c r="B1064" s="58"/>
      <c r="C1064" s="78"/>
      <c r="D1064" s="78"/>
      <c r="E1064" s="78"/>
      <c r="G1064" s="69"/>
      <c r="H1064" s="69"/>
      <c r="I1064" s="78"/>
      <c r="J1064" s="78"/>
      <c r="M1064" s="57"/>
    </row>
    <row r="1065" spans="2:13" x14ac:dyDescent="0.2">
      <c r="B1065" s="58"/>
      <c r="C1065" s="78"/>
      <c r="D1065" s="78"/>
      <c r="E1065" s="78"/>
      <c r="G1065" s="69"/>
      <c r="H1065" s="69"/>
      <c r="I1065" s="78"/>
      <c r="J1065" s="78"/>
      <c r="M1065" s="57"/>
    </row>
    <row r="1066" spans="2:13" x14ac:dyDescent="0.2">
      <c r="B1066" s="58"/>
      <c r="C1066" s="78"/>
      <c r="D1066" s="78"/>
      <c r="E1066" s="78"/>
      <c r="G1066" s="69"/>
      <c r="H1066" s="69"/>
      <c r="I1066" s="78"/>
      <c r="J1066" s="78"/>
      <c r="M1066" s="57"/>
    </row>
    <row r="1067" spans="2:13" x14ac:dyDescent="0.2">
      <c r="B1067" s="58"/>
      <c r="C1067" s="78"/>
      <c r="D1067" s="78"/>
      <c r="E1067" s="78"/>
      <c r="G1067" s="69"/>
      <c r="H1067" s="69"/>
      <c r="I1067" s="78"/>
      <c r="J1067" s="78"/>
      <c r="M1067" s="57"/>
    </row>
    <row r="1068" spans="2:13" x14ac:dyDescent="0.2">
      <c r="B1068" s="58"/>
      <c r="C1068" s="78"/>
      <c r="D1068" s="78"/>
      <c r="E1068" s="78"/>
      <c r="G1068" s="69"/>
      <c r="H1068" s="69"/>
      <c r="I1068" s="78"/>
      <c r="J1068" s="78"/>
      <c r="M1068" s="57"/>
    </row>
    <row r="1069" spans="2:13" x14ac:dyDescent="0.2">
      <c r="B1069" s="58"/>
      <c r="C1069" s="78"/>
      <c r="D1069" s="78"/>
      <c r="E1069" s="78"/>
      <c r="G1069" s="69"/>
      <c r="H1069" s="69"/>
      <c r="I1069" s="78"/>
      <c r="J1069" s="78"/>
      <c r="M1069" s="57"/>
    </row>
    <row r="1070" spans="2:13" x14ac:dyDescent="0.2">
      <c r="B1070" s="58"/>
      <c r="C1070" s="78"/>
      <c r="D1070" s="78"/>
      <c r="E1070" s="78"/>
      <c r="G1070" s="69"/>
      <c r="H1070" s="69"/>
      <c r="I1070" s="78"/>
      <c r="J1070" s="78"/>
      <c r="M1070" s="57"/>
    </row>
    <row r="1071" spans="2:13" x14ac:dyDescent="0.2">
      <c r="B1071" s="58"/>
      <c r="C1071" s="78"/>
      <c r="D1071" s="78"/>
      <c r="E1071" s="78"/>
      <c r="G1071" s="69"/>
      <c r="H1071" s="69"/>
      <c r="I1071" s="78"/>
      <c r="J1071" s="78"/>
      <c r="M1071" s="57"/>
    </row>
    <row r="1072" spans="2:13" x14ac:dyDescent="0.2">
      <c r="B1072" s="58"/>
      <c r="C1072" s="78"/>
      <c r="D1072" s="78"/>
      <c r="E1072" s="78"/>
      <c r="G1072" s="69"/>
      <c r="H1072" s="69"/>
      <c r="I1072" s="78"/>
      <c r="J1072" s="78"/>
      <c r="M1072" s="57"/>
    </row>
    <row r="1073" spans="2:13" x14ac:dyDescent="0.2">
      <c r="B1073" s="58"/>
      <c r="C1073" s="78"/>
      <c r="D1073" s="78"/>
      <c r="E1073" s="78"/>
      <c r="G1073" s="69"/>
      <c r="H1073" s="69"/>
      <c r="I1073" s="78"/>
      <c r="J1073" s="78"/>
      <c r="M1073" s="57"/>
    </row>
    <row r="1074" spans="2:13" x14ac:dyDescent="0.2">
      <c r="B1074" s="58"/>
      <c r="C1074" s="78"/>
      <c r="D1074" s="78"/>
      <c r="E1074" s="78"/>
      <c r="G1074" s="69"/>
      <c r="H1074" s="69"/>
      <c r="I1074" s="78"/>
      <c r="J1074" s="78"/>
      <c r="M1074" s="57"/>
    </row>
    <row r="1075" spans="2:13" x14ac:dyDescent="0.2">
      <c r="B1075" s="58"/>
      <c r="C1075" s="78"/>
      <c r="D1075" s="78"/>
      <c r="E1075" s="78"/>
      <c r="G1075" s="69"/>
      <c r="H1075" s="69"/>
      <c r="I1075" s="78"/>
      <c r="J1075" s="78"/>
      <c r="M1075" s="57"/>
    </row>
    <row r="1076" spans="2:13" x14ac:dyDescent="0.2">
      <c r="B1076" s="58"/>
      <c r="C1076" s="78"/>
      <c r="D1076" s="78"/>
      <c r="E1076" s="78"/>
      <c r="G1076" s="69"/>
      <c r="H1076" s="69"/>
      <c r="I1076" s="78"/>
      <c r="J1076" s="78"/>
      <c r="M1076" s="57"/>
    </row>
    <row r="1077" spans="2:13" x14ac:dyDescent="0.2">
      <c r="B1077" s="58"/>
      <c r="C1077" s="78"/>
      <c r="D1077" s="78"/>
      <c r="E1077" s="78"/>
      <c r="G1077" s="69"/>
      <c r="H1077" s="69"/>
      <c r="I1077" s="78"/>
      <c r="J1077" s="78"/>
      <c r="M1077" s="57"/>
    </row>
    <row r="1078" spans="2:13" x14ac:dyDescent="0.2">
      <c r="B1078" s="58"/>
      <c r="C1078" s="78"/>
      <c r="D1078" s="78"/>
      <c r="E1078" s="78"/>
      <c r="G1078" s="69"/>
      <c r="H1078" s="69"/>
      <c r="I1078" s="78"/>
      <c r="J1078" s="78"/>
      <c r="M1078" s="57"/>
    </row>
    <row r="1079" spans="2:13" x14ac:dyDescent="0.2">
      <c r="B1079" s="58"/>
      <c r="C1079" s="78"/>
      <c r="D1079" s="78"/>
      <c r="E1079" s="78"/>
      <c r="G1079" s="69"/>
      <c r="H1079" s="69"/>
      <c r="I1079" s="78"/>
      <c r="J1079" s="78"/>
      <c r="M1079" s="57"/>
    </row>
    <row r="1080" spans="2:13" x14ac:dyDescent="0.2">
      <c r="B1080" s="58"/>
      <c r="C1080" s="78"/>
      <c r="D1080" s="78"/>
      <c r="E1080" s="78"/>
      <c r="G1080" s="69"/>
      <c r="H1080" s="69"/>
      <c r="I1080" s="78"/>
      <c r="J1080" s="78"/>
      <c r="M1080" s="57"/>
    </row>
    <row r="1081" spans="2:13" x14ac:dyDescent="0.2">
      <c r="B1081" s="58"/>
      <c r="C1081" s="78"/>
      <c r="D1081" s="78"/>
      <c r="E1081" s="78"/>
      <c r="G1081" s="69"/>
      <c r="H1081" s="69"/>
      <c r="I1081" s="78"/>
      <c r="J1081" s="78"/>
      <c r="M1081" s="57"/>
    </row>
    <row r="1082" spans="2:13" x14ac:dyDescent="0.2">
      <c r="B1082" s="58"/>
      <c r="C1082" s="78"/>
      <c r="D1082" s="78"/>
      <c r="E1082" s="78"/>
      <c r="G1082" s="69"/>
      <c r="H1082" s="69"/>
      <c r="I1082" s="78"/>
      <c r="J1082" s="78"/>
      <c r="M1082" s="57"/>
    </row>
    <row r="1083" spans="2:13" x14ac:dyDescent="0.2">
      <c r="B1083" s="58"/>
      <c r="C1083" s="78"/>
      <c r="D1083" s="78"/>
      <c r="E1083" s="78"/>
      <c r="G1083" s="69"/>
      <c r="H1083" s="69"/>
      <c r="I1083" s="78"/>
      <c r="J1083" s="78"/>
      <c r="M1083" s="57"/>
    </row>
    <row r="1084" spans="2:13" x14ac:dyDescent="0.2">
      <c r="B1084" s="58"/>
      <c r="C1084" s="78"/>
      <c r="D1084" s="78"/>
      <c r="E1084" s="78"/>
      <c r="G1084" s="69"/>
      <c r="H1084" s="69"/>
      <c r="I1084" s="78"/>
      <c r="J1084" s="78"/>
      <c r="M1084" s="57"/>
    </row>
    <row r="1085" spans="2:13" x14ac:dyDescent="0.2">
      <c r="B1085" s="58"/>
      <c r="C1085" s="78"/>
      <c r="D1085" s="78"/>
      <c r="E1085" s="78"/>
      <c r="G1085" s="69"/>
      <c r="H1085" s="69"/>
      <c r="I1085" s="78"/>
      <c r="J1085" s="78"/>
      <c r="M1085" s="57"/>
    </row>
    <row r="1086" spans="2:13" x14ac:dyDescent="0.2">
      <c r="B1086" s="58"/>
      <c r="C1086" s="78"/>
      <c r="D1086" s="78"/>
      <c r="E1086" s="78"/>
      <c r="G1086" s="69"/>
      <c r="H1086" s="69"/>
      <c r="I1086" s="78"/>
      <c r="J1086" s="78"/>
      <c r="M1086" s="57"/>
    </row>
    <row r="1087" spans="2:13" x14ac:dyDescent="0.2">
      <c r="B1087" s="58"/>
      <c r="C1087" s="78"/>
      <c r="D1087" s="78"/>
      <c r="E1087" s="78"/>
      <c r="G1087" s="69"/>
      <c r="H1087" s="69"/>
      <c r="I1087" s="78"/>
      <c r="J1087" s="78"/>
      <c r="M1087" s="57"/>
    </row>
    <row r="1088" spans="2:13" x14ac:dyDescent="0.2">
      <c r="B1088" s="58"/>
      <c r="C1088" s="78"/>
      <c r="D1088" s="78"/>
      <c r="E1088" s="78"/>
      <c r="G1088" s="69"/>
      <c r="H1088" s="69"/>
      <c r="I1088" s="78"/>
      <c r="J1088" s="78"/>
      <c r="M1088" s="57"/>
    </row>
    <row r="1089" spans="2:13" x14ac:dyDescent="0.2">
      <c r="B1089" s="58"/>
      <c r="C1089" s="78"/>
      <c r="D1089" s="78"/>
      <c r="E1089" s="78"/>
      <c r="G1089" s="69"/>
      <c r="H1089" s="69"/>
      <c r="I1089" s="78"/>
      <c r="J1089" s="78"/>
      <c r="M1089" s="57"/>
    </row>
    <row r="1090" spans="2:13" x14ac:dyDescent="0.2">
      <c r="B1090" s="58"/>
      <c r="C1090" s="78"/>
      <c r="D1090" s="78"/>
      <c r="E1090" s="78"/>
      <c r="G1090" s="69"/>
      <c r="H1090" s="69"/>
      <c r="I1090" s="78"/>
      <c r="J1090" s="78"/>
      <c r="M1090" s="57"/>
    </row>
    <row r="1091" spans="2:13" x14ac:dyDescent="0.2">
      <c r="B1091" s="58"/>
      <c r="C1091" s="78"/>
      <c r="D1091" s="78"/>
      <c r="E1091" s="78"/>
      <c r="G1091" s="69"/>
      <c r="H1091" s="69"/>
      <c r="I1091" s="78"/>
      <c r="J1091" s="78"/>
      <c r="M1091" s="57"/>
    </row>
    <row r="1092" spans="2:13" x14ac:dyDescent="0.2">
      <c r="B1092" s="58"/>
      <c r="C1092" s="78"/>
      <c r="D1092" s="78"/>
      <c r="E1092" s="78"/>
      <c r="G1092" s="69"/>
      <c r="H1092" s="69"/>
      <c r="I1092" s="78"/>
      <c r="J1092" s="78"/>
      <c r="M1092" s="57"/>
    </row>
    <row r="1093" spans="2:13" x14ac:dyDescent="0.2">
      <c r="B1093" s="58"/>
      <c r="C1093" s="78"/>
      <c r="D1093" s="78"/>
      <c r="E1093" s="78"/>
      <c r="G1093" s="69"/>
      <c r="H1093" s="69"/>
      <c r="I1093" s="78"/>
      <c r="J1093" s="78"/>
      <c r="M1093" s="57"/>
    </row>
    <row r="1094" spans="2:13" x14ac:dyDescent="0.2">
      <c r="B1094" s="58"/>
      <c r="C1094" s="78"/>
      <c r="D1094" s="78"/>
      <c r="E1094" s="78"/>
      <c r="G1094" s="69"/>
      <c r="H1094" s="69"/>
      <c r="I1094" s="78"/>
      <c r="J1094" s="78"/>
      <c r="M1094" s="57"/>
    </row>
    <row r="1095" spans="2:13" x14ac:dyDescent="0.2">
      <c r="B1095" s="58"/>
      <c r="C1095" s="78"/>
      <c r="D1095" s="78"/>
      <c r="E1095" s="78"/>
      <c r="G1095" s="69"/>
      <c r="H1095" s="69"/>
      <c r="I1095" s="78"/>
      <c r="J1095" s="78"/>
      <c r="M1095" s="57"/>
    </row>
    <row r="1096" spans="2:13" x14ac:dyDescent="0.2">
      <c r="B1096" s="58"/>
      <c r="C1096" s="78"/>
      <c r="D1096" s="78"/>
      <c r="E1096" s="78"/>
      <c r="G1096" s="69"/>
      <c r="H1096" s="69"/>
      <c r="I1096" s="78"/>
      <c r="J1096" s="78"/>
      <c r="M1096" s="57"/>
    </row>
    <row r="1097" spans="2:13" x14ac:dyDescent="0.2">
      <c r="B1097" s="58"/>
      <c r="C1097" s="78"/>
      <c r="D1097" s="78"/>
      <c r="E1097" s="78"/>
      <c r="G1097" s="69"/>
      <c r="H1097" s="69"/>
      <c r="I1097" s="78"/>
      <c r="J1097" s="78"/>
      <c r="M1097" s="57"/>
    </row>
    <row r="1098" spans="2:13" x14ac:dyDescent="0.2">
      <c r="B1098" s="58"/>
      <c r="C1098" s="78"/>
      <c r="D1098" s="78"/>
      <c r="E1098" s="78"/>
      <c r="G1098" s="69"/>
      <c r="H1098" s="69"/>
      <c r="I1098" s="78"/>
      <c r="J1098" s="78"/>
      <c r="M1098" s="57"/>
    </row>
    <row r="1099" spans="2:13" x14ac:dyDescent="0.2">
      <c r="B1099" s="58"/>
      <c r="C1099" s="78"/>
      <c r="D1099" s="78"/>
      <c r="E1099" s="78"/>
      <c r="G1099" s="69"/>
      <c r="H1099" s="69"/>
      <c r="I1099" s="78"/>
      <c r="J1099" s="78"/>
      <c r="M1099" s="57"/>
    </row>
    <row r="1100" spans="2:13" x14ac:dyDescent="0.2">
      <c r="B1100" s="58"/>
      <c r="C1100" s="78"/>
      <c r="D1100" s="78"/>
      <c r="E1100" s="78"/>
      <c r="G1100" s="69"/>
      <c r="H1100" s="69"/>
      <c r="I1100" s="78"/>
      <c r="J1100" s="78"/>
      <c r="M1100" s="57"/>
    </row>
    <row r="1101" spans="2:13" x14ac:dyDescent="0.2">
      <c r="B1101" s="58"/>
      <c r="C1101" s="78"/>
      <c r="D1101" s="78"/>
      <c r="E1101" s="78"/>
      <c r="G1101" s="69"/>
      <c r="H1101" s="69"/>
      <c r="I1101" s="78"/>
      <c r="J1101" s="78"/>
      <c r="M1101" s="57"/>
    </row>
    <row r="1102" spans="2:13" x14ac:dyDescent="0.2">
      <c r="B1102" s="58"/>
      <c r="C1102" s="78"/>
      <c r="D1102" s="78"/>
      <c r="E1102" s="78"/>
      <c r="G1102" s="69"/>
      <c r="H1102" s="69"/>
      <c r="I1102" s="78"/>
      <c r="J1102" s="78"/>
      <c r="M1102" s="57"/>
    </row>
    <row r="1103" spans="2:13" x14ac:dyDescent="0.2">
      <c r="B1103" s="58"/>
      <c r="C1103" s="78"/>
      <c r="D1103" s="78"/>
      <c r="E1103" s="78"/>
      <c r="G1103" s="69"/>
      <c r="H1103" s="69"/>
      <c r="I1103" s="78"/>
      <c r="J1103" s="78"/>
      <c r="M1103" s="57"/>
    </row>
    <row r="1104" spans="2:13" x14ac:dyDescent="0.2">
      <c r="B1104" s="58"/>
      <c r="C1104" s="78"/>
      <c r="D1104" s="78"/>
      <c r="E1104" s="78"/>
      <c r="G1104" s="69"/>
      <c r="H1104" s="69"/>
      <c r="I1104" s="78"/>
      <c r="J1104" s="78"/>
      <c r="M1104" s="57"/>
    </row>
    <row r="1105" spans="1:13" x14ac:dyDescent="0.2">
      <c r="B1105" s="58"/>
      <c r="C1105" s="78"/>
      <c r="D1105" s="78"/>
      <c r="E1105" s="78"/>
      <c r="G1105" s="69"/>
      <c r="H1105" s="69"/>
      <c r="I1105" s="78"/>
      <c r="J1105" s="78"/>
      <c r="M1105" s="57"/>
    </row>
    <row r="1106" spans="1:13" x14ac:dyDescent="0.2">
      <c r="B1106" s="58"/>
      <c r="C1106" s="78"/>
      <c r="D1106" s="78"/>
      <c r="E1106" s="78"/>
      <c r="G1106" s="69"/>
      <c r="H1106" s="69"/>
      <c r="I1106" s="78"/>
      <c r="J1106" s="78"/>
      <c r="M1106" s="57"/>
    </row>
    <row r="1107" spans="1:13" x14ac:dyDescent="0.2">
      <c r="B1107" s="58"/>
      <c r="C1107" s="78"/>
      <c r="D1107" s="78"/>
      <c r="E1107" s="78"/>
      <c r="G1107" s="69"/>
      <c r="H1107" s="69"/>
      <c r="I1107" s="78"/>
      <c r="J1107" s="78"/>
      <c r="M1107" s="57"/>
    </row>
    <row r="1108" spans="1:13" x14ac:dyDescent="0.2">
      <c r="B1108" s="58"/>
      <c r="C1108" s="78"/>
      <c r="D1108" s="78"/>
      <c r="E1108" s="78"/>
      <c r="G1108" s="69"/>
      <c r="H1108" s="69"/>
      <c r="I1108" s="78"/>
      <c r="J1108" s="78"/>
      <c r="M1108" s="57"/>
    </row>
    <row r="1109" spans="1:13" x14ac:dyDescent="0.2">
      <c r="B1109" s="58"/>
      <c r="C1109" s="78"/>
      <c r="D1109" s="78"/>
      <c r="E1109" s="78"/>
      <c r="G1109" s="69"/>
      <c r="H1109" s="69"/>
      <c r="I1109" s="78"/>
      <c r="J1109" s="78"/>
      <c r="M1109" s="57"/>
    </row>
    <row r="1110" spans="1:13" x14ac:dyDescent="0.2">
      <c r="B1110" s="58"/>
      <c r="C1110" s="78"/>
      <c r="D1110" s="78"/>
      <c r="E1110" s="78"/>
      <c r="G1110" s="69"/>
      <c r="H1110" s="69"/>
      <c r="I1110" s="78"/>
      <c r="J1110" s="78"/>
      <c r="M1110" s="57"/>
    </row>
    <row r="1111" spans="1:13" x14ac:dyDescent="0.2">
      <c r="B1111" s="58"/>
      <c r="C1111" s="78"/>
      <c r="D1111" s="78"/>
      <c r="E1111" s="78"/>
      <c r="G1111" s="69"/>
      <c r="H1111" s="69"/>
      <c r="I1111" s="78"/>
      <c r="J1111" s="78"/>
      <c r="M1111" s="57"/>
    </row>
    <row r="1112" spans="1:13" x14ac:dyDescent="0.2">
      <c r="B1112" s="58"/>
      <c r="C1112" s="78"/>
      <c r="D1112" s="78"/>
      <c r="E1112" s="78"/>
      <c r="G1112" s="69"/>
      <c r="H1112" s="69"/>
      <c r="I1112" s="78"/>
      <c r="J1112" s="78"/>
      <c r="M1112" s="57"/>
    </row>
    <row r="1113" spans="1:13" x14ac:dyDescent="0.2">
      <c r="B1113" s="58"/>
      <c r="C1113" s="78"/>
      <c r="D1113" s="78"/>
      <c r="E1113" s="78"/>
      <c r="G1113" s="69"/>
      <c r="H1113" s="69"/>
      <c r="I1113" s="78"/>
      <c r="J1113" s="78"/>
      <c r="M1113" s="57"/>
    </row>
    <row r="1114" spans="1:13" x14ac:dyDescent="0.2">
      <c r="B1114" s="58"/>
      <c r="C1114" s="78"/>
      <c r="D1114" s="78"/>
      <c r="E1114" s="78"/>
      <c r="G1114" s="69"/>
      <c r="H1114" s="69"/>
      <c r="I1114" s="78"/>
      <c r="J1114" s="78"/>
      <c r="M1114" s="57"/>
    </row>
    <row r="1115" spans="1:13" x14ac:dyDescent="0.2">
      <c r="B1115" s="58"/>
      <c r="C1115" s="78"/>
      <c r="D1115" s="78"/>
      <c r="E1115" s="78"/>
      <c r="G1115" s="69"/>
      <c r="H1115" s="69"/>
      <c r="I1115" s="78"/>
      <c r="J1115" s="78"/>
      <c r="M1115" s="57"/>
    </row>
    <row r="1116" spans="1:13" x14ac:dyDescent="0.2">
      <c r="G1116" s="69"/>
      <c r="H1116" s="69"/>
      <c r="M1116" s="57"/>
    </row>
    <row r="1117" spans="1:13" x14ac:dyDescent="0.2">
      <c r="A1117" s="6"/>
      <c r="B1117" s="6"/>
      <c r="C1117" s="6"/>
      <c r="D1117" s="6"/>
      <c r="E1117" s="6"/>
      <c r="G1117" s="69"/>
      <c r="H1117" s="69"/>
      <c r="I1117" s="6"/>
      <c r="J1117" s="6"/>
      <c r="M1117" s="57"/>
    </row>
    <row r="1118" spans="1:13" x14ac:dyDescent="0.2">
      <c r="A1118" s="6"/>
      <c r="B1118" s="6"/>
      <c r="C1118" s="6"/>
      <c r="D1118" s="6"/>
      <c r="E1118" s="6"/>
      <c r="G1118" s="69"/>
      <c r="H1118" s="69"/>
      <c r="I1118" s="6"/>
      <c r="J1118" s="6"/>
      <c r="M1118" s="57"/>
    </row>
    <row r="1119" spans="1:13" x14ac:dyDescent="0.2">
      <c r="A1119" s="6"/>
      <c r="B1119" s="6"/>
      <c r="C1119" s="6"/>
      <c r="D1119" s="6"/>
      <c r="E1119" s="6"/>
      <c r="G1119" s="69"/>
      <c r="H1119" s="69"/>
      <c r="I1119" s="6"/>
      <c r="J1119" s="6"/>
      <c r="M1119" s="57"/>
    </row>
    <row r="1120" spans="1:13" x14ac:dyDescent="0.2">
      <c r="A1120" s="6"/>
      <c r="B1120" s="6"/>
      <c r="C1120" s="6"/>
      <c r="D1120" s="6"/>
      <c r="E1120" s="6"/>
      <c r="G1120" s="69"/>
      <c r="H1120" s="69"/>
      <c r="I1120" s="6"/>
      <c r="J1120" s="6"/>
      <c r="M1120" s="57"/>
    </row>
    <row r="1121" spans="1:13" x14ac:dyDescent="0.2">
      <c r="A1121" s="6"/>
      <c r="B1121" s="6"/>
      <c r="C1121" s="6"/>
      <c r="D1121" s="6"/>
      <c r="E1121" s="6"/>
      <c r="G1121" s="69"/>
      <c r="H1121" s="69"/>
      <c r="I1121" s="6"/>
      <c r="J1121" s="6"/>
      <c r="M1121" s="57"/>
    </row>
    <row r="1122" spans="1:13" ht="15" x14ac:dyDescent="0.25">
      <c r="A1122" s="91">
        <v>1140</v>
      </c>
      <c r="B1122" s="95" t="s">
        <v>495</v>
      </c>
      <c r="C1122" s="78"/>
      <c r="D1122" s="78"/>
      <c r="E1122" s="78"/>
      <c r="G1122" s="69"/>
      <c r="H1122" s="69"/>
      <c r="I1122" s="78"/>
      <c r="J1122" s="78"/>
      <c r="M1122" s="57"/>
    </row>
    <row r="1123" spans="1:13" x14ac:dyDescent="0.2">
      <c r="B1123" s="58"/>
      <c r="C1123" s="78"/>
      <c r="D1123" s="78"/>
      <c r="E1123" s="78"/>
      <c r="G1123" s="69"/>
      <c r="H1123" s="69"/>
      <c r="I1123" s="78"/>
      <c r="J1123" s="78"/>
      <c r="M1123" s="57"/>
    </row>
    <row r="1124" spans="1:13" x14ac:dyDescent="0.2">
      <c r="B1124" s="50" t="s">
        <v>4018</v>
      </c>
      <c r="C1124" s="50"/>
      <c r="D1124" s="50"/>
      <c r="E1124" s="50"/>
      <c r="G1124" s="69"/>
      <c r="H1124" s="69"/>
      <c r="I1124" s="50"/>
      <c r="J1124" s="50"/>
      <c r="M1124" s="57"/>
    </row>
    <row r="1125" spans="1:13" x14ac:dyDescent="0.2">
      <c r="B1125" s="50"/>
      <c r="C1125" s="50"/>
      <c r="D1125" s="50"/>
      <c r="E1125" s="50"/>
      <c r="G1125" s="69"/>
      <c r="H1125" s="69"/>
      <c r="I1125" s="50"/>
      <c r="J1125" s="50"/>
      <c r="M1125" s="57"/>
    </row>
    <row r="1126" spans="1:13" x14ac:dyDescent="0.2">
      <c r="B1126" s="58" t="s">
        <v>4019</v>
      </c>
      <c r="C1126" s="69"/>
      <c r="D1126" s="69"/>
      <c r="E1126" s="69"/>
      <c r="G1126" s="69"/>
      <c r="H1126" s="69"/>
      <c r="I1126" s="69"/>
      <c r="J1126" s="69"/>
      <c r="M1126" s="57"/>
    </row>
    <row r="1127" spans="1:13" x14ac:dyDescent="0.2">
      <c r="A1127" s="60">
        <v>1001</v>
      </c>
      <c r="B1127" s="70" t="s">
        <v>472</v>
      </c>
      <c r="C1127" s="69">
        <v>232138</v>
      </c>
      <c r="D1127" s="69">
        <v>216454</v>
      </c>
      <c r="E1127" s="69">
        <v>216454</v>
      </c>
      <c r="F1127" s="69">
        <v>220798</v>
      </c>
      <c r="G1127" s="69">
        <f t="shared" ref="G1127:G1138" si="147">F1127/$F$11*$G$11</f>
        <v>264957.59999999998</v>
      </c>
      <c r="H1127" s="69">
        <f>[3]Salary_Bdgt!$H$150</f>
        <v>517693</v>
      </c>
      <c r="I1127" s="69">
        <f t="shared" ref="I1127:J1138" si="148">ROUND(H1127*1.08,0)</f>
        <v>559108</v>
      </c>
      <c r="J1127" s="69">
        <f t="shared" si="148"/>
        <v>603837</v>
      </c>
      <c r="M1127" s="57"/>
    </row>
    <row r="1128" spans="1:13" x14ac:dyDescent="0.2">
      <c r="A1128" s="60">
        <v>1005</v>
      </c>
      <c r="B1128" s="70" t="s">
        <v>473</v>
      </c>
      <c r="C1128" s="69">
        <v>15749</v>
      </c>
      <c r="D1128" s="69">
        <v>5837</v>
      </c>
      <c r="E1128" s="69">
        <f>+D1128</f>
        <v>5837</v>
      </c>
      <c r="F1128" s="69">
        <v>22478</v>
      </c>
      <c r="G1128" s="69">
        <f t="shared" si="147"/>
        <v>26973.600000000002</v>
      </c>
      <c r="H1128" s="69">
        <f>+[3]Salary_Bdgt!$L$150</f>
        <v>65844</v>
      </c>
      <c r="I1128" s="69">
        <f t="shared" si="148"/>
        <v>71112</v>
      </c>
      <c r="J1128" s="69">
        <f t="shared" si="148"/>
        <v>76801</v>
      </c>
      <c r="M1128" s="57"/>
    </row>
    <row r="1129" spans="1:13" x14ac:dyDescent="0.2">
      <c r="A1129" s="60">
        <v>1006</v>
      </c>
      <c r="B1129" s="70" t="s">
        <v>474</v>
      </c>
      <c r="C1129" s="69">
        <v>41258</v>
      </c>
      <c r="D1129" s="69">
        <v>39113</v>
      </c>
      <c r="E1129" s="69">
        <f>+D1129</f>
        <v>39113</v>
      </c>
      <c r="F1129" s="69">
        <v>37295</v>
      </c>
      <c r="G1129" s="69">
        <f t="shared" si="147"/>
        <v>44754</v>
      </c>
      <c r="H1129" s="69">
        <f>+[3]Salary_Bdgt!$N$150</f>
        <v>87255</v>
      </c>
      <c r="I1129" s="69">
        <f t="shared" si="148"/>
        <v>94235</v>
      </c>
      <c r="J1129" s="69">
        <f t="shared" si="148"/>
        <v>101774</v>
      </c>
      <c r="M1129" s="57"/>
    </row>
    <row r="1130" spans="1:13" x14ac:dyDescent="0.2">
      <c r="A1130" s="60">
        <v>1007</v>
      </c>
      <c r="B1130" s="70" t="s">
        <v>481</v>
      </c>
      <c r="C1130" s="69">
        <v>2376</v>
      </c>
      <c r="D1130" s="69">
        <v>2832</v>
      </c>
      <c r="E1130" s="69">
        <f>+D1130</f>
        <v>2832</v>
      </c>
      <c r="F1130" s="69">
        <v>1861</v>
      </c>
      <c r="G1130" s="69">
        <f t="shared" si="147"/>
        <v>2233.1999999999998</v>
      </c>
      <c r="H1130" s="69">
        <f>+[3]Salary_Bdgt!$I$150</f>
        <v>6252</v>
      </c>
      <c r="I1130" s="69">
        <f t="shared" si="148"/>
        <v>6752</v>
      </c>
      <c r="J1130" s="69">
        <f t="shared" si="148"/>
        <v>7292</v>
      </c>
      <c r="M1130" s="57"/>
    </row>
    <row r="1131" spans="1:13" x14ac:dyDescent="0.2">
      <c r="A1131" s="60">
        <v>1009</v>
      </c>
      <c r="B1131" s="70" t="s">
        <v>482</v>
      </c>
      <c r="C1131" s="69">
        <v>104</v>
      </c>
      <c r="D1131" s="69">
        <f>[2]Sal_RIA!$M$113</f>
        <v>77</v>
      </c>
      <c r="E1131" s="69">
        <f>+D1131</f>
        <v>77</v>
      </c>
      <c r="F1131" s="69">
        <v>243</v>
      </c>
      <c r="G1131" s="69">
        <f t="shared" si="147"/>
        <v>291.60000000000002</v>
      </c>
      <c r="H1131" s="69">
        <f>+[3]Salary_Bdgt!$M$150</f>
        <v>180</v>
      </c>
      <c r="I1131" s="69">
        <f t="shared" si="148"/>
        <v>194</v>
      </c>
      <c r="J1131" s="69">
        <f t="shared" si="148"/>
        <v>210</v>
      </c>
      <c r="M1131" s="57"/>
    </row>
    <row r="1132" spans="1:13" x14ac:dyDescent="0.2">
      <c r="A1132" s="60">
        <v>1010</v>
      </c>
      <c r="B1132" s="70" t="s">
        <v>28</v>
      </c>
      <c r="C1132" s="69">
        <v>25716</v>
      </c>
      <c r="D1132" s="69">
        <v>18038</v>
      </c>
      <c r="E1132" s="69">
        <f>+D1132</f>
        <v>18038</v>
      </c>
      <c r="F1132" s="69">
        <v>18120</v>
      </c>
      <c r="G1132" s="69">
        <f t="shared" si="147"/>
        <v>21744</v>
      </c>
      <c r="H1132" s="69">
        <f>+[3]Salary_Bdgt!$Q$150</f>
        <v>43141</v>
      </c>
      <c r="I1132" s="69">
        <f t="shared" si="148"/>
        <v>46592</v>
      </c>
      <c r="J1132" s="69">
        <f t="shared" si="148"/>
        <v>50319</v>
      </c>
      <c r="M1132" s="57"/>
    </row>
    <row r="1133" spans="1:13" x14ac:dyDescent="0.2">
      <c r="A1133" s="60">
        <v>1011</v>
      </c>
      <c r="B1133" s="70" t="s">
        <v>4045</v>
      </c>
      <c r="C1133" s="69">
        <v>0</v>
      </c>
      <c r="D1133" s="69">
        <v>0</v>
      </c>
      <c r="E1133" s="69">
        <v>0</v>
      </c>
      <c r="F1133" s="69">
        <v>0</v>
      </c>
      <c r="G1133" s="69">
        <f t="shared" si="147"/>
        <v>0</v>
      </c>
      <c r="H1133" s="69">
        <f>+[3]Salary_Bdgt!$U$150</f>
        <v>6480</v>
      </c>
      <c r="I1133" s="69">
        <f t="shared" si="148"/>
        <v>6998</v>
      </c>
      <c r="J1133" s="69">
        <f t="shared" si="148"/>
        <v>7558</v>
      </c>
      <c r="M1133" s="57"/>
    </row>
    <row r="1134" spans="1:13" x14ac:dyDescent="0.2">
      <c r="A1134" s="60">
        <v>1015</v>
      </c>
      <c r="B1134" s="70" t="s">
        <v>445</v>
      </c>
      <c r="C1134" s="69">
        <v>0</v>
      </c>
      <c r="D1134" s="69">
        <v>0</v>
      </c>
      <c r="E1134" s="69">
        <v>0</v>
      </c>
      <c r="F1134" s="69">
        <v>0</v>
      </c>
      <c r="G1134" s="69">
        <f t="shared" si="147"/>
        <v>0</v>
      </c>
      <c r="H1134" s="69">
        <f>+[3]Salary_Bdgt!$O$150+[3]Salary_Bdgt!$P$150+[3]Salary_Bdgt!$W$150</f>
        <v>0</v>
      </c>
      <c r="I1134" s="69">
        <f t="shared" si="148"/>
        <v>0</v>
      </c>
      <c r="J1134" s="69">
        <f t="shared" si="148"/>
        <v>0</v>
      </c>
      <c r="M1134" s="57"/>
    </row>
    <row r="1135" spans="1:13" x14ac:dyDescent="0.2">
      <c r="A1135" s="60">
        <v>1016</v>
      </c>
      <c r="B1135" s="70" t="s">
        <v>475</v>
      </c>
      <c r="C1135" s="69">
        <v>0</v>
      </c>
      <c r="D1135" s="69">
        <v>0</v>
      </c>
      <c r="E1135" s="69">
        <v>0</v>
      </c>
      <c r="F1135" s="69">
        <v>0</v>
      </c>
      <c r="G1135" s="69">
        <f t="shared" si="147"/>
        <v>0</v>
      </c>
      <c r="H1135" s="69">
        <f>+[3]Salary_Bdgt!$T$150+[3]Salary_Bdgt!$V$150</f>
        <v>52851</v>
      </c>
      <c r="I1135" s="69">
        <f t="shared" si="148"/>
        <v>57079</v>
      </c>
      <c r="J1135" s="69">
        <f t="shared" si="148"/>
        <v>61645</v>
      </c>
      <c r="M1135" s="57"/>
    </row>
    <row r="1136" spans="1:13" x14ac:dyDescent="0.2">
      <c r="A1136" s="75">
        <v>1017</v>
      </c>
      <c r="B1136" s="70" t="s">
        <v>4044</v>
      </c>
      <c r="C1136" s="69">
        <v>2755</v>
      </c>
      <c r="D1136" s="69">
        <v>4329</v>
      </c>
      <c r="E1136" s="69">
        <f>+D1136</f>
        <v>4329</v>
      </c>
      <c r="F1136" s="69">
        <v>797</v>
      </c>
      <c r="G1136" s="69">
        <f t="shared" si="147"/>
        <v>956.40000000000009</v>
      </c>
      <c r="H1136" s="69">
        <f>+[3]Salary_Bdgt!$J$150</f>
        <v>10807</v>
      </c>
      <c r="I1136" s="69">
        <f t="shared" si="148"/>
        <v>11672</v>
      </c>
      <c r="J1136" s="69">
        <f t="shared" si="148"/>
        <v>12606</v>
      </c>
      <c r="M1136" s="57"/>
    </row>
    <row r="1137" spans="1:13" x14ac:dyDescent="0.2">
      <c r="A1137" s="60">
        <v>1046</v>
      </c>
      <c r="B1137" s="70" t="s">
        <v>491</v>
      </c>
      <c r="C1137" s="69">
        <v>21685</v>
      </c>
      <c r="D1137" s="69">
        <f>[2]Sal_RIA!$R$113</f>
        <v>0</v>
      </c>
      <c r="E1137" s="69">
        <f>+D1137</f>
        <v>0</v>
      </c>
      <c r="F1137" s="69">
        <v>0</v>
      </c>
      <c r="G1137" s="69">
        <f t="shared" si="147"/>
        <v>0</v>
      </c>
      <c r="H1137" s="69">
        <f>+[3]Salary_Bdgt!$R$150</f>
        <v>32400</v>
      </c>
      <c r="I1137" s="69">
        <f t="shared" si="148"/>
        <v>34992</v>
      </c>
      <c r="J1137" s="69">
        <f t="shared" si="148"/>
        <v>37791</v>
      </c>
      <c r="M1137" s="57"/>
    </row>
    <row r="1138" spans="1:13" x14ac:dyDescent="0.2">
      <c r="A1138" s="60">
        <v>1182</v>
      </c>
      <c r="B1138" s="71" t="s">
        <v>1065</v>
      </c>
      <c r="C1138" s="56">
        <v>2665</v>
      </c>
      <c r="D1138" s="56">
        <v>4026</v>
      </c>
      <c r="E1138" s="56">
        <f>+D1138</f>
        <v>4026</v>
      </c>
      <c r="F1138" s="56">
        <v>0</v>
      </c>
      <c r="G1138" s="56">
        <f t="shared" si="147"/>
        <v>0</v>
      </c>
      <c r="H1138" s="56">
        <f>+[3]Salary_Bdgt!$K$150</f>
        <v>10050</v>
      </c>
      <c r="I1138" s="56">
        <f t="shared" si="148"/>
        <v>10854</v>
      </c>
      <c r="J1138" s="56">
        <f t="shared" si="148"/>
        <v>11722</v>
      </c>
      <c r="M1138" s="57"/>
    </row>
    <row r="1139" spans="1:13" x14ac:dyDescent="0.2">
      <c r="B1139" s="58" t="s">
        <v>416</v>
      </c>
      <c r="C1139" s="72">
        <f t="shared" ref="C1139:J1139" si="149">SUM(C1127:C1138)</f>
        <v>344446</v>
      </c>
      <c r="D1139" s="72">
        <f t="shared" si="149"/>
        <v>290706</v>
      </c>
      <c r="E1139" s="72">
        <f t="shared" si="149"/>
        <v>290706</v>
      </c>
      <c r="F1139" s="72">
        <f t="shared" si="149"/>
        <v>301592</v>
      </c>
      <c r="G1139" s="72">
        <f t="shared" si="149"/>
        <v>361910.39999999997</v>
      </c>
      <c r="H1139" s="72">
        <f t="shared" si="149"/>
        <v>832953</v>
      </c>
      <c r="I1139" s="72">
        <f t="shared" si="149"/>
        <v>899588</v>
      </c>
      <c r="J1139" s="72">
        <f t="shared" si="149"/>
        <v>971555</v>
      </c>
      <c r="M1139" s="57"/>
    </row>
    <row r="1140" spans="1:13" x14ac:dyDescent="0.2">
      <c r="B1140" s="58"/>
      <c r="C1140" s="69"/>
      <c r="D1140" s="69"/>
      <c r="E1140" s="69"/>
      <c r="G1140" s="69"/>
      <c r="H1140" s="69"/>
      <c r="I1140" s="69"/>
      <c r="J1140" s="69"/>
      <c r="M1140" s="57"/>
    </row>
    <row r="1141" spans="1:13" x14ac:dyDescent="0.2">
      <c r="B1141" s="58" t="s">
        <v>4021</v>
      </c>
      <c r="C1141" s="69"/>
      <c r="D1141" s="69"/>
      <c r="E1141" s="69"/>
      <c r="F1141" s="69"/>
      <c r="G1141" s="69"/>
      <c r="H1141" s="69"/>
      <c r="I1141" s="69"/>
      <c r="J1141" s="69"/>
      <c r="M1141" s="57"/>
    </row>
    <row r="1142" spans="1:13" x14ac:dyDescent="0.2">
      <c r="A1142" s="60">
        <v>3207</v>
      </c>
      <c r="B1142" s="71" t="s">
        <v>4046</v>
      </c>
      <c r="C1142" s="56">
        <v>0</v>
      </c>
      <c r="D1142" s="56">
        <v>1050</v>
      </c>
      <c r="E1142" s="56">
        <v>1050</v>
      </c>
      <c r="F1142" s="56">
        <v>0</v>
      </c>
      <c r="G1142" s="56">
        <f>F1142/$F$11*$G$11</f>
        <v>0</v>
      </c>
      <c r="H1142" s="56">
        <f>ROUND(E1142*1.05,0)</f>
        <v>1103</v>
      </c>
      <c r="I1142" s="56">
        <f>ROUND(H1142*1.06,0)</f>
        <v>1169</v>
      </c>
      <c r="J1142" s="56">
        <f>ROUND(I1142*1.06,0)</f>
        <v>1239</v>
      </c>
      <c r="M1142" s="57"/>
    </row>
    <row r="1143" spans="1:13" x14ac:dyDescent="0.2">
      <c r="B1143" s="58" t="s">
        <v>417</v>
      </c>
      <c r="C1143" s="72">
        <f>SUM(C1142:C1142)</f>
        <v>0</v>
      </c>
      <c r="D1143" s="72">
        <f t="shared" ref="D1143:J1143" si="150">SUM(D1142:D1142)</f>
        <v>1050</v>
      </c>
      <c r="E1143" s="72">
        <f t="shared" si="150"/>
        <v>1050</v>
      </c>
      <c r="F1143" s="72">
        <f t="shared" si="150"/>
        <v>0</v>
      </c>
      <c r="G1143" s="72">
        <f t="shared" si="150"/>
        <v>0</v>
      </c>
      <c r="H1143" s="72">
        <f t="shared" si="150"/>
        <v>1103</v>
      </c>
      <c r="I1143" s="72">
        <f t="shared" si="150"/>
        <v>1169</v>
      </c>
      <c r="J1143" s="72">
        <f t="shared" si="150"/>
        <v>1239</v>
      </c>
      <c r="M1143" s="57"/>
    </row>
    <row r="1144" spans="1:13" x14ac:dyDescent="0.2">
      <c r="B1144" s="58"/>
      <c r="C1144" s="69"/>
      <c r="D1144" s="69"/>
      <c r="E1144" s="69"/>
      <c r="G1144" s="69"/>
      <c r="H1144" s="69"/>
      <c r="I1144" s="69"/>
      <c r="J1144" s="69"/>
      <c r="M1144" s="57"/>
    </row>
    <row r="1145" spans="1:13" x14ac:dyDescent="0.2">
      <c r="B1145" s="58" t="s">
        <v>435</v>
      </c>
      <c r="C1145" s="69"/>
      <c r="D1145" s="69"/>
      <c r="E1145" s="69"/>
      <c r="G1145" s="69"/>
      <c r="H1145" s="69"/>
      <c r="I1145" s="69"/>
      <c r="J1145" s="69"/>
      <c r="M1145" s="57"/>
    </row>
    <row r="1146" spans="1:13" x14ac:dyDescent="0.2">
      <c r="A1146" s="60">
        <v>2081</v>
      </c>
      <c r="B1146" s="70" t="s">
        <v>496</v>
      </c>
      <c r="C1146" s="69">
        <v>0</v>
      </c>
      <c r="D1146" s="69">
        <v>20000</v>
      </c>
      <c r="E1146" s="69">
        <f>20000-9046</f>
        <v>10954</v>
      </c>
      <c r="F1146" s="69">
        <v>0</v>
      </c>
      <c r="G1146" s="69">
        <f t="shared" ref="G1146:G1154" si="151">F1146/$F$11*$G$11</f>
        <v>0</v>
      </c>
      <c r="H1146" s="69">
        <f>ROUND(E1146*1.05,0)</f>
        <v>11502</v>
      </c>
      <c r="I1146" s="69">
        <f t="shared" ref="I1146:J1154" si="152">ROUND(H1146*1.06,0)</f>
        <v>12192</v>
      </c>
      <c r="J1146" s="69">
        <f t="shared" si="152"/>
        <v>12924</v>
      </c>
      <c r="M1146" s="57"/>
    </row>
    <row r="1147" spans="1:13" x14ac:dyDescent="0.2">
      <c r="A1147" s="60">
        <v>2113</v>
      </c>
      <c r="B1147" s="70" t="s">
        <v>21</v>
      </c>
      <c r="C1147" s="69">
        <v>0</v>
      </c>
      <c r="D1147" s="69">
        <v>5250</v>
      </c>
      <c r="E1147" s="69">
        <v>5250</v>
      </c>
      <c r="F1147" s="69">
        <v>0</v>
      </c>
      <c r="G1147" s="69">
        <f t="shared" si="151"/>
        <v>0</v>
      </c>
      <c r="H1147" s="69">
        <f>ROUND(E1147*1.05,0)</f>
        <v>5513</v>
      </c>
      <c r="I1147" s="69">
        <f t="shared" si="152"/>
        <v>5844</v>
      </c>
      <c r="J1147" s="69">
        <f t="shared" si="152"/>
        <v>6195</v>
      </c>
      <c r="M1147" s="57"/>
    </row>
    <row r="1148" spans="1:13" x14ac:dyDescent="0.2">
      <c r="A1148" s="60">
        <v>2212</v>
      </c>
      <c r="B1148" s="70" t="s">
        <v>488</v>
      </c>
      <c r="C1148" s="69">
        <v>15</v>
      </c>
      <c r="D1148" s="69">
        <v>1050</v>
      </c>
      <c r="E1148" s="69">
        <f>1050-880</f>
        <v>170</v>
      </c>
      <c r="F1148" s="69">
        <v>105</v>
      </c>
      <c r="G1148" s="69">
        <f t="shared" si="151"/>
        <v>126</v>
      </c>
      <c r="H1148" s="69">
        <f>ROUND(E1148*1.05,0)</f>
        <v>179</v>
      </c>
      <c r="I1148" s="69">
        <f t="shared" si="152"/>
        <v>190</v>
      </c>
      <c r="J1148" s="69">
        <f t="shared" si="152"/>
        <v>201</v>
      </c>
      <c r="M1148" s="57"/>
    </row>
    <row r="1149" spans="1:13" x14ac:dyDescent="0.2">
      <c r="A1149" s="75">
        <v>2227</v>
      </c>
      <c r="B1149" s="70" t="s">
        <v>448</v>
      </c>
      <c r="C1149" s="69">
        <v>0</v>
      </c>
      <c r="D1149" s="69">
        <v>1050</v>
      </c>
      <c r="E1149" s="69">
        <v>1050</v>
      </c>
      <c r="F1149" s="69">
        <v>0</v>
      </c>
      <c r="G1149" s="69">
        <f t="shared" si="151"/>
        <v>0</v>
      </c>
      <c r="H1149" s="69">
        <f>ROUND(E1149*1.05,0)</f>
        <v>1103</v>
      </c>
      <c r="I1149" s="69">
        <f t="shared" si="152"/>
        <v>1169</v>
      </c>
      <c r="J1149" s="69">
        <f t="shared" si="152"/>
        <v>1239</v>
      </c>
      <c r="M1149" s="57"/>
    </row>
    <row r="1150" spans="1:13" x14ac:dyDescent="0.2">
      <c r="A1150" s="60">
        <v>2233</v>
      </c>
      <c r="B1150" s="70" t="s">
        <v>497</v>
      </c>
      <c r="C1150" s="69">
        <v>830</v>
      </c>
      <c r="D1150" s="69">
        <v>1050</v>
      </c>
      <c r="E1150" s="69">
        <f>1050+9046+30000</f>
        <v>40096</v>
      </c>
      <c r="F1150" s="69">
        <v>0</v>
      </c>
      <c r="G1150" s="69">
        <f t="shared" si="151"/>
        <v>0</v>
      </c>
      <c r="H1150" s="69">
        <v>0</v>
      </c>
      <c r="I1150" s="69">
        <f t="shared" si="152"/>
        <v>0</v>
      </c>
      <c r="J1150" s="69">
        <f t="shared" si="152"/>
        <v>0</v>
      </c>
      <c r="M1150" s="57"/>
    </row>
    <row r="1151" spans="1:13" x14ac:dyDescent="0.2">
      <c r="A1151" s="60">
        <v>2238</v>
      </c>
      <c r="B1151" s="70" t="s">
        <v>479</v>
      </c>
      <c r="C1151" s="69">
        <v>24582</v>
      </c>
      <c r="D1151" s="69">
        <v>30000</v>
      </c>
      <c r="E1151" s="69">
        <v>30000</v>
      </c>
      <c r="F1151" s="69">
        <v>27796</v>
      </c>
      <c r="G1151" s="69">
        <f t="shared" si="151"/>
        <v>33355.199999999997</v>
      </c>
      <c r="H1151" s="69">
        <f>ROUND(E1151*1.05,0)</f>
        <v>31500</v>
      </c>
      <c r="I1151" s="69">
        <f t="shared" si="152"/>
        <v>33390</v>
      </c>
      <c r="J1151" s="69">
        <f t="shared" si="152"/>
        <v>35393</v>
      </c>
      <c r="M1151" s="57"/>
    </row>
    <row r="1152" spans="1:13" x14ac:dyDescent="0.2">
      <c r="A1152" s="60">
        <v>2246</v>
      </c>
      <c r="B1152" s="70" t="s">
        <v>2422</v>
      </c>
      <c r="C1152" s="69">
        <v>0</v>
      </c>
      <c r="D1152" s="69">
        <v>2100</v>
      </c>
      <c r="E1152" s="69">
        <f>2100+880</f>
        <v>2980</v>
      </c>
      <c r="F1152" s="69">
        <v>1692</v>
      </c>
      <c r="G1152" s="69">
        <f t="shared" si="151"/>
        <v>2030.3999999999999</v>
      </c>
      <c r="H1152" s="69">
        <f>ROUND(E1152*1.05,0)</f>
        <v>3129</v>
      </c>
      <c r="I1152" s="69">
        <f t="shared" si="152"/>
        <v>3317</v>
      </c>
      <c r="J1152" s="69">
        <f t="shared" si="152"/>
        <v>3516</v>
      </c>
      <c r="M1152" s="57"/>
    </row>
    <row r="1153" spans="1:13" x14ac:dyDescent="0.2">
      <c r="A1153" s="75">
        <v>2305</v>
      </c>
      <c r="B1153" s="70" t="s">
        <v>31</v>
      </c>
      <c r="C1153" s="69">
        <v>57</v>
      </c>
      <c r="D1153" s="69">
        <v>1050</v>
      </c>
      <c r="E1153" s="69">
        <v>1050</v>
      </c>
      <c r="F1153" s="69">
        <v>0</v>
      </c>
      <c r="G1153" s="69">
        <f t="shared" si="151"/>
        <v>0</v>
      </c>
      <c r="H1153" s="69">
        <f>ROUND(E1153*1.05,0)</f>
        <v>1103</v>
      </c>
      <c r="I1153" s="69">
        <f t="shared" si="152"/>
        <v>1169</v>
      </c>
      <c r="J1153" s="69">
        <f t="shared" si="152"/>
        <v>1239</v>
      </c>
      <c r="M1153" s="57"/>
    </row>
    <row r="1154" spans="1:13" x14ac:dyDescent="0.2">
      <c r="A1154" s="60"/>
      <c r="B1154" s="71" t="s">
        <v>498</v>
      </c>
      <c r="C1154" s="56">
        <v>0</v>
      </c>
      <c r="D1154" s="56">
        <v>500000</v>
      </c>
      <c r="E1154" s="56">
        <f>500000-30000-150000</f>
        <v>320000</v>
      </c>
      <c r="F1154" s="56">
        <v>0</v>
      </c>
      <c r="G1154" s="56">
        <f t="shared" si="151"/>
        <v>0</v>
      </c>
      <c r="H1154" s="56">
        <v>0</v>
      </c>
      <c r="I1154" s="56">
        <f t="shared" si="152"/>
        <v>0</v>
      </c>
      <c r="J1154" s="56">
        <f t="shared" si="152"/>
        <v>0</v>
      </c>
      <c r="M1154" s="57"/>
    </row>
    <row r="1155" spans="1:13" x14ac:dyDescent="0.2">
      <c r="B1155" s="58" t="s">
        <v>436</v>
      </c>
      <c r="C1155" s="72">
        <f t="shared" ref="C1155:J1155" si="153">SUM(C1146:C1154)</f>
        <v>25484</v>
      </c>
      <c r="D1155" s="72">
        <f t="shared" si="153"/>
        <v>561550</v>
      </c>
      <c r="E1155" s="72">
        <f t="shared" si="153"/>
        <v>411550</v>
      </c>
      <c r="F1155" s="72">
        <f t="shared" si="153"/>
        <v>29593</v>
      </c>
      <c r="G1155" s="72">
        <f t="shared" si="153"/>
        <v>35511.599999999999</v>
      </c>
      <c r="H1155" s="72">
        <f t="shared" si="153"/>
        <v>54029</v>
      </c>
      <c r="I1155" s="72">
        <f t="shared" si="153"/>
        <v>57271</v>
      </c>
      <c r="J1155" s="72">
        <f t="shared" si="153"/>
        <v>60707</v>
      </c>
      <c r="M1155" s="57"/>
    </row>
    <row r="1156" spans="1:13" x14ac:dyDescent="0.2">
      <c r="B1156" s="61"/>
      <c r="C1156" s="56"/>
      <c r="D1156" s="56"/>
      <c r="E1156" s="56"/>
      <c r="F1156" s="56"/>
      <c r="G1156" s="56"/>
      <c r="H1156" s="56"/>
      <c r="I1156" s="56"/>
      <c r="J1156" s="56"/>
      <c r="M1156" s="57"/>
    </row>
    <row r="1157" spans="1:13" x14ac:dyDescent="0.2">
      <c r="B1157" s="58" t="s">
        <v>4055</v>
      </c>
      <c r="C1157" s="73">
        <f t="shared" ref="C1157:J1157" si="154">C1139+C1143+C1155</f>
        <v>369930</v>
      </c>
      <c r="D1157" s="73">
        <f t="shared" si="154"/>
        <v>853306</v>
      </c>
      <c r="E1157" s="73">
        <f t="shared" si="154"/>
        <v>703306</v>
      </c>
      <c r="F1157" s="73">
        <f t="shared" si="154"/>
        <v>331185</v>
      </c>
      <c r="G1157" s="73">
        <f t="shared" si="154"/>
        <v>397421.99999999994</v>
      </c>
      <c r="H1157" s="73">
        <f t="shared" si="154"/>
        <v>888085</v>
      </c>
      <c r="I1157" s="73">
        <f t="shared" si="154"/>
        <v>958028</v>
      </c>
      <c r="J1157" s="73">
        <f t="shared" si="154"/>
        <v>1033501</v>
      </c>
      <c r="M1157" s="57"/>
    </row>
    <row r="1158" spans="1:13" x14ac:dyDescent="0.2">
      <c r="B1158" s="58"/>
      <c r="C1158" s="73"/>
      <c r="D1158" s="73"/>
      <c r="E1158" s="73"/>
      <c r="G1158" s="69"/>
      <c r="H1158" s="69"/>
      <c r="I1158" s="73"/>
      <c r="J1158" s="73"/>
      <c r="M1158" s="57"/>
    </row>
    <row r="1159" spans="1:13" x14ac:dyDescent="0.2">
      <c r="A1159" s="75"/>
      <c r="B1159" s="58" t="s">
        <v>418</v>
      </c>
      <c r="C1159" s="69"/>
      <c r="D1159" s="69"/>
      <c r="E1159" s="69"/>
      <c r="G1159" s="69"/>
      <c r="H1159" s="69"/>
      <c r="I1159" s="69"/>
      <c r="J1159" s="69"/>
      <c r="M1159" s="57"/>
    </row>
    <row r="1160" spans="1:13" x14ac:dyDescent="0.2">
      <c r="A1160" s="75">
        <v>4204</v>
      </c>
      <c r="B1160" s="70" t="s">
        <v>4058</v>
      </c>
      <c r="C1160" s="69">
        <v>0</v>
      </c>
      <c r="D1160" s="69">
        <v>9833</v>
      </c>
      <c r="E1160" s="69">
        <v>9833</v>
      </c>
      <c r="F1160" s="69">
        <v>0</v>
      </c>
      <c r="G1160" s="69">
        <f>F1160/$F$11*$G$11</f>
        <v>0</v>
      </c>
      <c r="H1160" s="69">
        <f>ROUND(E1160*1.08,0)</f>
        <v>10620</v>
      </c>
      <c r="I1160" s="69">
        <f>ROUND(H1160*1.08,0)</f>
        <v>11470</v>
      </c>
      <c r="J1160" s="69">
        <f>ROUND(I1160*1.08,0)</f>
        <v>12388</v>
      </c>
      <c r="M1160" s="57"/>
    </row>
    <row r="1161" spans="1:13" x14ac:dyDescent="0.2">
      <c r="A1161" s="75">
        <v>4207</v>
      </c>
      <c r="B1161" s="71" t="s">
        <v>222</v>
      </c>
      <c r="C1161" s="56">
        <v>5531</v>
      </c>
      <c r="D1161" s="56">
        <v>13167</v>
      </c>
      <c r="E1161" s="56">
        <v>13167</v>
      </c>
      <c r="F1161" s="56">
        <v>0</v>
      </c>
      <c r="G1161" s="56">
        <f>F1161/$F$11*$G$11</f>
        <v>0</v>
      </c>
      <c r="H1161" s="56">
        <f>ROUND(E1161*1.08,0)</f>
        <v>14220</v>
      </c>
      <c r="I1161" s="56">
        <f>ROUND(H1161*1.08,0)</f>
        <v>15358</v>
      </c>
      <c r="J1161" s="56">
        <f>ROUND(I1161*1.08,0)</f>
        <v>16587</v>
      </c>
      <c r="M1161" s="57"/>
    </row>
    <row r="1162" spans="1:13" x14ac:dyDescent="0.2">
      <c r="A1162" s="75"/>
      <c r="B1162" s="58" t="s">
        <v>419</v>
      </c>
      <c r="C1162" s="59">
        <f t="shared" ref="C1162:J1162" si="155">SUM(C1160:C1161)</f>
        <v>5531</v>
      </c>
      <c r="D1162" s="59">
        <f t="shared" si="155"/>
        <v>23000</v>
      </c>
      <c r="E1162" s="59">
        <f t="shared" si="155"/>
        <v>23000</v>
      </c>
      <c r="F1162" s="59">
        <f t="shared" si="155"/>
        <v>0</v>
      </c>
      <c r="G1162" s="59">
        <f t="shared" si="155"/>
        <v>0</v>
      </c>
      <c r="H1162" s="59">
        <f t="shared" si="155"/>
        <v>24840</v>
      </c>
      <c r="I1162" s="59">
        <f t="shared" si="155"/>
        <v>26828</v>
      </c>
      <c r="J1162" s="59">
        <f t="shared" si="155"/>
        <v>28975</v>
      </c>
      <c r="M1162" s="57"/>
    </row>
    <row r="1163" spans="1:13" x14ac:dyDescent="0.2">
      <c r="B1163" s="58"/>
      <c r="C1163" s="73"/>
      <c r="D1163" s="73"/>
      <c r="E1163" s="73"/>
      <c r="F1163" s="24"/>
      <c r="G1163" s="69"/>
      <c r="H1163" s="69"/>
      <c r="I1163" s="73"/>
      <c r="J1163" s="73"/>
      <c r="M1163" s="57"/>
    </row>
    <row r="1164" spans="1:13" ht="13.5" thickBot="1" x14ac:dyDescent="0.25">
      <c r="B1164" s="65" t="s">
        <v>4033</v>
      </c>
      <c r="C1164" s="76">
        <f t="shared" ref="C1164:J1164" si="156">C1157+C1162</f>
        <v>375461</v>
      </c>
      <c r="D1164" s="76">
        <f t="shared" si="156"/>
        <v>876306</v>
      </c>
      <c r="E1164" s="76">
        <f t="shared" si="156"/>
        <v>726306</v>
      </c>
      <c r="F1164" s="76">
        <f t="shared" si="156"/>
        <v>331185</v>
      </c>
      <c r="G1164" s="76">
        <f t="shared" si="156"/>
        <v>397421.99999999994</v>
      </c>
      <c r="H1164" s="76">
        <f t="shared" si="156"/>
        <v>912925</v>
      </c>
      <c r="I1164" s="76">
        <f t="shared" si="156"/>
        <v>984856</v>
      </c>
      <c r="J1164" s="76">
        <f t="shared" si="156"/>
        <v>1062476</v>
      </c>
      <c r="M1164" s="57"/>
    </row>
    <row r="1165" spans="1:13" ht="13.5" thickTop="1" x14ac:dyDescent="0.2">
      <c r="B1165" s="58"/>
      <c r="C1165" s="72"/>
      <c r="D1165" s="72"/>
      <c r="E1165" s="72"/>
      <c r="F1165" s="72"/>
      <c r="G1165" s="72"/>
      <c r="H1165" s="72"/>
      <c r="I1165" s="72"/>
      <c r="J1165" s="72"/>
      <c r="M1165" s="57"/>
    </row>
    <row r="1166" spans="1:13" ht="13.5" thickBot="1" x14ac:dyDescent="0.25">
      <c r="B1166" s="65" t="s">
        <v>4059</v>
      </c>
      <c r="C1166" s="77">
        <f t="shared" ref="C1166:J1166" si="157">-C1164</f>
        <v>-375461</v>
      </c>
      <c r="D1166" s="77">
        <f t="shared" si="157"/>
        <v>-876306</v>
      </c>
      <c r="E1166" s="77">
        <f t="shared" si="157"/>
        <v>-726306</v>
      </c>
      <c r="F1166" s="77">
        <f t="shared" si="157"/>
        <v>-331185</v>
      </c>
      <c r="G1166" s="77">
        <f t="shared" si="157"/>
        <v>-397421.99999999994</v>
      </c>
      <c r="H1166" s="77">
        <f t="shared" si="157"/>
        <v>-912925</v>
      </c>
      <c r="I1166" s="77">
        <f t="shared" si="157"/>
        <v>-984856</v>
      </c>
      <c r="J1166" s="77">
        <f t="shared" si="157"/>
        <v>-1062476</v>
      </c>
      <c r="M1166" s="57"/>
    </row>
    <row r="1167" spans="1:13" ht="13.5" thickTop="1" x14ac:dyDescent="0.2">
      <c r="B1167" s="58"/>
      <c r="C1167" s="78"/>
      <c r="D1167" s="78"/>
      <c r="E1167" s="78"/>
      <c r="G1167" s="69"/>
      <c r="H1167" s="69"/>
      <c r="I1167" s="78"/>
      <c r="J1167" s="78"/>
      <c r="M1167" s="57"/>
    </row>
    <row r="1168" spans="1:13" x14ac:dyDescent="0.2">
      <c r="B1168" s="58"/>
      <c r="C1168" s="78"/>
      <c r="D1168" s="78"/>
      <c r="E1168" s="78"/>
      <c r="G1168" s="69"/>
      <c r="H1168" s="69"/>
      <c r="I1168" s="78"/>
      <c r="J1168" s="78"/>
      <c r="M1168" s="57"/>
    </row>
    <row r="1169" spans="2:13" x14ac:dyDescent="0.2">
      <c r="B1169" s="58"/>
      <c r="C1169" s="78"/>
      <c r="D1169" s="78"/>
      <c r="E1169" s="78"/>
      <c r="G1169" s="69"/>
      <c r="H1169" s="69"/>
      <c r="I1169" s="78"/>
      <c r="J1169" s="78"/>
      <c r="M1169" s="57"/>
    </row>
    <row r="1170" spans="2:13" x14ac:dyDescent="0.2">
      <c r="B1170" s="58"/>
      <c r="C1170" s="78"/>
      <c r="D1170" s="78"/>
      <c r="E1170" s="78"/>
      <c r="G1170" s="69"/>
      <c r="H1170" s="69"/>
      <c r="I1170" s="78"/>
      <c r="J1170" s="78"/>
      <c r="M1170" s="57"/>
    </row>
    <row r="1171" spans="2:13" x14ac:dyDescent="0.2">
      <c r="B1171" s="58"/>
      <c r="C1171" s="78"/>
      <c r="D1171" s="78"/>
      <c r="E1171" s="78"/>
      <c r="G1171" s="69"/>
      <c r="H1171" s="69"/>
      <c r="I1171" s="78"/>
      <c r="J1171" s="78"/>
      <c r="M1171" s="57"/>
    </row>
    <row r="1172" spans="2:13" x14ac:dyDescent="0.2">
      <c r="B1172" s="58"/>
      <c r="C1172" s="78"/>
      <c r="D1172" s="78"/>
      <c r="E1172" s="78"/>
      <c r="G1172" s="69"/>
      <c r="H1172" s="69"/>
      <c r="I1172" s="78"/>
      <c r="J1172" s="78"/>
      <c r="M1172" s="57"/>
    </row>
    <row r="1173" spans="2:13" x14ac:dyDescent="0.2">
      <c r="B1173" s="58"/>
      <c r="C1173" s="78"/>
      <c r="D1173" s="78"/>
      <c r="E1173" s="78"/>
      <c r="G1173" s="69"/>
      <c r="H1173" s="69"/>
      <c r="I1173" s="78"/>
      <c r="J1173" s="78"/>
      <c r="M1173" s="57"/>
    </row>
    <row r="1174" spans="2:13" x14ac:dyDescent="0.2">
      <c r="B1174" s="58"/>
      <c r="C1174" s="78"/>
      <c r="D1174" s="78"/>
      <c r="E1174" s="78"/>
      <c r="G1174" s="69"/>
      <c r="H1174" s="69"/>
      <c r="I1174" s="78"/>
      <c r="J1174" s="78"/>
      <c r="M1174" s="57"/>
    </row>
    <row r="1175" spans="2:13" x14ac:dyDescent="0.2">
      <c r="B1175" s="58"/>
      <c r="C1175" s="78"/>
      <c r="D1175" s="78"/>
      <c r="E1175" s="78"/>
      <c r="G1175" s="69"/>
      <c r="H1175" s="69"/>
      <c r="I1175" s="78"/>
      <c r="J1175" s="78"/>
      <c r="M1175" s="57"/>
    </row>
    <row r="1176" spans="2:13" x14ac:dyDescent="0.2">
      <c r="B1176" s="58"/>
      <c r="C1176" s="78"/>
      <c r="D1176" s="78"/>
      <c r="E1176" s="78"/>
      <c r="G1176" s="69"/>
      <c r="H1176" s="69"/>
      <c r="I1176" s="78"/>
      <c r="J1176" s="78"/>
      <c r="M1176" s="57"/>
    </row>
    <row r="1177" spans="2:13" x14ac:dyDescent="0.2">
      <c r="B1177" s="58"/>
      <c r="C1177" s="78"/>
      <c r="D1177" s="78"/>
      <c r="E1177" s="78"/>
      <c r="G1177" s="69"/>
      <c r="H1177" s="69"/>
      <c r="I1177" s="78"/>
      <c r="J1177" s="78"/>
      <c r="M1177" s="57"/>
    </row>
    <row r="1178" spans="2:13" x14ac:dyDescent="0.2">
      <c r="B1178" s="58"/>
      <c r="C1178" s="78"/>
      <c r="D1178" s="78"/>
      <c r="E1178" s="78"/>
      <c r="G1178" s="69"/>
      <c r="H1178" s="69"/>
      <c r="I1178" s="78"/>
      <c r="J1178" s="78"/>
      <c r="M1178" s="57"/>
    </row>
    <row r="1179" spans="2:13" x14ac:dyDescent="0.2">
      <c r="B1179" s="58"/>
      <c r="C1179" s="78"/>
      <c r="D1179" s="78"/>
      <c r="E1179" s="78"/>
      <c r="G1179" s="69"/>
      <c r="H1179" s="69"/>
      <c r="I1179" s="78"/>
      <c r="J1179" s="78"/>
      <c r="M1179" s="57"/>
    </row>
    <row r="1180" spans="2:13" x14ac:dyDescent="0.2">
      <c r="B1180" s="58"/>
      <c r="C1180" s="78"/>
      <c r="D1180" s="78"/>
      <c r="E1180" s="78"/>
      <c r="G1180" s="69"/>
      <c r="H1180" s="69"/>
      <c r="I1180" s="78"/>
      <c r="J1180" s="78"/>
      <c r="M1180" s="57"/>
    </row>
    <row r="1181" spans="2:13" x14ac:dyDescent="0.2">
      <c r="B1181" s="58"/>
      <c r="C1181" s="78"/>
      <c r="D1181" s="78"/>
      <c r="E1181" s="78"/>
      <c r="G1181" s="69"/>
      <c r="H1181" s="69"/>
      <c r="I1181" s="78"/>
      <c r="J1181" s="78"/>
      <c r="M1181" s="57"/>
    </row>
    <row r="1182" spans="2:13" x14ac:dyDescent="0.2">
      <c r="B1182" s="58"/>
      <c r="C1182" s="78"/>
      <c r="D1182" s="78"/>
      <c r="E1182" s="78"/>
      <c r="G1182" s="69"/>
      <c r="H1182" s="69"/>
      <c r="I1182" s="78"/>
      <c r="J1182" s="78"/>
      <c r="M1182" s="57"/>
    </row>
    <row r="1183" spans="2:13" x14ac:dyDescent="0.2">
      <c r="B1183" s="58"/>
      <c r="C1183" s="78"/>
      <c r="D1183" s="78"/>
      <c r="E1183" s="78"/>
      <c r="G1183" s="69"/>
      <c r="H1183" s="69"/>
      <c r="I1183" s="78"/>
      <c r="J1183" s="78"/>
      <c r="M1183" s="57"/>
    </row>
    <row r="1184" spans="2:13" x14ac:dyDescent="0.2">
      <c r="B1184" s="58"/>
      <c r="C1184" s="78"/>
      <c r="D1184" s="78"/>
      <c r="E1184" s="78"/>
      <c r="G1184" s="69"/>
      <c r="H1184" s="69"/>
      <c r="I1184" s="78"/>
      <c r="J1184" s="78"/>
      <c r="M1184" s="57"/>
    </row>
    <row r="1185" spans="1:13" x14ac:dyDescent="0.2">
      <c r="B1185" s="58"/>
      <c r="C1185" s="78"/>
      <c r="D1185" s="78"/>
      <c r="E1185" s="78"/>
      <c r="G1185" s="69"/>
      <c r="H1185" s="69"/>
      <c r="I1185" s="78"/>
      <c r="J1185" s="78"/>
      <c r="M1185" s="57"/>
    </row>
    <row r="1186" spans="1:13" x14ac:dyDescent="0.2">
      <c r="B1186" s="58"/>
      <c r="C1186" s="78"/>
      <c r="D1186" s="78"/>
      <c r="E1186" s="78"/>
      <c r="G1186" s="69"/>
      <c r="H1186" s="69"/>
      <c r="I1186" s="78"/>
      <c r="J1186" s="78"/>
      <c r="M1186" s="57"/>
    </row>
    <row r="1187" spans="1:13" x14ac:dyDescent="0.2">
      <c r="B1187" s="58"/>
      <c r="C1187" s="78"/>
      <c r="D1187" s="78"/>
      <c r="E1187" s="78"/>
      <c r="G1187" s="69"/>
      <c r="H1187" s="69"/>
      <c r="I1187" s="78"/>
      <c r="J1187" s="78"/>
      <c r="M1187" s="57"/>
    </row>
    <row r="1188" spans="1:13" x14ac:dyDescent="0.2">
      <c r="B1188" s="58"/>
      <c r="C1188" s="78"/>
      <c r="D1188" s="78"/>
      <c r="E1188" s="78"/>
      <c r="G1188" s="69"/>
      <c r="H1188" s="69"/>
      <c r="I1188" s="78"/>
      <c r="J1188" s="78"/>
      <c r="M1188" s="57"/>
    </row>
    <row r="1189" spans="1:13" x14ac:dyDescent="0.2">
      <c r="B1189" s="58"/>
      <c r="C1189" s="78"/>
      <c r="D1189" s="78"/>
      <c r="E1189" s="78"/>
      <c r="G1189" s="69"/>
      <c r="H1189" s="69"/>
      <c r="I1189" s="78"/>
      <c r="J1189" s="78"/>
      <c r="M1189" s="57"/>
    </row>
    <row r="1190" spans="1:13" x14ac:dyDescent="0.2">
      <c r="B1190" s="58"/>
      <c r="C1190" s="78"/>
      <c r="D1190" s="78"/>
      <c r="E1190" s="78"/>
      <c r="G1190" s="69"/>
      <c r="H1190" s="69"/>
      <c r="I1190" s="78"/>
      <c r="J1190" s="78"/>
      <c r="M1190" s="57"/>
    </row>
    <row r="1191" spans="1:13" x14ac:dyDescent="0.2">
      <c r="B1191" s="58"/>
      <c r="C1191" s="78"/>
      <c r="D1191" s="78"/>
      <c r="E1191" s="78"/>
      <c r="G1191" s="69"/>
      <c r="H1191" s="69"/>
      <c r="I1191" s="78"/>
      <c r="J1191" s="78"/>
      <c r="M1191" s="57"/>
    </row>
    <row r="1192" spans="1:13" x14ac:dyDescent="0.2">
      <c r="B1192" s="58"/>
      <c r="C1192" s="78"/>
      <c r="D1192" s="78"/>
      <c r="E1192" s="78"/>
      <c r="G1192" s="69"/>
      <c r="H1192" s="69"/>
      <c r="I1192" s="78"/>
      <c r="J1192" s="78"/>
      <c r="M1192" s="57"/>
    </row>
    <row r="1193" spans="1:13" x14ac:dyDescent="0.2">
      <c r="G1193" s="69"/>
      <c r="H1193" s="69"/>
      <c r="M1193" s="57"/>
    </row>
    <row r="1194" spans="1:13" x14ac:dyDescent="0.2">
      <c r="A1194" s="6"/>
      <c r="B1194" s="6"/>
      <c r="C1194" s="6"/>
      <c r="D1194" s="6"/>
      <c r="E1194" s="6"/>
      <c r="G1194" s="69"/>
      <c r="H1194" s="69"/>
      <c r="I1194" s="6"/>
      <c r="J1194" s="6"/>
      <c r="M1194" s="57"/>
    </row>
    <row r="1195" spans="1:13" x14ac:dyDescent="0.2">
      <c r="A1195" s="6"/>
      <c r="B1195" s="6"/>
      <c r="C1195" s="6"/>
      <c r="D1195" s="6"/>
      <c r="E1195" s="6"/>
      <c r="G1195" s="69"/>
      <c r="H1195" s="69"/>
      <c r="I1195" s="6"/>
      <c r="J1195" s="6"/>
      <c r="M1195" s="57"/>
    </row>
    <row r="1196" spans="1:13" x14ac:dyDescent="0.2">
      <c r="A1196" s="6"/>
      <c r="B1196" s="6"/>
      <c r="C1196" s="6"/>
      <c r="D1196" s="6"/>
      <c r="E1196" s="6"/>
      <c r="G1196" s="69"/>
      <c r="H1196" s="69"/>
      <c r="I1196" s="6"/>
      <c r="J1196" s="6"/>
      <c r="M1196" s="57"/>
    </row>
    <row r="1197" spans="1:13" x14ac:dyDescent="0.2">
      <c r="A1197" s="6"/>
      <c r="B1197" s="6"/>
      <c r="C1197" s="6"/>
      <c r="D1197" s="6"/>
      <c r="E1197" s="6"/>
      <c r="G1197" s="69"/>
      <c r="H1197" s="69"/>
      <c r="I1197" s="6"/>
      <c r="J1197" s="6"/>
      <c r="M1197" s="57"/>
    </row>
    <row r="1198" spans="1:13" x14ac:dyDescent="0.2">
      <c r="A1198" s="6"/>
      <c r="B1198" s="6"/>
      <c r="C1198" s="6"/>
      <c r="D1198" s="6"/>
      <c r="E1198" s="6"/>
      <c r="G1198" s="69"/>
      <c r="H1198" s="69"/>
      <c r="I1198" s="6"/>
      <c r="J1198" s="6"/>
      <c r="M1198" s="57"/>
    </row>
    <row r="1199" spans="1:13" ht="15" x14ac:dyDescent="0.25">
      <c r="A1199" s="91">
        <v>1150</v>
      </c>
      <c r="B1199" s="48" t="s">
        <v>19</v>
      </c>
      <c r="C1199" s="48"/>
      <c r="D1199" s="48"/>
      <c r="E1199" s="48"/>
      <c r="G1199" s="69"/>
      <c r="H1199" s="69"/>
      <c r="M1199" s="57"/>
    </row>
    <row r="1200" spans="1:13" ht="15" x14ac:dyDescent="0.25">
      <c r="B1200" s="48"/>
      <c r="C1200" s="48"/>
      <c r="D1200" s="48"/>
      <c r="E1200" s="48"/>
      <c r="G1200" s="69"/>
      <c r="H1200" s="69"/>
      <c r="M1200" s="57"/>
    </row>
    <row r="1201" spans="1:13" x14ac:dyDescent="0.2">
      <c r="B1201" s="50" t="s">
        <v>61</v>
      </c>
      <c r="C1201" s="50"/>
      <c r="D1201" s="50"/>
      <c r="E1201" s="50"/>
      <c r="G1201" s="69"/>
      <c r="H1201" s="69"/>
      <c r="M1201" s="57"/>
    </row>
    <row r="1202" spans="1:13" x14ac:dyDescent="0.2">
      <c r="B1202" s="50"/>
      <c r="C1202" s="50"/>
      <c r="D1202" s="50"/>
      <c r="E1202" s="50"/>
      <c r="G1202" s="69"/>
      <c r="H1202" s="69"/>
      <c r="M1202" s="57"/>
    </row>
    <row r="1203" spans="1:13" x14ac:dyDescent="0.2">
      <c r="A1203" s="75"/>
      <c r="B1203" s="58" t="s">
        <v>413</v>
      </c>
      <c r="C1203" s="69"/>
      <c r="D1203" s="69"/>
      <c r="E1203" s="69"/>
      <c r="G1203" s="69"/>
      <c r="H1203" s="69"/>
      <c r="I1203" s="69"/>
      <c r="J1203" s="69"/>
      <c r="M1203" s="57"/>
    </row>
    <row r="1204" spans="1:13" x14ac:dyDescent="0.2">
      <c r="B1204" s="70" t="s">
        <v>216</v>
      </c>
      <c r="C1204" s="69">
        <v>0</v>
      </c>
      <c r="D1204" s="69">
        <v>735000</v>
      </c>
      <c r="E1204" s="69">
        <v>735000</v>
      </c>
      <c r="F1204" s="69">
        <v>735000</v>
      </c>
      <c r="G1204" s="69">
        <f>+F1204</f>
        <v>735000</v>
      </c>
      <c r="H1204" s="69">
        <v>750000</v>
      </c>
      <c r="I1204" s="69">
        <v>790000</v>
      </c>
      <c r="J1204" s="69">
        <v>800000</v>
      </c>
      <c r="M1204" s="57"/>
    </row>
    <row r="1205" spans="1:13" x14ac:dyDescent="0.2">
      <c r="B1205" s="71" t="s">
        <v>2405</v>
      </c>
      <c r="C1205" s="105">
        <v>0</v>
      </c>
      <c r="D1205" s="105">
        <v>0</v>
      </c>
      <c r="E1205" s="105">
        <v>681000</v>
      </c>
      <c r="F1205" s="105">
        <v>681000</v>
      </c>
      <c r="G1205" s="105">
        <f>+F1205</f>
        <v>681000</v>
      </c>
      <c r="H1205" s="105">
        <v>0</v>
      </c>
      <c r="I1205" s="105">
        <v>0</v>
      </c>
      <c r="J1205" s="105">
        <v>0</v>
      </c>
      <c r="M1205" s="57"/>
    </row>
    <row r="1206" spans="1:13" x14ac:dyDescent="0.2">
      <c r="B1206" s="58" t="s">
        <v>414</v>
      </c>
      <c r="C1206" s="73">
        <f t="shared" ref="C1206:J1206" si="158">SUM(C1204:C1205)</f>
        <v>0</v>
      </c>
      <c r="D1206" s="73">
        <f t="shared" si="158"/>
        <v>735000</v>
      </c>
      <c r="E1206" s="73">
        <f t="shared" si="158"/>
        <v>1416000</v>
      </c>
      <c r="F1206" s="73">
        <f t="shared" si="158"/>
        <v>1416000</v>
      </c>
      <c r="G1206" s="73">
        <f t="shared" si="158"/>
        <v>1416000</v>
      </c>
      <c r="H1206" s="73">
        <f t="shared" si="158"/>
        <v>750000</v>
      </c>
      <c r="I1206" s="73">
        <f t="shared" si="158"/>
        <v>790000</v>
      </c>
      <c r="J1206" s="73">
        <f t="shared" si="158"/>
        <v>800000</v>
      </c>
      <c r="M1206" s="57"/>
    </row>
    <row r="1207" spans="1:13" x14ac:dyDescent="0.2">
      <c r="B1207" s="58"/>
      <c r="C1207" s="100"/>
      <c r="D1207" s="100"/>
      <c r="E1207" s="100"/>
      <c r="G1207" s="69"/>
      <c r="H1207" s="69"/>
      <c r="I1207" s="100"/>
      <c r="J1207" s="100"/>
      <c r="M1207" s="57"/>
    </row>
    <row r="1208" spans="1:13" x14ac:dyDescent="0.2">
      <c r="B1208" s="58" t="s">
        <v>423</v>
      </c>
      <c r="C1208" s="50"/>
      <c r="D1208" s="50"/>
      <c r="E1208" s="50"/>
      <c r="G1208" s="69"/>
      <c r="H1208" s="69"/>
      <c r="M1208" s="57"/>
    </row>
    <row r="1209" spans="1:13" x14ac:dyDescent="0.2">
      <c r="A1209" s="101">
        <v>5807</v>
      </c>
      <c r="B1209" s="70" t="s">
        <v>1071</v>
      </c>
      <c r="C1209" s="69">
        <v>70</v>
      </c>
      <c r="D1209" s="69">
        <v>0</v>
      </c>
      <c r="E1209" s="69">
        <v>0</v>
      </c>
      <c r="F1209" s="69">
        <v>0</v>
      </c>
      <c r="G1209" s="69">
        <v>0</v>
      </c>
      <c r="H1209" s="69">
        <v>0</v>
      </c>
      <c r="I1209" s="69">
        <v>0</v>
      </c>
      <c r="J1209" s="69">
        <v>0</v>
      </c>
      <c r="M1209" s="57"/>
    </row>
    <row r="1210" spans="1:13" x14ac:dyDescent="0.2">
      <c r="B1210" s="113" t="s">
        <v>20</v>
      </c>
      <c r="C1210" s="69">
        <v>0</v>
      </c>
      <c r="D1210" s="69">
        <v>0</v>
      </c>
      <c r="E1210" s="69">
        <v>570000</v>
      </c>
      <c r="F1210" s="69">
        <v>570000</v>
      </c>
      <c r="G1210" s="69">
        <f>F1210</f>
        <v>570000</v>
      </c>
      <c r="H1210" s="69">
        <v>0</v>
      </c>
      <c r="I1210" s="69">
        <v>0</v>
      </c>
      <c r="J1210" s="69">
        <v>0</v>
      </c>
      <c r="M1210" s="57"/>
    </row>
    <row r="1211" spans="1:13" s="9" customFormat="1" x14ac:dyDescent="0.2">
      <c r="A1211" s="101">
        <v>5807</v>
      </c>
      <c r="B1211" s="114" t="s">
        <v>217</v>
      </c>
      <c r="C1211" s="56">
        <v>3775</v>
      </c>
      <c r="D1211" s="56">
        <v>105000</v>
      </c>
      <c r="E1211" s="56">
        <v>105000</v>
      </c>
      <c r="F1211" s="56">
        <v>0</v>
      </c>
      <c r="G1211" s="56">
        <f>F1211/$F$11*$G$11</f>
        <v>0</v>
      </c>
      <c r="H1211" s="56">
        <v>0</v>
      </c>
      <c r="I1211" s="56">
        <f>ROUND(H1211*1.05,0)</f>
        <v>0</v>
      </c>
      <c r="J1211" s="56">
        <f>ROUND(I1211*1.05,0)</f>
        <v>0</v>
      </c>
      <c r="M1211" s="57"/>
    </row>
    <row r="1212" spans="1:13" x14ac:dyDescent="0.2">
      <c r="B1212" s="58" t="s">
        <v>424</v>
      </c>
      <c r="C1212" s="115">
        <f t="shared" ref="C1212:J1212" si="159">SUM(C1209:C1211)</f>
        <v>3845</v>
      </c>
      <c r="D1212" s="115">
        <f t="shared" si="159"/>
        <v>105000</v>
      </c>
      <c r="E1212" s="115">
        <f t="shared" si="159"/>
        <v>675000</v>
      </c>
      <c r="F1212" s="115">
        <f t="shared" si="159"/>
        <v>570000</v>
      </c>
      <c r="G1212" s="115">
        <f t="shared" si="159"/>
        <v>570000</v>
      </c>
      <c r="H1212" s="115">
        <f t="shared" si="159"/>
        <v>0</v>
      </c>
      <c r="I1212" s="115">
        <f t="shared" si="159"/>
        <v>0</v>
      </c>
      <c r="J1212" s="115">
        <f t="shared" si="159"/>
        <v>0</v>
      </c>
      <c r="M1212" s="57"/>
    </row>
    <row r="1213" spans="1:13" x14ac:dyDescent="0.2">
      <c r="B1213" s="58"/>
      <c r="C1213" s="100"/>
      <c r="D1213" s="100"/>
      <c r="E1213" s="100"/>
      <c r="F1213" s="100"/>
      <c r="G1213" s="100"/>
      <c r="H1213" s="100"/>
      <c r="I1213" s="100"/>
      <c r="J1213" s="100"/>
      <c r="M1213" s="57"/>
    </row>
    <row r="1214" spans="1:13" ht="13.5" thickBot="1" x14ac:dyDescent="0.25">
      <c r="B1214" s="65" t="s">
        <v>4043</v>
      </c>
      <c r="C1214" s="66">
        <f t="shared" ref="C1214:J1214" si="160">+C1212+C1206</f>
        <v>3845</v>
      </c>
      <c r="D1214" s="66">
        <f t="shared" si="160"/>
        <v>840000</v>
      </c>
      <c r="E1214" s="66">
        <f t="shared" si="160"/>
        <v>2091000</v>
      </c>
      <c r="F1214" s="66">
        <f t="shared" si="160"/>
        <v>1986000</v>
      </c>
      <c r="G1214" s="66">
        <f t="shared" si="160"/>
        <v>1986000</v>
      </c>
      <c r="H1214" s="66">
        <f t="shared" si="160"/>
        <v>750000</v>
      </c>
      <c r="I1214" s="66">
        <f t="shared" si="160"/>
        <v>790000</v>
      </c>
      <c r="J1214" s="66">
        <f t="shared" si="160"/>
        <v>800000</v>
      </c>
      <c r="M1214" s="57"/>
    </row>
    <row r="1215" spans="1:13" ht="13.5" thickTop="1" x14ac:dyDescent="0.2">
      <c r="B1215" s="68"/>
      <c r="C1215" s="68"/>
      <c r="D1215" s="68"/>
      <c r="E1215" s="68"/>
      <c r="G1215" s="69"/>
      <c r="H1215" s="69"/>
      <c r="I1215" s="68"/>
      <c r="J1215" s="68"/>
      <c r="M1215" s="57"/>
    </row>
    <row r="1216" spans="1:13" x14ac:dyDescent="0.2">
      <c r="B1216" s="50" t="s">
        <v>4018</v>
      </c>
      <c r="C1216" s="50"/>
      <c r="D1216" s="50"/>
      <c r="E1216" s="50"/>
      <c r="G1216" s="69"/>
      <c r="H1216" s="69"/>
      <c r="I1216" s="50"/>
      <c r="J1216" s="50"/>
      <c r="M1216" s="57"/>
    </row>
    <row r="1217" spans="1:13" x14ac:dyDescent="0.2">
      <c r="B1217" s="50"/>
      <c r="C1217" s="50"/>
      <c r="D1217" s="50"/>
      <c r="E1217" s="50"/>
      <c r="G1217" s="69"/>
      <c r="H1217" s="69"/>
      <c r="I1217" s="50"/>
      <c r="J1217" s="50"/>
      <c r="M1217" s="57"/>
    </row>
    <row r="1218" spans="1:13" x14ac:dyDescent="0.2">
      <c r="B1218" s="58" t="s">
        <v>4019</v>
      </c>
      <c r="C1218" s="69"/>
      <c r="D1218" s="69"/>
      <c r="E1218" s="69"/>
      <c r="G1218" s="69"/>
      <c r="H1218" s="69"/>
      <c r="I1218" s="69"/>
      <c r="J1218" s="69"/>
      <c r="M1218" s="57"/>
    </row>
    <row r="1219" spans="1:13" x14ac:dyDescent="0.2">
      <c r="A1219" s="60">
        <v>1001</v>
      </c>
      <c r="B1219" s="70" t="s">
        <v>472</v>
      </c>
      <c r="C1219" s="69">
        <v>967941</v>
      </c>
      <c r="D1219" s="69">
        <v>893942</v>
      </c>
      <c r="E1219" s="69">
        <v>842755</v>
      </c>
      <c r="F1219" s="69">
        <v>798054</v>
      </c>
      <c r="G1219" s="69">
        <f t="shared" ref="G1219:G1225" si="161">F1219/$F$11*$G$11</f>
        <v>957664.79999999993</v>
      </c>
      <c r="H1219" s="69">
        <f>[3]Salary_Bdgt!$H$167</f>
        <v>801991</v>
      </c>
      <c r="I1219" s="69">
        <f t="shared" ref="I1219:J1232" si="162">ROUND(H1219*1.08,0)</f>
        <v>866150</v>
      </c>
      <c r="J1219" s="69">
        <f t="shared" si="162"/>
        <v>935442</v>
      </c>
      <c r="M1219" s="57"/>
    </row>
    <row r="1220" spans="1:13" x14ac:dyDescent="0.2">
      <c r="A1220" s="60">
        <v>1005</v>
      </c>
      <c r="B1220" s="70" t="s">
        <v>473</v>
      </c>
      <c r="C1220" s="69">
        <v>102790</v>
      </c>
      <c r="D1220" s="69">
        <v>75390</v>
      </c>
      <c r="E1220" s="69">
        <f>+D1220+36064</f>
        <v>111454</v>
      </c>
      <c r="F1220" s="69">
        <v>100493</v>
      </c>
      <c r="G1220" s="69">
        <f t="shared" si="161"/>
        <v>120591.59999999999</v>
      </c>
      <c r="H1220" s="69">
        <f>+[3]Salary_Bdgt!$L$167</f>
        <v>89964</v>
      </c>
      <c r="I1220" s="69">
        <f t="shared" si="162"/>
        <v>97161</v>
      </c>
      <c r="J1220" s="69">
        <f t="shared" si="162"/>
        <v>104934</v>
      </c>
      <c r="M1220" s="57"/>
    </row>
    <row r="1221" spans="1:13" x14ac:dyDescent="0.2">
      <c r="A1221" s="60">
        <v>1006</v>
      </c>
      <c r="B1221" s="70" t="s">
        <v>474</v>
      </c>
      <c r="C1221" s="69">
        <v>168522</v>
      </c>
      <c r="D1221" s="69">
        <v>120724</v>
      </c>
      <c r="E1221" s="69">
        <f>+D1221+15123</f>
        <v>135847</v>
      </c>
      <c r="F1221" s="69">
        <v>142514</v>
      </c>
      <c r="G1221" s="69">
        <f t="shared" si="161"/>
        <v>171016.8</v>
      </c>
      <c r="H1221" s="69">
        <f>+[3]Salary_Bdgt!$N$167</f>
        <v>167693</v>
      </c>
      <c r="I1221" s="69">
        <f t="shared" si="162"/>
        <v>181108</v>
      </c>
      <c r="J1221" s="69">
        <f t="shared" si="162"/>
        <v>195597</v>
      </c>
      <c r="M1221" s="57"/>
    </row>
    <row r="1222" spans="1:13" x14ac:dyDescent="0.2">
      <c r="A1222" s="60">
        <v>1007</v>
      </c>
      <c r="B1222" s="70" t="s">
        <v>481</v>
      </c>
      <c r="C1222" s="69">
        <v>9608</v>
      </c>
      <c r="D1222" s="69">
        <v>12508</v>
      </c>
      <c r="E1222" s="69">
        <f>+D1222</f>
        <v>12508</v>
      </c>
      <c r="F1222" s="69">
        <v>7835</v>
      </c>
      <c r="G1222" s="69">
        <f t="shared" si="161"/>
        <v>9402</v>
      </c>
      <c r="H1222" s="69">
        <f>+[3]Salary_Bdgt!$I$167</f>
        <v>10888</v>
      </c>
      <c r="I1222" s="69">
        <f t="shared" si="162"/>
        <v>11759</v>
      </c>
      <c r="J1222" s="69">
        <f t="shared" si="162"/>
        <v>12700</v>
      </c>
      <c r="M1222" s="57"/>
    </row>
    <row r="1223" spans="1:13" x14ac:dyDescent="0.2">
      <c r="A1223" s="60">
        <v>1009</v>
      </c>
      <c r="B1223" s="70" t="s">
        <v>482</v>
      </c>
      <c r="C1223" s="69">
        <v>511</v>
      </c>
      <c r="D1223" s="69">
        <f>[2]Sal_RIA!$M$128</f>
        <v>384</v>
      </c>
      <c r="E1223" s="69">
        <f>+D1223</f>
        <v>384</v>
      </c>
      <c r="F1223" s="69">
        <v>371</v>
      </c>
      <c r="G1223" s="69">
        <f t="shared" si="161"/>
        <v>445.20000000000005</v>
      </c>
      <c r="H1223" s="69">
        <f>+[3]Salary_Bdgt!$M$167</f>
        <v>360</v>
      </c>
      <c r="I1223" s="69">
        <f t="shared" si="162"/>
        <v>389</v>
      </c>
      <c r="J1223" s="69">
        <f t="shared" si="162"/>
        <v>420</v>
      </c>
      <c r="M1223" s="57"/>
    </row>
    <row r="1224" spans="1:13" x14ac:dyDescent="0.2">
      <c r="A1224" s="60">
        <v>1010</v>
      </c>
      <c r="B1224" s="70" t="s">
        <v>28</v>
      </c>
      <c r="C1224" s="69">
        <v>75539</v>
      </c>
      <c r="D1224" s="69">
        <v>74495</v>
      </c>
      <c r="E1224" s="69">
        <f>+D1224</f>
        <v>74495</v>
      </c>
      <c r="F1224" s="69">
        <v>56500</v>
      </c>
      <c r="G1224" s="69">
        <f t="shared" si="161"/>
        <v>67800</v>
      </c>
      <c r="H1224" s="69">
        <f>+[3]Salary_Bdgt!$Q$167</f>
        <v>66833</v>
      </c>
      <c r="I1224" s="69">
        <f t="shared" si="162"/>
        <v>72180</v>
      </c>
      <c r="J1224" s="69">
        <f t="shared" si="162"/>
        <v>77954</v>
      </c>
      <c r="M1224" s="57"/>
    </row>
    <row r="1225" spans="1:13" x14ac:dyDescent="0.2">
      <c r="A1225" s="60">
        <v>1011</v>
      </c>
      <c r="B1225" s="70" t="s">
        <v>4045</v>
      </c>
      <c r="C1225" s="69">
        <v>6400</v>
      </c>
      <c r="D1225" s="69">
        <v>0</v>
      </c>
      <c r="E1225" s="69">
        <v>0</v>
      </c>
      <c r="F1225" s="69">
        <v>0</v>
      </c>
      <c r="G1225" s="69">
        <f t="shared" si="161"/>
        <v>0</v>
      </c>
      <c r="H1225" s="69">
        <f>+[3]Salary_Bdgt!$U$167</f>
        <v>0</v>
      </c>
      <c r="I1225" s="69">
        <f t="shared" si="162"/>
        <v>0</v>
      </c>
      <c r="J1225" s="69">
        <f t="shared" si="162"/>
        <v>0</v>
      </c>
      <c r="M1225" s="57"/>
    </row>
    <row r="1226" spans="1:13" x14ac:dyDescent="0.2">
      <c r="A1226" s="75">
        <v>1014</v>
      </c>
      <c r="B1226" s="70" t="s">
        <v>36</v>
      </c>
      <c r="C1226" s="69">
        <v>11833</v>
      </c>
      <c r="D1226" s="69">
        <f>[2]Sal_RIA!$S$128</f>
        <v>11198</v>
      </c>
      <c r="E1226" s="69">
        <f t="shared" ref="E1226:E1232" si="163">+D1226</f>
        <v>11198</v>
      </c>
      <c r="F1226" s="69">
        <v>7239</v>
      </c>
      <c r="G1226" s="69">
        <f t="shared" ref="G1226:G1232" si="164">F1226/$F$11*$G$11</f>
        <v>8686.7999999999993</v>
      </c>
      <c r="H1226" s="69">
        <f>+[3]Salary_Bdgt!$S$167</f>
        <v>1532</v>
      </c>
      <c r="I1226" s="69">
        <f t="shared" si="162"/>
        <v>1655</v>
      </c>
      <c r="J1226" s="69">
        <f t="shared" si="162"/>
        <v>1787</v>
      </c>
      <c r="M1226" s="57"/>
    </row>
    <row r="1227" spans="1:13" x14ac:dyDescent="0.2">
      <c r="A1227" s="75">
        <v>1015</v>
      </c>
      <c r="B1227" s="70" t="s">
        <v>445</v>
      </c>
      <c r="C1227" s="69">
        <v>1369</v>
      </c>
      <c r="D1227" s="69">
        <f>[2]Sal_RIA!$O$128+[2]Sal_RIA!$P$128</f>
        <v>0</v>
      </c>
      <c r="E1227" s="69">
        <f t="shared" si="163"/>
        <v>0</v>
      </c>
      <c r="F1227" s="69"/>
      <c r="G1227" s="69">
        <f t="shared" si="164"/>
        <v>0</v>
      </c>
      <c r="H1227" s="69">
        <f>+[3]Salary_Bdgt!$O$167+[3]Salary_Bdgt!$P$167+[3]Salary_Bdgt!$W$167</f>
        <v>0</v>
      </c>
      <c r="I1227" s="69">
        <f t="shared" si="162"/>
        <v>0</v>
      </c>
      <c r="J1227" s="69">
        <f t="shared" si="162"/>
        <v>0</v>
      </c>
      <c r="M1227" s="57"/>
    </row>
    <row r="1228" spans="1:13" x14ac:dyDescent="0.2">
      <c r="A1228" s="60">
        <v>1016</v>
      </c>
      <c r="B1228" s="70" t="s">
        <v>475</v>
      </c>
      <c r="C1228" s="69">
        <v>0</v>
      </c>
      <c r="D1228" s="69">
        <v>68050</v>
      </c>
      <c r="E1228" s="69">
        <f t="shared" si="163"/>
        <v>68050</v>
      </c>
      <c r="F1228" s="69">
        <f>5063+14799</f>
        <v>19862</v>
      </c>
      <c r="G1228" s="69">
        <f t="shared" si="164"/>
        <v>23834.400000000001</v>
      </c>
      <c r="H1228" s="69">
        <f>+[3]Salary_Bdgt!$T$167+[3]Salary_Bdgt!$V$167</f>
        <v>89176</v>
      </c>
      <c r="I1228" s="69">
        <f t="shared" si="162"/>
        <v>96310</v>
      </c>
      <c r="J1228" s="69">
        <f t="shared" si="162"/>
        <v>104015</v>
      </c>
      <c r="M1228" s="57"/>
    </row>
    <row r="1229" spans="1:13" x14ac:dyDescent="0.2">
      <c r="A1229" s="75">
        <v>1017</v>
      </c>
      <c r="B1229" s="70" t="s">
        <v>4044</v>
      </c>
      <c r="C1229" s="69">
        <v>11141</v>
      </c>
      <c r="D1229" s="69">
        <v>19052</v>
      </c>
      <c r="E1229" s="69">
        <f t="shared" si="163"/>
        <v>19052</v>
      </c>
      <c r="F1229" s="69">
        <v>5090</v>
      </c>
      <c r="G1229" s="69">
        <f t="shared" si="164"/>
        <v>6108</v>
      </c>
      <c r="H1229" s="69">
        <f>+[3]Salary_Bdgt!$J$167</f>
        <v>16237</v>
      </c>
      <c r="I1229" s="69">
        <f t="shared" si="162"/>
        <v>17536</v>
      </c>
      <c r="J1229" s="69">
        <f t="shared" si="162"/>
        <v>18939</v>
      </c>
      <c r="M1229" s="57"/>
    </row>
    <row r="1230" spans="1:13" x14ac:dyDescent="0.2">
      <c r="A1230" s="60">
        <v>1025</v>
      </c>
      <c r="B1230" s="70" t="s">
        <v>218</v>
      </c>
      <c r="C1230" s="69">
        <v>0</v>
      </c>
      <c r="D1230" s="69">
        <v>34003</v>
      </c>
      <c r="E1230" s="69">
        <f t="shared" si="163"/>
        <v>34003</v>
      </c>
      <c r="F1230" s="69">
        <v>0</v>
      </c>
      <c r="G1230" s="69">
        <f t="shared" si="164"/>
        <v>0</v>
      </c>
      <c r="H1230" s="69">
        <f>+[3]Salary_Bdgt!$Y$575</f>
        <v>26127</v>
      </c>
      <c r="I1230" s="69">
        <f t="shared" si="162"/>
        <v>28217</v>
      </c>
      <c r="J1230" s="69">
        <f t="shared" si="162"/>
        <v>30474</v>
      </c>
      <c r="M1230" s="57"/>
    </row>
    <row r="1231" spans="1:13" x14ac:dyDescent="0.2">
      <c r="A1231" s="60">
        <v>1046</v>
      </c>
      <c r="B1231" s="70" t="s">
        <v>491</v>
      </c>
      <c r="C1231" s="69">
        <v>36735</v>
      </c>
      <c r="D1231" s="69">
        <v>37722</v>
      </c>
      <c r="E1231" s="69">
        <f t="shared" si="163"/>
        <v>37722</v>
      </c>
      <c r="F1231" s="69">
        <v>28578</v>
      </c>
      <c r="G1231" s="69">
        <f t="shared" si="164"/>
        <v>34293.600000000006</v>
      </c>
      <c r="H1231" s="69">
        <f>+[3]Salary_Bdgt!$R$167</f>
        <v>0</v>
      </c>
      <c r="I1231" s="69">
        <f t="shared" si="162"/>
        <v>0</v>
      </c>
      <c r="J1231" s="69">
        <f t="shared" si="162"/>
        <v>0</v>
      </c>
      <c r="M1231" s="57"/>
    </row>
    <row r="1232" spans="1:13" x14ac:dyDescent="0.2">
      <c r="A1232" s="60">
        <v>1182</v>
      </c>
      <c r="B1232" s="71" t="s">
        <v>1065</v>
      </c>
      <c r="C1232" s="56">
        <v>9713</v>
      </c>
      <c r="D1232" s="56">
        <v>17718</v>
      </c>
      <c r="E1232" s="56">
        <f t="shared" si="163"/>
        <v>17718</v>
      </c>
      <c r="F1232" s="56">
        <v>0</v>
      </c>
      <c r="G1232" s="56">
        <f t="shared" si="164"/>
        <v>0</v>
      </c>
      <c r="H1232" s="56">
        <f>+[3]Salary_Bdgt!$K$167</f>
        <v>15100</v>
      </c>
      <c r="I1232" s="56">
        <f t="shared" si="162"/>
        <v>16308</v>
      </c>
      <c r="J1232" s="56">
        <f t="shared" si="162"/>
        <v>17613</v>
      </c>
      <c r="M1232" s="57"/>
    </row>
    <row r="1233" spans="1:13" x14ac:dyDescent="0.2">
      <c r="B1233" s="58" t="s">
        <v>416</v>
      </c>
      <c r="C1233" s="72">
        <f t="shared" ref="C1233:J1233" si="165">SUM(C1219:C1232)</f>
        <v>1402102</v>
      </c>
      <c r="D1233" s="72">
        <f t="shared" si="165"/>
        <v>1365186</v>
      </c>
      <c r="E1233" s="72">
        <f t="shared" si="165"/>
        <v>1365186</v>
      </c>
      <c r="F1233" s="72">
        <f t="shared" si="165"/>
        <v>1166536</v>
      </c>
      <c r="G1233" s="72">
        <f t="shared" si="165"/>
        <v>1399843.2</v>
      </c>
      <c r="H1233" s="72">
        <f t="shared" si="165"/>
        <v>1285901</v>
      </c>
      <c r="I1233" s="72">
        <f t="shared" si="165"/>
        <v>1388773</v>
      </c>
      <c r="J1233" s="72">
        <f t="shared" si="165"/>
        <v>1499875</v>
      </c>
      <c r="K1233" s="473"/>
      <c r="L1233" s="473"/>
      <c r="M1233" s="57"/>
    </row>
    <row r="1234" spans="1:13" x14ac:dyDescent="0.2">
      <c r="B1234" s="58"/>
      <c r="C1234" s="69"/>
      <c r="D1234" s="69"/>
      <c r="E1234" s="69"/>
      <c r="G1234" s="69"/>
      <c r="H1234" s="69"/>
      <c r="I1234" s="69"/>
      <c r="J1234" s="69"/>
      <c r="M1234" s="57"/>
    </row>
    <row r="1235" spans="1:13" x14ac:dyDescent="0.2">
      <c r="B1235" s="58" t="s">
        <v>4021</v>
      </c>
      <c r="C1235" s="69"/>
      <c r="D1235" s="69"/>
      <c r="E1235" s="69"/>
      <c r="G1235" s="69"/>
      <c r="H1235" s="69"/>
      <c r="I1235" s="69"/>
      <c r="J1235" s="69"/>
      <c r="M1235" s="57"/>
    </row>
    <row r="1236" spans="1:13" x14ac:dyDescent="0.2">
      <c r="A1236" s="60">
        <v>3205</v>
      </c>
      <c r="B1236" s="70" t="s">
        <v>446</v>
      </c>
      <c r="C1236" s="69">
        <v>0</v>
      </c>
      <c r="D1236" s="69">
        <v>0</v>
      </c>
      <c r="E1236" s="69">
        <v>0</v>
      </c>
      <c r="F1236" s="69">
        <v>0</v>
      </c>
      <c r="G1236" s="69">
        <f>F1236/$F$11*$G$11</f>
        <v>0</v>
      </c>
      <c r="H1236" s="69">
        <f>ROUND(E1236*1.05,0)</f>
        <v>0</v>
      </c>
      <c r="I1236" s="69">
        <f>ROUND(H1236*1.06,0)</f>
        <v>0</v>
      </c>
      <c r="J1236" s="69">
        <f>ROUND(I1236*1.06,0)</f>
        <v>0</v>
      </c>
      <c r="M1236" s="57"/>
    </row>
    <row r="1237" spans="1:13" x14ac:dyDescent="0.2">
      <c r="A1237" s="60">
        <v>3207</v>
      </c>
      <c r="B1237" s="71" t="s">
        <v>4046</v>
      </c>
      <c r="C1237" s="56">
        <v>2824</v>
      </c>
      <c r="D1237" s="56">
        <v>5250</v>
      </c>
      <c r="E1237" s="56">
        <v>5250</v>
      </c>
      <c r="F1237" s="56">
        <v>4553</v>
      </c>
      <c r="G1237" s="56">
        <f>F1237/$F$11*$G$11</f>
        <v>5463.6</v>
      </c>
      <c r="H1237" s="56">
        <f>ROUND(E1237*1.05,0)</f>
        <v>5513</v>
      </c>
      <c r="I1237" s="56">
        <f>ROUND(H1237*1.06,0)</f>
        <v>5844</v>
      </c>
      <c r="J1237" s="56">
        <f>ROUND(I1237*1.06,0)</f>
        <v>6195</v>
      </c>
      <c r="M1237" s="57"/>
    </row>
    <row r="1238" spans="1:13" x14ac:dyDescent="0.2">
      <c r="B1238" s="58" t="s">
        <v>417</v>
      </c>
      <c r="C1238" s="72">
        <f>SUM(C1236:C1237)</f>
        <v>2824</v>
      </c>
      <c r="D1238" s="72">
        <f t="shared" ref="D1238:J1238" si="166">SUM(D1236:D1237)</f>
        <v>5250</v>
      </c>
      <c r="E1238" s="72">
        <f t="shared" si="166"/>
        <v>5250</v>
      </c>
      <c r="F1238" s="72">
        <f t="shared" si="166"/>
        <v>4553</v>
      </c>
      <c r="G1238" s="72">
        <f t="shared" si="166"/>
        <v>5463.6</v>
      </c>
      <c r="H1238" s="72">
        <f t="shared" si="166"/>
        <v>5513</v>
      </c>
      <c r="I1238" s="72">
        <f t="shared" si="166"/>
        <v>5844</v>
      </c>
      <c r="J1238" s="72">
        <f t="shared" si="166"/>
        <v>6195</v>
      </c>
      <c r="M1238" s="57"/>
    </row>
    <row r="1239" spans="1:13" x14ac:dyDescent="0.2">
      <c r="B1239" s="58"/>
      <c r="C1239" s="69"/>
      <c r="D1239" s="69"/>
      <c r="E1239" s="69"/>
      <c r="G1239" s="69"/>
      <c r="H1239" s="69"/>
      <c r="I1239" s="69"/>
      <c r="J1239" s="69"/>
      <c r="M1239" s="57"/>
    </row>
    <row r="1240" spans="1:13" x14ac:dyDescent="0.2">
      <c r="B1240" s="58" t="s">
        <v>435</v>
      </c>
      <c r="C1240" s="69"/>
      <c r="D1240" s="69"/>
      <c r="E1240" s="69"/>
      <c r="F1240" s="24"/>
      <c r="G1240" s="69"/>
      <c r="H1240" s="69"/>
      <c r="I1240" s="69"/>
      <c r="J1240" s="69"/>
      <c r="M1240" s="57"/>
    </row>
    <row r="1241" spans="1:13" x14ac:dyDescent="0.2">
      <c r="A1241" s="75">
        <v>2007</v>
      </c>
      <c r="B1241" s="70" t="s">
        <v>219</v>
      </c>
      <c r="C1241" s="69">
        <v>0</v>
      </c>
      <c r="D1241" s="69">
        <v>42000</v>
      </c>
      <c r="E1241" s="69">
        <v>42000</v>
      </c>
      <c r="F1241" s="69">
        <v>989</v>
      </c>
      <c r="G1241" s="69">
        <f t="shared" ref="G1241:G1254" si="167">F1241/$F$11*$G$11</f>
        <v>1186.8000000000002</v>
      </c>
      <c r="H1241" s="69">
        <f>ROUND(E1241*1.05,0)</f>
        <v>44100</v>
      </c>
      <c r="I1241" s="69">
        <f t="shared" ref="I1241:J1254" si="168">ROUND(H1241*1.06,0)</f>
        <v>46746</v>
      </c>
      <c r="J1241" s="69">
        <f t="shared" si="168"/>
        <v>49551</v>
      </c>
      <c r="M1241" s="57"/>
    </row>
    <row r="1242" spans="1:13" x14ac:dyDescent="0.2">
      <c r="A1242" s="60">
        <v>2081</v>
      </c>
      <c r="B1242" s="70" t="s">
        <v>496</v>
      </c>
      <c r="C1242" s="69">
        <v>214967</v>
      </c>
      <c r="D1242" s="69">
        <v>367500</v>
      </c>
      <c r="E1242" s="69">
        <v>367500</v>
      </c>
      <c r="F1242" s="69">
        <v>163048</v>
      </c>
      <c r="G1242" s="69">
        <f t="shared" si="167"/>
        <v>195657.59999999998</v>
      </c>
      <c r="H1242" s="69">
        <f>ROUND(E1242*1.05,0)</f>
        <v>385875</v>
      </c>
      <c r="I1242" s="69">
        <f t="shared" si="168"/>
        <v>409028</v>
      </c>
      <c r="J1242" s="69">
        <f t="shared" si="168"/>
        <v>433570</v>
      </c>
      <c r="M1242" s="57"/>
    </row>
    <row r="1243" spans="1:13" x14ac:dyDescent="0.2">
      <c r="A1243" s="75">
        <v>2104</v>
      </c>
      <c r="B1243" s="70" t="s">
        <v>2414</v>
      </c>
      <c r="C1243" s="69">
        <v>714763</v>
      </c>
      <c r="D1243" s="69">
        <v>105000</v>
      </c>
      <c r="E1243" s="69">
        <v>105000</v>
      </c>
      <c r="F1243" s="69">
        <v>474312</v>
      </c>
      <c r="G1243" s="69">
        <f t="shared" si="167"/>
        <v>569174.39999999991</v>
      </c>
      <c r="H1243" s="69">
        <f>ROUND(E1243*1.05,0)</f>
        <v>110250</v>
      </c>
      <c r="I1243" s="69">
        <f t="shared" si="168"/>
        <v>116865</v>
      </c>
      <c r="J1243" s="69">
        <f t="shared" si="168"/>
        <v>123877</v>
      </c>
      <c r="M1243" s="57"/>
    </row>
    <row r="1244" spans="1:13" x14ac:dyDescent="0.2">
      <c r="A1244" s="60">
        <v>2113</v>
      </c>
      <c r="B1244" s="70" t="s">
        <v>21</v>
      </c>
      <c r="C1244" s="69">
        <v>25287</v>
      </c>
      <c r="D1244" s="69">
        <v>21000</v>
      </c>
      <c r="E1244" s="69">
        <f>21000+47558</f>
        <v>68558</v>
      </c>
      <c r="F1244" s="69">
        <v>33441</v>
      </c>
      <c r="G1244" s="69">
        <f t="shared" si="167"/>
        <v>40129.199999999997</v>
      </c>
      <c r="H1244" s="69">
        <f>ROUND(E1244*1.05,0)</f>
        <v>71986</v>
      </c>
      <c r="I1244" s="69">
        <f t="shared" si="168"/>
        <v>76305</v>
      </c>
      <c r="J1244" s="69">
        <f t="shared" si="168"/>
        <v>80883</v>
      </c>
      <c r="M1244" s="57"/>
    </row>
    <row r="1245" spans="1:13" x14ac:dyDescent="0.2">
      <c r="A1245" s="60">
        <v>2207</v>
      </c>
      <c r="B1245" s="70" t="s">
        <v>4063</v>
      </c>
      <c r="C1245" s="69">
        <v>30361</v>
      </c>
      <c r="D1245" s="69">
        <v>10500</v>
      </c>
      <c r="E1245" s="69">
        <v>10500</v>
      </c>
      <c r="F1245" s="69">
        <f>8380+15390+1034+64539</f>
        <v>89343</v>
      </c>
      <c r="G1245" s="69">
        <f>F1245/$F$11*$G$11</f>
        <v>107211.59999999999</v>
      </c>
      <c r="H1245" s="69">
        <v>64045</v>
      </c>
      <c r="I1245" s="69">
        <f t="shared" si="168"/>
        <v>67888</v>
      </c>
      <c r="J1245" s="69">
        <f t="shared" si="168"/>
        <v>71961</v>
      </c>
      <c r="M1245" s="57"/>
    </row>
    <row r="1246" spans="1:13" x14ac:dyDescent="0.2">
      <c r="A1246" s="60">
        <v>2212</v>
      </c>
      <c r="B1246" s="70" t="s">
        <v>488</v>
      </c>
      <c r="C1246" s="69">
        <v>2741</v>
      </c>
      <c r="D1246" s="69">
        <v>84000</v>
      </c>
      <c r="E1246" s="69">
        <f>84000-47558</f>
        <v>36442</v>
      </c>
      <c r="F1246" s="69">
        <v>2517</v>
      </c>
      <c r="G1246" s="69">
        <f t="shared" si="167"/>
        <v>3020.3999999999996</v>
      </c>
      <c r="H1246" s="69">
        <f>ROUND(E1246*1.05,0)</f>
        <v>38264</v>
      </c>
      <c r="I1246" s="69">
        <f t="shared" si="168"/>
        <v>40560</v>
      </c>
      <c r="J1246" s="69">
        <f t="shared" si="168"/>
        <v>42994</v>
      </c>
      <c r="M1246" s="57"/>
    </row>
    <row r="1247" spans="1:13" x14ac:dyDescent="0.2">
      <c r="A1247" s="75">
        <v>2218</v>
      </c>
      <c r="B1247" s="70" t="s">
        <v>22</v>
      </c>
      <c r="C1247" s="69">
        <v>3000</v>
      </c>
      <c r="D1247" s="69">
        <v>157500</v>
      </c>
      <c r="E1247" s="69">
        <f>157500+150000</f>
        <v>307500</v>
      </c>
      <c r="F1247" s="69">
        <v>179510</v>
      </c>
      <c r="G1247" s="69">
        <f t="shared" si="167"/>
        <v>215412</v>
      </c>
      <c r="H1247" s="69">
        <f>ROUND(E1247*1.05,0)</f>
        <v>322875</v>
      </c>
      <c r="I1247" s="69">
        <f t="shared" si="168"/>
        <v>342248</v>
      </c>
      <c r="J1247" s="69">
        <f t="shared" si="168"/>
        <v>362783</v>
      </c>
      <c r="M1247" s="57"/>
    </row>
    <row r="1248" spans="1:13" x14ac:dyDescent="0.2">
      <c r="A1248" s="75">
        <v>2220</v>
      </c>
      <c r="B1248" s="70" t="s">
        <v>23</v>
      </c>
      <c r="C1248" s="69">
        <v>23969</v>
      </c>
      <c r="D1248" s="69">
        <v>862500</v>
      </c>
      <c r="E1248" s="69">
        <f>862500+570000+600000</f>
        <v>2032500</v>
      </c>
      <c r="F1248" s="69">
        <v>1611193</v>
      </c>
      <c r="G1248" s="69">
        <f t="shared" si="167"/>
        <v>1933431.5999999999</v>
      </c>
      <c r="H1248" s="69">
        <f>ROUND(E1248*1.05,0)</f>
        <v>2134125</v>
      </c>
      <c r="I1248" s="69">
        <f t="shared" si="168"/>
        <v>2262173</v>
      </c>
      <c r="J1248" s="69">
        <f t="shared" si="168"/>
        <v>2397903</v>
      </c>
      <c r="M1248" s="57"/>
    </row>
    <row r="1249" spans="1:13" x14ac:dyDescent="0.2">
      <c r="A1249" s="75">
        <v>2227</v>
      </c>
      <c r="B1249" s="70" t="s">
        <v>448</v>
      </c>
      <c r="C1249" s="69">
        <v>0</v>
      </c>
      <c r="D1249" s="69">
        <v>60000</v>
      </c>
      <c r="E1249" s="69">
        <v>60000</v>
      </c>
      <c r="F1249" s="69">
        <v>1658</v>
      </c>
      <c r="G1249" s="69">
        <f t="shared" si="167"/>
        <v>1989.6000000000001</v>
      </c>
      <c r="H1249" s="69">
        <f>ROUND(E1249*1.05,0)</f>
        <v>63000</v>
      </c>
      <c r="I1249" s="69">
        <f t="shared" si="168"/>
        <v>66780</v>
      </c>
      <c r="J1249" s="69">
        <f t="shared" si="168"/>
        <v>70787</v>
      </c>
      <c r="M1249" s="57"/>
    </row>
    <row r="1250" spans="1:13" x14ac:dyDescent="0.2">
      <c r="A1250" s="60">
        <v>2233</v>
      </c>
      <c r="B1250" s="70" t="s">
        <v>497</v>
      </c>
      <c r="C1250" s="69">
        <v>6655</v>
      </c>
      <c r="D1250" s="69">
        <v>15000</v>
      </c>
      <c r="E1250" s="69">
        <v>15000</v>
      </c>
      <c r="F1250" s="69">
        <f>7999+24160+12540+65740</f>
        <v>110439</v>
      </c>
      <c r="G1250" s="69">
        <f t="shared" si="167"/>
        <v>132526.79999999999</v>
      </c>
      <c r="H1250" s="69">
        <v>420030</v>
      </c>
      <c r="I1250" s="69">
        <f t="shared" si="168"/>
        <v>445232</v>
      </c>
      <c r="J1250" s="69">
        <f t="shared" si="168"/>
        <v>471946</v>
      </c>
      <c r="K1250" t="s">
        <v>1077</v>
      </c>
      <c r="M1250" s="57"/>
    </row>
    <row r="1251" spans="1:13" x14ac:dyDescent="0.2">
      <c r="A1251" s="75">
        <v>2238</v>
      </c>
      <c r="B1251" s="70" t="s">
        <v>479</v>
      </c>
      <c r="C1251" s="69">
        <v>31509</v>
      </c>
      <c r="D1251" s="69">
        <v>31500</v>
      </c>
      <c r="E1251" s="69">
        <v>31500</v>
      </c>
      <c r="F1251" s="69">
        <v>47585</v>
      </c>
      <c r="G1251" s="69">
        <f t="shared" si="167"/>
        <v>57102</v>
      </c>
      <c r="H1251" s="69">
        <f>ROUND(E1251*1.05,0)</f>
        <v>33075</v>
      </c>
      <c r="I1251" s="69">
        <f t="shared" si="168"/>
        <v>35060</v>
      </c>
      <c r="J1251" s="69">
        <f t="shared" si="168"/>
        <v>37164</v>
      </c>
      <c r="M1251" s="57"/>
    </row>
    <row r="1252" spans="1:13" x14ac:dyDescent="0.2">
      <c r="A1252" s="60">
        <v>2246</v>
      </c>
      <c r="B1252" s="70" t="s">
        <v>2422</v>
      </c>
      <c r="C1252" s="69">
        <v>586327</v>
      </c>
      <c r="D1252" s="69">
        <v>294000</v>
      </c>
      <c r="E1252" s="69">
        <f>294000+300000</f>
        <v>594000</v>
      </c>
      <c r="F1252" s="69">
        <v>587023</v>
      </c>
      <c r="G1252" s="69">
        <f t="shared" si="167"/>
        <v>704427.60000000009</v>
      </c>
      <c r="H1252" s="69">
        <f>ROUND(E1252*1.05,0)</f>
        <v>623700</v>
      </c>
      <c r="I1252" s="69">
        <f t="shared" si="168"/>
        <v>661122</v>
      </c>
      <c r="J1252" s="69">
        <f t="shared" si="168"/>
        <v>700789</v>
      </c>
      <c r="M1252" s="57"/>
    </row>
    <row r="1253" spans="1:13" x14ac:dyDescent="0.2">
      <c r="A1253" s="60">
        <v>2502</v>
      </c>
      <c r="B1253" s="70" t="s">
        <v>220</v>
      </c>
      <c r="C1253" s="69">
        <v>0</v>
      </c>
      <c r="D1253" s="69">
        <v>0</v>
      </c>
      <c r="E1253" s="69">
        <v>0</v>
      </c>
      <c r="F1253" s="69">
        <v>0</v>
      </c>
      <c r="G1253" s="69">
        <f t="shared" si="167"/>
        <v>0</v>
      </c>
      <c r="H1253" s="69">
        <f>H1204</f>
        <v>750000</v>
      </c>
      <c r="I1253" s="69">
        <f t="shared" si="168"/>
        <v>795000</v>
      </c>
      <c r="J1253" s="69">
        <f t="shared" si="168"/>
        <v>842700</v>
      </c>
      <c r="M1253" s="57"/>
    </row>
    <row r="1254" spans="1:13" x14ac:dyDescent="0.2">
      <c r="A1254" s="75">
        <v>2305</v>
      </c>
      <c r="B1254" s="71" t="s">
        <v>31</v>
      </c>
      <c r="C1254" s="56">
        <v>3359</v>
      </c>
      <c r="D1254" s="56">
        <v>5250</v>
      </c>
      <c r="E1254" s="56">
        <v>5250</v>
      </c>
      <c r="F1254" s="56">
        <v>4771</v>
      </c>
      <c r="G1254" s="56">
        <f t="shared" si="167"/>
        <v>5725.2000000000007</v>
      </c>
      <c r="H1254" s="69">
        <f>ROUND(E1254*1.05,0)</f>
        <v>5513</v>
      </c>
      <c r="I1254" s="56">
        <f t="shared" si="168"/>
        <v>5844</v>
      </c>
      <c r="J1254" s="56">
        <f t="shared" si="168"/>
        <v>6195</v>
      </c>
      <c r="M1254" s="57"/>
    </row>
    <row r="1255" spans="1:13" x14ac:dyDescent="0.2">
      <c r="B1255" s="58" t="s">
        <v>436</v>
      </c>
      <c r="C1255" s="116">
        <f t="shared" ref="C1255:J1255" si="169">SUM(C1241:C1254)</f>
        <v>1642938</v>
      </c>
      <c r="D1255" s="116">
        <f t="shared" si="169"/>
        <v>2055750</v>
      </c>
      <c r="E1255" s="116">
        <f t="shared" si="169"/>
        <v>3675750</v>
      </c>
      <c r="F1255" s="116">
        <f t="shared" si="169"/>
        <v>3305829</v>
      </c>
      <c r="G1255" s="116">
        <f t="shared" si="169"/>
        <v>3966994.8</v>
      </c>
      <c r="H1255" s="116">
        <f t="shared" si="169"/>
        <v>5066838</v>
      </c>
      <c r="I1255" s="116">
        <f t="shared" si="169"/>
        <v>5370851</v>
      </c>
      <c r="J1255" s="116">
        <f t="shared" si="169"/>
        <v>5693103</v>
      </c>
      <c r="M1255" s="57"/>
    </row>
    <row r="1256" spans="1:13" x14ac:dyDescent="0.2">
      <c r="B1256" s="61"/>
      <c r="C1256" s="89"/>
      <c r="D1256" s="89"/>
      <c r="E1256" s="89"/>
      <c r="F1256" s="89"/>
      <c r="G1256" s="89"/>
      <c r="H1256" s="89"/>
      <c r="I1256" s="89"/>
      <c r="J1256" s="89"/>
      <c r="M1256" s="57"/>
    </row>
    <row r="1257" spans="1:13" x14ac:dyDescent="0.2">
      <c r="B1257" s="58" t="s">
        <v>4055</v>
      </c>
      <c r="C1257" s="73">
        <f t="shared" ref="C1257:J1257" si="170">C1233+C1238+C1255</f>
        <v>3047864</v>
      </c>
      <c r="D1257" s="73">
        <f t="shared" si="170"/>
        <v>3426186</v>
      </c>
      <c r="E1257" s="73">
        <f t="shared" si="170"/>
        <v>5046186</v>
      </c>
      <c r="F1257" s="73">
        <f t="shared" si="170"/>
        <v>4476918</v>
      </c>
      <c r="G1257" s="73">
        <f t="shared" si="170"/>
        <v>5372301.5999999996</v>
      </c>
      <c r="H1257" s="73">
        <f t="shared" si="170"/>
        <v>6358252</v>
      </c>
      <c r="I1257" s="73">
        <f t="shared" si="170"/>
        <v>6765468</v>
      </c>
      <c r="J1257" s="73">
        <f t="shared" si="170"/>
        <v>7199173</v>
      </c>
      <c r="M1257" s="57"/>
    </row>
    <row r="1258" spans="1:13" x14ac:dyDescent="0.2">
      <c r="B1258" s="58"/>
      <c r="C1258" s="96"/>
      <c r="D1258" s="96"/>
      <c r="E1258" s="96"/>
      <c r="F1258" s="24"/>
      <c r="G1258" s="69"/>
      <c r="H1258" s="69"/>
      <c r="I1258" s="96"/>
      <c r="J1258" s="96"/>
      <c r="M1258" s="57"/>
    </row>
    <row r="1259" spans="1:13" x14ac:dyDescent="0.2">
      <c r="B1259" s="58"/>
      <c r="C1259" s="96"/>
      <c r="D1259" s="96"/>
      <c r="E1259" s="96"/>
      <c r="F1259" s="24"/>
      <c r="G1259" s="69"/>
      <c r="H1259" s="69"/>
      <c r="I1259" s="96"/>
      <c r="J1259" s="96"/>
      <c r="M1259" s="57"/>
    </row>
    <row r="1260" spans="1:13" x14ac:dyDescent="0.2">
      <c r="B1260" s="58"/>
      <c r="C1260" s="96"/>
      <c r="D1260" s="96"/>
      <c r="E1260" s="96"/>
      <c r="F1260" s="24"/>
      <c r="G1260" s="69"/>
      <c r="H1260" s="69"/>
      <c r="I1260" s="96"/>
      <c r="J1260" s="96"/>
      <c r="M1260" s="57"/>
    </row>
    <row r="1261" spans="1:13" x14ac:dyDescent="0.2">
      <c r="B1261" s="58"/>
      <c r="C1261" s="96"/>
      <c r="D1261" s="96"/>
      <c r="E1261" s="96"/>
      <c r="F1261" s="24"/>
      <c r="G1261" s="69"/>
      <c r="H1261" s="69"/>
      <c r="I1261" s="96"/>
      <c r="J1261" s="96"/>
      <c r="M1261" s="57"/>
    </row>
    <row r="1262" spans="1:13" x14ac:dyDescent="0.2">
      <c r="B1262" s="58"/>
      <c r="C1262" s="96"/>
      <c r="D1262" s="96"/>
      <c r="E1262" s="96"/>
      <c r="F1262" s="24"/>
      <c r="G1262" s="69"/>
      <c r="H1262" s="69"/>
      <c r="I1262" s="96"/>
      <c r="J1262" s="96"/>
      <c r="M1262" s="57"/>
    </row>
    <row r="1263" spans="1:13" x14ac:dyDescent="0.2">
      <c r="B1263" s="58"/>
      <c r="C1263" s="96"/>
      <c r="D1263" s="96"/>
      <c r="E1263" s="96"/>
      <c r="F1263" s="24"/>
      <c r="G1263" s="69"/>
      <c r="H1263" s="69"/>
      <c r="I1263" s="96"/>
      <c r="J1263" s="96"/>
      <c r="M1263" s="57"/>
    </row>
    <row r="1264" spans="1:13" x14ac:dyDescent="0.2">
      <c r="B1264" s="58"/>
      <c r="C1264" s="96"/>
      <c r="D1264" s="96"/>
      <c r="E1264" s="96"/>
      <c r="F1264" s="24"/>
      <c r="G1264" s="69"/>
      <c r="H1264" s="69"/>
      <c r="I1264" s="96"/>
      <c r="J1264" s="96"/>
      <c r="M1264" s="57"/>
    </row>
    <row r="1265" spans="1:13" x14ac:dyDescent="0.2">
      <c r="B1265" s="58"/>
      <c r="C1265" s="96"/>
      <c r="D1265" s="96"/>
      <c r="E1265" s="96"/>
      <c r="F1265" s="24"/>
      <c r="G1265" s="69"/>
      <c r="H1265" s="69"/>
      <c r="I1265" s="96"/>
      <c r="J1265" s="96"/>
      <c r="M1265" s="57"/>
    </row>
    <row r="1266" spans="1:13" x14ac:dyDescent="0.2">
      <c r="F1266" s="24"/>
      <c r="G1266" s="69"/>
      <c r="H1266" s="69"/>
      <c r="M1266" s="57"/>
    </row>
    <row r="1267" spans="1:13" x14ac:dyDescent="0.2">
      <c r="A1267" s="6"/>
      <c r="B1267" s="6"/>
      <c r="C1267" s="6"/>
      <c r="D1267" s="6"/>
      <c r="E1267" s="6"/>
      <c r="F1267" s="24"/>
      <c r="G1267" s="69"/>
      <c r="H1267" s="69"/>
      <c r="I1267" s="6"/>
      <c r="J1267" s="6"/>
      <c r="M1267" s="57"/>
    </row>
    <row r="1268" spans="1:13" x14ac:dyDescent="0.2">
      <c r="A1268" s="6"/>
      <c r="B1268" s="6"/>
      <c r="C1268" s="6"/>
      <c r="D1268" s="6"/>
      <c r="E1268" s="6"/>
      <c r="F1268" s="24"/>
      <c r="G1268" s="69"/>
      <c r="H1268" s="69"/>
      <c r="I1268" s="6"/>
      <c r="J1268" s="6"/>
      <c r="M1268" s="57"/>
    </row>
    <row r="1269" spans="1:13" x14ac:dyDescent="0.2">
      <c r="A1269" s="6"/>
      <c r="B1269" s="6"/>
      <c r="C1269" s="6"/>
      <c r="D1269" s="6"/>
      <c r="E1269" s="6"/>
      <c r="F1269" s="24"/>
      <c r="G1269" s="69"/>
      <c r="H1269" s="69"/>
      <c r="I1269" s="6"/>
      <c r="J1269" s="6"/>
      <c r="M1269" s="57"/>
    </row>
    <row r="1270" spans="1:13" x14ac:dyDescent="0.2">
      <c r="A1270" s="6"/>
      <c r="B1270" s="6"/>
      <c r="C1270" s="6"/>
      <c r="D1270" s="6"/>
      <c r="E1270" s="6"/>
      <c r="F1270" s="24"/>
      <c r="G1270" s="69"/>
      <c r="H1270" s="69"/>
      <c r="I1270" s="6"/>
      <c r="J1270" s="6"/>
      <c r="M1270" s="57"/>
    </row>
    <row r="1271" spans="1:13" x14ac:dyDescent="0.2">
      <c r="A1271" s="6"/>
      <c r="B1271" s="6"/>
      <c r="C1271" s="6"/>
      <c r="D1271" s="6"/>
      <c r="E1271" s="6"/>
      <c r="F1271" s="24"/>
      <c r="G1271" s="69"/>
      <c r="H1271" s="69"/>
      <c r="I1271" s="6"/>
      <c r="J1271" s="6"/>
      <c r="M1271" s="57"/>
    </row>
    <row r="1272" spans="1:13" ht="15" x14ac:dyDescent="0.25">
      <c r="A1272" s="91">
        <v>1150</v>
      </c>
      <c r="B1272" s="48" t="s">
        <v>221</v>
      </c>
      <c r="C1272" s="96"/>
      <c r="D1272" s="96"/>
      <c r="E1272" s="96"/>
      <c r="F1272" s="24"/>
      <c r="G1272" s="69"/>
      <c r="H1272" s="69"/>
      <c r="I1272" s="96"/>
      <c r="J1272" s="96"/>
      <c r="M1272" s="57"/>
    </row>
    <row r="1273" spans="1:13" x14ac:dyDescent="0.2">
      <c r="B1273" s="58"/>
      <c r="C1273" s="96"/>
      <c r="D1273" s="96"/>
      <c r="E1273" s="96"/>
      <c r="F1273" s="24"/>
      <c r="G1273" s="69"/>
      <c r="H1273" s="69"/>
      <c r="I1273" s="96"/>
      <c r="J1273" s="96"/>
      <c r="M1273" s="57"/>
    </row>
    <row r="1274" spans="1:13" x14ac:dyDescent="0.2">
      <c r="B1274" s="58" t="s">
        <v>418</v>
      </c>
      <c r="C1274" s="96"/>
      <c r="D1274" s="96"/>
      <c r="E1274" s="96"/>
      <c r="G1274" s="69"/>
      <c r="H1274" s="69"/>
      <c r="I1274" s="96"/>
      <c r="J1274" s="96"/>
      <c r="M1274" s="57"/>
    </row>
    <row r="1275" spans="1:13" x14ac:dyDescent="0.2">
      <c r="A1275" s="60">
        <v>4106</v>
      </c>
      <c r="B1275" s="70" t="s">
        <v>1061</v>
      </c>
      <c r="C1275" s="69">
        <v>14432</v>
      </c>
      <c r="D1275" s="69">
        <v>0</v>
      </c>
      <c r="E1275" s="69">
        <v>0</v>
      </c>
      <c r="F1275" s="69">
        <v>0</v>
      </c>
      <c r="G1275" s="69">
        <v>0</v>
      </c>
      <c r="H1275" s="69">
        <f>ROUND(E1275*1.05,0)</f>
        <v>0</v>
      </c>
      <c r="I1275" s="69">
        <f>ROUND(H1275*1.05,0)</f>
        <v>0</v>
      </c>
      <c r="J1275" s="69">
        <f>ROUND(I1275*1.05,0)</f>
        <v>0</v>
      </c>
      <c r="M1275" s="57"/>
    </row>
    <row r="1276" spans="1:13" x14ac:dyDescent="0.2">
      <c r="A1276" s="60">
        <v>4209</v>
      </c>
      <c r="B1276" s="70" t="s">
        <v>1066</v>
      </c>
      <c r="C1276" s="69">
        <v>38</v>
      </c>
      <c r="D1276" s="69">
        <v>0</v>
      </c>
      <c r="E1276" s="69">
        <v>0</v>
      </c>
      <c r="F1276" s="69">
        <v>0</v>
      </c>
      <c r="G1276" s="69">
        <v>0</v>
      </c>
      <c r="H1276" s="69">
        <f>ROUND(E1276*1.05,0)</f>
        <v>0</v>
      </c>
      <c r="I1276" s="69">
        <f>ROUND(H1276*1.05,0)</f>
        <v>0</v>
      </c>
      <c r="J1276" s="69">
        <f>ROUND(I1276*1.05,0)</f>
        <v>0</v>
      </c>
      <c r="M1276" s="57"/>
    </row>
    <row r="1277" spans="1:13" s="9" customFormat="1" x14ac:dyDescent="0.2">
      <c r="A1277" s="101">
        <v>4204</v>
      </c>
      <c r="B1277" s="70" t="s">
        <v>4058</v>
      </c>
      <c r="C1277" s="96">
        <v>30085</v>
      </c>
      <c r="D1277" s="69">
        <v>34671</v>
      </c>
      <c r="E1277" s="69">
        <v>34671</v>
      </c>
      <c r="F1277" s="69">
        <v>0</v>
      </c>
      <c r="G1277" s="69">
        <f>F1277/$F$11*$G$11</f>
        <v>0</v>
      </c>
      <c r="H1277" s="69">
        <f>ROUND(E1277*1.08,0)</f>
        <v>37445</v>
      </c>
      <c r="I1277" s="69">
        <f>ROUND(H1277*1.08,0)</f>
        <v>40441</v>
      </c>
      <c r="J1277" s="69">
        <f>ROUND(I1277*1.08,0)</f>
        <v>43676</v>
      </c>
      <c r="M1277" s="57"/>
    </row>
    <row r="1278" spans="1:13" s="9" customFormat="1" x14ac:dyDescent="0.2">
      <c r="A1278" s="101">
        <v>4207</v>
      </c>
      <c r="B1278" s="71" t="s">
        <v>222</v>
      </c>
      <c r="C1278" s="105">
        <v>41069</v>
      </c>
      <c r="D1278" s="56">
        <v>38166</v>
      </c>
      <c r="E1278" s="56">
        <v>38166</v>
      </c>
      <c r="F1278" s="56">
        <v>0</v>
      </c>
      <c r="G1278" s="56">
        <f>F1278/$F$11*$G$11</f>
        <v>0</v>
      </c>
      <c r="H1278" s="56">
        <f>ROUND(E1278*1.08,0)</f>
        <v>41219</v>
      </c>
      <c r="I1278" s="56">
        <f>ROUND(H1278*1.08,0)</f>
        <v>44517</v>
      </c>
      <c r="J1278" s="56">
        <f>ROUND(I1278*1.08,0)</f>
        <v>48078</v>
      </c>
      <c r="M1278" s="57"/>
    </row>
    <row r="1279" spans="1:13" x14ac:dyDescent="0.2">
      <c r="B1279" s="58" t="s">
        <v>419</v>
      </c>
      <c r="C1279" s="72">
        <f t="shared" ref="C1279:J1279" si="171">SUM(C1275:C1278)</f>
        <v>85624</v>
      </c>
      <c r="D1279" s="72">
        <f t="shared" si="171"/>
        <v>72837</v>
      </c>
      <c r="E1279" s="72">
        <f t="shared" si="171"/>
        <v>72837</v>
      </c>
      <c r="F1279" s="72">
        <f t="shared" si="171"/>
        <v>0</v>
      </c>
      <c r="G1279" s="72">
        <f t="shared" si="171"/>
        <v>0</v>
      </c>
      <c r="H1279" s="72">
        <f t="shared" si="171"/>
        <v>78664</v>
      </c>
      <c r="I1279" s="72">
        <f t="shared" si="171"/>
        <v>84958</v>
      </c>
      <c r="J1279" s="72">
        <f t="shared" si="171"/>
        <v>91754</v>
      </c>
      <c r="M1279" s="57"/>
    </row>
    <row r="1280" spans="1:13" x14ac:dyDescent="0.2">
      <c r="B1280" s="58"/>
      <c r="C1280" s="72"/>
      <c r="D1280" s="72"/>
      <c r="E1280" s="72"/>
      <c r="F1280" s="72"/>
      <c r="G1280" s="72"/>
      <c r="H1280" s="72"/>
      <c r="I1280" s="72"/>
      <c r="J1280" s="72"/>
      <c r="M1280" s="57"/>
    </row>
    <row r="1281" spans="2:13" ht="13.5" thickBot="1" x14ac:dyDescent="0.25">
      <c r="B1281" s="65" t="s">
        <v>4033</v>
      </c>
      <c r="C1281" s="76">
        <f t="shared" ref="C1281:J1281" si="172">C1257+C1279</f>
        <v>3133488</v>
      </c>
      <c r="D1281" s="76">
        <f t="shared" si="172"/>
        <v>3499023</v>
      </c>
      <c r="E1281" s="76">
        <f t="shared" si="172"/>
        <v>5119023</v>
      </c>
      <c r="F1281" s="76">
        <f t="shared" si="172"/>
        <v>4476918</v>
      </c>
      <c r="G1281" s="76">
        <f t="shared" si="172"/>
        <v>5372301.5999999996</v>
      </c>
      <c r="H1281" s="76">
        <f t="shared" si="172"/>
        <v>6436916</v>
      </c>
      <c r="I1281" s="76">
        <f t="shared" si="172"/>
        <v>6850426</v>
      </c>
      <c r="J1281" s="76">
        <f t="shared" si="172"/>
        <v>7290927</v>
      </c>
      <c r="M1281" s="57"/>
    </row>
    <row r="1282" spans="2:13" ht="13.5" thickTop="1" x14ac:dyDescent="0.2">
      <c r="B1282" s="58"/>
      <c r="C1282" s="72"/>
      <c r="D1282" s="72"/>
      <c r="E1282" s="72"/>
      <c r="F1282" s="72"/>
      <c r="G1282" s="72"/>
      <c r="H1282" s="72"/>
      <c r="I1282" s="72"/>
      <c r="J1282" s="72"/>
      <c r="M1282" s="57"/>
    </row>
    <row r="1283" spans="2:13" ht="13.5" thickBot="1" x14ac:dyDescent="0.25">
      <c r="B1283" s="65" t="s">
        <v>4059</v>
      </c>
      <c r="C1283" s="77">
        <f t="shared" ref="C1283:J1283" si="173">C1214-C1281</f>
        <v>-3129643</v>
      </c>
      <c r="D1283" s="77">
        <f t="shared" si="173"/>
        <v>-2659023</v>
      </c>
      <c r="E1283" s="77">
        <f t="shared" si="173"/>
        <v>-3028023</v>
      </c>
      <c r="F1283" s="77">
        <f t="shared" si="173"/>
        <v>-2490918</v>
      </c>
      <c r="G1283" s="77">
        <f t="shared" si="173"/>
        <v>-3386301.5999999996</v>
      </c>
      <c r="H1283" s="77">
        <f t="shared" si="173"/>
        <v>-5686916</v>
      </c>
      <c r="I1283" s="77">
        <f t="shared" si="173"/>
        <v>-6060426</v>
      </c>
      <c r="J1283" s="77">
        <f t="shared" si="173"/>
        <v>-6490927</v>
      </c>
      <c r="M1283" s="57"/>
    </row>
    <row r="1284" spans="2:13" ht="13.5" thickTop="1" x14ac:dyDescent="0.2">
      <c r="B1284" s="58"/>
      <c r="C1284" s="78"/>
      <c r="D1284" s="78"/>
      <c r="E1284" s="78"/>
      <c r="F1284" s="24"/>
      <c r="G1284" s="69"/>
      <c r="H1284" s="69"/>
      <c r="I1284" s="78"/>
      <c r="J1284" s="78"/>
      <c r="M1284" s="57"/>
    </row>
    <row r="1285" spans="2:13" x14ac:dyDescent="0.2">
      <c r="C1285" s="117"/>
      <c r="F1285" s="24"/>
      <c r="G1285" s="69"/>
      <c r="H1285" s="69"/>
      <c r="M1285" s="57"/>
    </row>
    <row r="1286" spans="2:13" x14ac:dyDescent="0.2">
      <c r="C1286" s="117"/>
      <c r="F1286" s="24"/>
      <c r="G1286" s="69"/>
      <c r="H1286" s="69"/>
      <c r="M1286" s="57"/>
    </row>
    <row r="1287" spans="2:13" x14ac:dyDescent="0.2">
      <c r="C1287" s="117"/>
      <c r="F1287" s="24"/>
      <c r="G1287" s="69"/>
      <c r="H1287" s="69"/>
      <c r="M1287" s="57"/>
    </row>
    <row r="1288" spans="2:13" x14ac:dyDescent="0.2">
      <c r="C1288" s="117"/>
      <c r="F1288" s="24"/>
      <c r="G1288" s="69"/>
      <c r="H1288" s="69"/>
      <c r="M1288" s="57"/>
    </row>
    <row r="1289" spans="2:13" x14ac:dyDescent="0.2">
      <c r="C1289" s="117"/>
      <c r="F1289" s="24"/>
      <c r="G1289" s="69"/>
      <c r="H1289" s="69"/>
      <c r="M1289" s="57"/>
    </row>
    <row r="1290" spans="2:13" x14ac:dyDescent="0.2">
      <c r="C1290" s="117"/>
      <c r="F1290" s="24"/>
      <c r="G1290" s="69"/>
      <c r="H1290" s="69"/>
      <c r="M1290" s="57"/>
    </row>
    <row r="1291" spans="2:13" x14ac:dyDescent="0.2">
      <c r="C1291" s="117"/>
      <c r="F1291" s="24"/>
      <c r="G1291" s="69"/>
      <c r="H1291" s="69"/>
      <c r="M1291" s="57"/>
    </row>
    <row r="1292" spans="2:13" x14ac:dyDescent="0.2">
      <c r="C1292" s="117"/>
      <c r="F1292" s="24"/>
      <c r="G1292" s="69"/>
      <c r="H1292" s="69"/>
      <c r="M1292" s="57"/>
    </row>
    <row r="1293" spans="2:13" x14ac:dyDescent="0.2">
      <c r="C1293" s="117"/>
      <c r="F1293" s="24"/>
      <c r="G1293" s="69"/>
      <c r="H1293" s="69"/>
      <c r="M1293" s="57"/>
    </row>
    <row r="1294" spans="2:13" x14ac:dyDescent="0.2">
      <c r="C1294" s="117"/>
      <c r="F1294" s="24"/>
      <c r="G1294" s="69"/>
      <c r="H1294" s="69"/>
      <c r="M1294" s="57"/>
    </row>
    <row r="1295" spans="2:13" x14ac:dyDescent="0.2">
      <c r="C1295" s="117"/>
      <c r="F1295" s="24"/>
      <c r="G1295" s="69"/>
      <c r="H1295" s="69"/>
      <c r="M1295" s="57"/>
    </row>
    <row r="1296" spans="2:13" x14ac:dyDescent="0.2">
      <c r="C1296" s="117"/>
      <c r="F1296" s="24"/>
      <c r="G1296" s="69"/>
      <c r="H1296" s="69"/>
      <c r="M1296" s="57"/>
    </row>
    <row r="1297" spans="3:13" x14ac:dyDescent="0.2">
      <c r="C1297" s="117"/>
      <c r="F1297" s="24"/>
      <c r="G1297" s="69"/>
      <c r="H1297" s="69"/>
      <c r="M1297" s="57"/>
    </row>
    <row r="1298" spans="3:13" x14ac:dyDescent="0.2">
      <c r="C1298" s="117"/>
      <c r="F1298" s="24"/>
      <c r="G1298" s="69"/>
      <c r="H1298" s="69"/>
      <c r="M1298" s="57"/>
    </row>
    <row r="1299" spans="3:13" x14ac:dyDescent="0.2">
      <c r="C1299" s="117"/>
      <c r="F1299" s="24"/>
      <c r="G1299" s="69"/>
      <c r="H1299" s="69"/>
      <c r="M1299" s="57"/>
    </row>
    <row r="1300" spans="3:13" x14ac:dyDescent="0.2">
      <c r="C1300" s="117"/>
      <c r="F1300" s="24"/>
      <c r="G1300" s="69"/>
      <c r="H1300" s="69"/>
      <c r="M1300" s="57"/>
    </row>
    <row r="1301" spans="3:13" x14ac:dyDescent="0.2">
      <c r="C1301" s="117"/>
      <c r="F1301" s="24"/>
      <c r="G1301" s="69"/>
      <c r="H1301" s="69"/>
      <c r="M1301" s="57"/>
    </row>
    <row r="1302" spans="3:13" x14ac:dyDescent="0.2">
      <c r="C1302" s="117"/>
      <c r="F1302" s="24"/>
      <c r="G1302" s="69"/>
      <c r="H1302" s="69"/>
      <c r="M1302" s="57"/>
    </row>
    <row r="1303" spans="3:13" x14ac:dyDescent="0.2">
      <c r="C1303" s="117"/>
      <c r="F1303" s="24"/>
      <c r="G1303" s="69"/>
      <c r="H1303" s="69"/>
      <c r="M1303" s="57"/>
    </row>
    <row r="1304" spans="3:13" x14ac:dyDescent="0.2">
      <c r="C1304" s="117"/>
      <c r="F1304" s="24"/>
      <c r="G1304" s="69"/>
      <c r="H1304" s="69"/>
      <c r="M1304" s="57"/>
    </row>
    <row r="1305" spans="3:13" x14ac:dyDescent="0.2">
      <c r="C1305" s="117"/>
      <c r="F1305" s="24"/>
      <c r="G1305" s="69"/>
      <c r="H1305" s="69"/>
      <c r="M1305" s="57"/>
    </row>
    <row r="1306" spans="3:13" x14ac:dyDescent="0.2">
      <c r="C1306" s="117"/>
      <c r="F1306" s="24"/>
      <c r="G1306" s="69"/>
      <c r="H1306" s="69"/>
      <c r="M1306" s="57"/>
    </row>
    <row r="1307" spans="3:13" x14ac:dyDescent="0.2">
      <c r="C1307" s="117"/>
      <c r="F1307" s="24"/>
      <c r="G1307" s="69"/>
      <c r="H1307" s="69"/>
      <c r="M1307" s="57"/>
    </row>
    <row r="1308" spans="3:13" x14ac:dyDescent="0.2">
      <c r="C1308" s="117"/>
      <c r="F1308" s="24"/>
      <c r="G1308" s="69"/>
      <c r="H1308" s="69"/>
      <c r="M1308" s="57"/>
    </row>
    <row r="1309" spans="3:13" x14ac:dyDescent="0.2">
      <c r="C1309" s="117"/>
      <c r="F1309" s="24"/>
      <c r="G1309" s="69"/>
      <c r="H1309" s="69"/>
      <c r="M1309" s="57"/>
    </row>
    <row r="1310" spans="3:13" x14ac:dyDescent="0.2">
      <c r="C1310" s="117"/>
      <c r="F1310" s="24"/>
      <c r="G1310" s="69"/>
      <c r="H1310" s="69"/>
      <c r="M1310" s="57"/>
    </row>
    <row r="1311" spans="3:13" x14ac:dyDescent="0.2">
      <c r="C1311" s="117"/>
      <c r="F1311" s="24"/>
      <c r="G1311" s="69"/>
      <c r="H1311" s="69"/>
      <c r="M1311" s="57"/>
    </row>
    <row r="1312" spans="3:13" x14ac:dyDescent="0.2">
      <c r="C1312" s="117"/>
      <c r="F1312" s="24"/>
      <c r="G1312" s="69"/>
      <c r="H1312" s="69"/>
      <c r="M1312" s="57"/>
    </row>
    <row r="1313" spans="3:13" x14ac:dyDescent="0.2">
      <c r="C1313" s="117"/>
      <c r="F1313" s="24"/>
      <c r="G1313" s="69"/>
      <c r="H1313" s="69"/>
      <c r="M1313" s="57"/>
    </row>
    <row r="1314" spans="3:13" x14ac:dyDescent="0.2">
      <c r="C1314" s="117"/>
      <c r="F1314" s="24"/>
      <c r="G1314" s="69"/>
      <c r="H1314" s="69"/>
      <c r="M1314" s="57"/>
    </row>
    <row r="1315" spans="3:13" x14ac:dyDescent="0.2">
      <c r="C1315" s="117"/>
      <c r="F1315" s="24"/>
      <c r="G1315" s="69"/>
      <c r="H1315" s="69"/>
      <c r="M1315" s="57"/>
    </row>
    <row r="1316" spans="3:13" x14ac:dyDescent="0.2">
      <c r="C1316" s="117"/>
      <c r="F1316" s="24"/>
      <c r="G1316" s="69"/>
      <c r="H1316" s="69"/>
      <c r="M1316" s="57"/>
    </row>
    <row r="1317" spans="3:13" x14ac:dyDescent="0.2">
      <c r="C1317" s="117"/>
      <c r="F1317" s="24"/>
      <c r="G1317" s="69"/>
      <c r="H1317" s="69"/>
      <c r="M1317" s="57"/>
    </row>
    <row r="1318" spans="3:13" x14ac:dyDescent="0.2">
      <c r="C1318" s="117"/>
      <c r="F1318" s="24"/>
      <c r="G1318" s="69"/>
      <c r="H1318" s="69"/>
      <c r="M1318" s="57"/>
    </row>
    <row r="1319" spans="3:13" x14ac:dyDescent="0.2">
      <c r="C1319" s="117"/>
      <c r="F1319" s="24"/>
      <c r="G1319" s="69"/>
      <c r="H1319" s="69"/>
      <c r="M1319" s="57"/>
    </row>
    <row r="1320" spans="3:13" x14ac:dyDescent="0.2">
      <c r="C1320" s="117"/>
      <c r="F1320" s="24"/>
      <c r="G1320" s="69"/>
      <c r="H1320" s="69"/>
      <c r="M1320" s="57"/>
    </row>
    <row r="1321" spans="3:13" x14ac:dyDescent="0.2">
      <c r="C1321" s="117"/>
      <c r="F1321" s="24"/>
      <c r="G1321" s="69"/>
      <c r="H1321" s="69"/>
      <c r="M1321" s="57"/>
    </row>
    <row r="1322" spans="3:13" x14ac:dyDescent="0.2">
      <c r="C1322" s="117"/>
      <c r="F1322" s="24"/>
      <c r="G1322" s="69"/>
      <c r="H1322" s="69"/>
      <c r="M1322" s="57"/>
    </row>
    <row r="1323" spans="3:13" x14ac:dyDescent="0.2">
      <c r="C1323" s="117"/>
      <c r="F1323" s="24"/>
      <c r="G1323" s="69"/>
      <c r="H1323" s="69"/>
      <c r="M1323" s="57"/>
    </row>
    <row r="1324" spans="3:13" x14ac:dyDescent="0.2">
      <c r="C1324" s="117"/>
      <c r="F1324" s="24"/>
      <c r="G1324" s="69"/>
      <c r="H1324" s="69"/>
      <c r="M1324" s="57"/>
    </row>
    <row r="1325" spans="3:13" x14ac:dyDescent="0.2">
      <c r="C1325" s="117"/>
      <c r="F1325" s="24"/>
      <c r="G1325" s="69"/>
      <c r="H1325" s="69"/>
      <c r="M1325" s="57"/>
    </row>
    <row r="1326" spans="3:13" x14ac:dyDescent="0.2">
      <c r="C1326" s="117"/>
      <c r="F1326" s="24"/>
      <c r="G1326" s="69"/>
      <c r="H1326" s="69"/>
      <c r="M1326" s="57"/>
    </row>
    <row r="1327" spans="3:13" x14ac:dyDescent="0.2">
      <c r="C1327" s="117"/>
      <c r="F1327" s="24"/>
      <c r="G1327" s="69"/>
      <c r="H1327" s="69"/>
      <c r="M1327" s="57"/>
    </row>
    <row r="1328" spans="3:13" x14ac:dyDescent="0.2">
      <c r="C1328" s="117"/>
      <c r="F1328" s="24"/>
      <c r="G1328" s="69"/>
      <c r="H1328" s="69"/>
      <c r="M1328" s="57"/>
    </row>
    <row r="1329" spans="1:13" x14ac:dyDescent="0.2">
      <c r="C1329" s="117"/>
      <c r="F1329" s="24"/>
      <c r="G1329" s="69"/>
      <c r="H1329" s="69"/>
      <c r="M1329" s="57"/>
    </row>
    <row r="1330" spans="1:13" x14ac:dyDescent="0.2">
      <c r="C1330" s="117"/>
      <c r="F1330" s="24"/>
      <c r="G1330" s="69"/>
      <c r="H1330" s="69"/>
      <c r="M1330" s="57"/>
    </row>
    <row r="1331" spans="1:13" x14ac:dyDescent="0.2">
      <c r="C1331" s="117"/>
      <c r="F1331" s="24"/>
      <c r="G1331" s="69"/>
      <c r="H1331" s="69"/>
      <c r="M1331" s="57"/>
    </row>
    <row r="1332" spans="1:13" x14ac:dyDescent="0.2">
      <c r="C1332" s="117"/>
      <c r="F1332" s="24"/>
      <c r="G1332" s="69"/>
      <c r="H1332" s="69"/>
      <c r="M1332" s="57"/>
    </row>
    <row r="1333" spans="1:13" x14ac:dyDescent="0.2">
      <c r="C1333" s="117"/>
      <c r="F1333" s="24"/>
      <c r="G1333" s="69"/>
      <c r="H1333" s="69"/>
      <c r="M1333" s="57"/>
    </row>
    <row r="1334" spans="1:13" x14ac:dyDescent="0.2">
      <c r="C1334" s="117"/>
      <c r="F1334" s="24"/>
      <c r="G1334" s="69"/>
      <c r="H1334" s="69"/>
      <c r="M1334" s="57"/>
    </row>
    <row r="1335" spans="1:13" x14ac:dyDescent="0.2">
      <c r="C1335" s="117"/>
      <c r="F1335" s="24"/>
      <c r="G1335" s="69"/>
      <c r="H1335" s="69"/>
      <c r="M1335" s="57"/>
    </row>
    <row r="1336" spans="1:13" x14ac:dyDescent="0.2">
      <c r="C1336" s="117"/>
      <c r="F1336" s="24"/>
      <c r="G1336" s="69"/>
      <c r="H1336" s="69"/>
      <c r="M1336" s="57"/>
    </row>
    <row r="1337" spans="1:13" x14ac:dyDescent="0.2">
      <c r="C1337" s="117"/>
      <c r="F1337" s="24"/>
      <c r="G1337" s="69"/>
      <c r="H1337" s="69"/>
      <c r="M1337" s="57"/>
    </row>
    <row r="1338" spans="1:13" x14ac:dyDescent="0.2">
      <c r="C1338" s="117"/>
      <c r="F1338" s="24"/>
      <c r="G1338" s="69"/>
      <c r="H1338" s="69"/>
      <c r="M1338" s="57"/>
    </row>
    <row r="1339" spans="1:13" x14ac:dyDescent="0.2">
      <c r="C1339" s="117"/>
      <c r="F1339" s="24"/>
      <c r="G1339" s="69"/>
      <c r="H1339" s="69"/>
      <c r="M1339" s="57"/>
    </row>
    <row r="1340" spans="1:13" x14ac:dyDescent="0.2">
      <c r="C1340" s="117"/>
      <c r="F1340" s="24"/>
      <c r="G1340" s="69"/>
      <c r="H1340" s="69"/>
      <c r="M1340" s="57"/>
    </row>
    <row r="1341" spans="1:13" x14ac:dyDescent="0.2">
      <c r="C1341" s="117"/>
      <c r="F1341" s="24"/>
      <c r="G1341" s="69"/>
      <c r="H1341" s="69"/>
      <c r="M1341" s="57"/>
    </row>
    <row r="1342" spans="1:13" x14ac:dyDescent="0.2">
      <c r="F1342" s="24"/>
      <c r="G1342" s="69"/>
      <c r="H1342" s="69"/>
      <c r="M1342" s="57"/>
    </row>
    <row r="1343" spans="1:13" x14ac:dyDescent="0.2">
      <c r="A1343" s="6"/>
      <c r="B1343" s="6"/>
      <c r="C1343" s="6"/>
      <c r="D1343" s="6"/>
      <c r="E1343" s="6"/>
      <c r="F1343" s="24"/>
      <c r="G1343" s="69"/>
      <c r="H1343" s="69"/>
      <c r="I1343" s="6"/>
      <c r="J1343" s="6"/>
      <c r="M1343" s="57"/>
    </row>
    <row r="1344" spans="1:13" x14ac:dyDescent="0.2">
      <c r="A1344" s="6"/>
      <c r="B1344" s="6"/>
      <c r="C1344" s="6"/>
      <c r="D1344" s="6"/>
      <c r="E1344" s="6"/>
      <c r="F1344" s="24"/>
      <c r="G1344" s="69"/>
      <c r="H1344" s="69"/>
      <c r="I1344" s="6"/>
      <c r="J1344" s="6"/>
      <c r="M1344" s="57"/>
    </row>
    <row r="1345" spans="1:13" x14ac:dyDescent="0.2">
      <c r="A1345" s="6"/>
      <c r="B1345" s="6"/>
      <c r="C1345" s="6"/>
      <c r="D1345" s="6"/>
      <c r="E1345" s="6"/>
      <c r="F1345" s="24"/>
      <c r="G1345" s="69"/>
      <c r="H1345" s="69"/>
      <c r="I1345" s="6"/>
      <c r="J1345" s="6"/>
      <c r="M1345" s="57"/>
    </row>
    <row r="1346" spans="1:13" x14ac:dyDescent="0.2">
      <c r="A1346" s="6"/>
      <c r="B1346" s="6"/>
      <c r="C1346" s="6"/>
      <c r="D1346" s="6"/>
      <c r="E1346" s="6"/>
      <c r="F1346" s="24"/>
      <c r="G1346" s="69"/>
      <c r="H1346" s="69"/>
      <c r="I1346" s="6"/>
      <c r="J1346" s="6"/>
      <c r="M1346" s="57"/>
    </row>
    <row r="1347" spans="1:13" x14ac:dyDescent="0.2">
      <c r="A1347" s="6"/>
      <c r="B1347" s="6"/>
      <c r="C1347" s="6"/>
      <c r="D1347" s="6"/>
      <c r="E1347" s="6"/>
      <c r="F1347" s="24"/>
      <c r="G1347" s="69"/>
      <c r="H1347" s="69"/>
      <c r="I1347" s="6"/>
      <c r="J1347" s="6"/>
      <c r="M1347" s="57"/>
    </row>
    <row r="1348" spans="1:13" ht="15.75" x14ac:dyDescent="0.25">
      <c r="A1348" s="98">
        <v>1200</v>
      </c>
      <c r="B1348" s="118" t="s">
        <v>223</v>
      </c>
      <c r="G1348" s="69"/>
      <c r="H1348" s="69"/>
      <c r="M1348" s="57"/>
    </row>
    <row r="1349" spans="1:13" ht="15.75" x14ac:dyDescent="0.25">
      <c r="A1349" s="98"/>
      <c r="B1349" s="118"/>
      <c r="G1349" s="69"/>
      <c r="H1349" s="69"/>
      <c r="M1349" s="57"/>
    </row>
    <row r="1350" spans="1:13" x14ac:dyDescent="0.2">
      <c r="G1350" s="69"/>
      <c r="H1350" s="69"/>
      <c r="M1350" s="57"/>
    </row>
    <row r="1351" spans="1:13" ht="15" x14ac:dyDescent="0.25">
      <c r="A1351" s="91">
        <v>1210</v>
      </c>
      <c r="B1351" s="92" t="s">
        <v>24</v>
      </c>
      <c r="G1351" s="69"/>
      <c r="H1351" s="69"/>
      <c r="M1351" s="57"/>
    </row>
    <row r="1352" spans="1:13" x14ac:dyDescent="0.2">
      <c r="G1352" s="69"/>
      <c r="H1352" s="69"/>
      <c r="M1352" s="57"/>
    </row>
    <row r="1353" spans="1:13" x14ac:dyDescent="0.2">
      <c r="B1353" s="50" t="s">
        <v>61</v>
      </c>
      <c r="C1353" s="50"/>
      <c r="D1353" s="50"/>
      <c r="E1353" s="50"/>
      <c r="G1353" s="69"/>
      <c r="H1353" s="69"/>
      <c r="M1353" s="57"/>
    </row>
    <row r="1354" spans="1:13" x14ac:dyDescent="0.2">
      <c r="B1354" s="50"/>
      <c r="C1354" s="50"/>
      <c r="D1354" s="50"/>
      <c r="E1354" s="50"/>
      <c r="G1354" s="69"/>
      <c r="H1354" s="69"/>
      <c r="M1354" s="57"/>
    </row>
    <row r="1355" spans="1:13" s="24" customFormat="1" ht="11.25" x14ac:dyDescent="0.2">
      <c r="A1355" s="51"/>
      <c r="B1355" s="58" t="s">
        <v>413</v>
      </c>
      <c r="C1355" s="53"/>
      <c r="D1355" s="53"/>
      <c r="E1355" s="53"/>
      <c r="G1355" s="69"/>
      <c r="H1355" s="69"/>
      <c r="I1355" s="54"/>
      <c r="J1355" s="54"/>
      <c r="M1355" s="57"/>
    </row>
    <row r="1356" spans="1:13" s="24" customFormat="1" ht="11.25" x14ac:dyDescent="0.2">
      <c r="A1356" s="51"/>
      <c r="B1356" s="55" t="s">
        <v>224</v>
      </c>
      <c r="C1356" s="56">
        <v>0</v>
      </c>
      <c r="D1356" s="56">
        <v>0</v>
      </c>
      <c r="E1356" s="56">
        <v>0</v>
      </c>
      <c r="F1356" s="56">
        <v>0</v>
      </c>
      <c r="G1356" s="56">
        <f>F1356/$F$11*$G$11</f>
        <v>0</v>
      </c>
      <c r="H1356" s="56">
        <v>0</v>
      </c>
      <c r="I1356" s="56">
        <v>0</v>
      </c>
      <c r="J1356" s="56">
        <f>ROUND(I1356*1.05,0)</f>
        <v>0</v>
      </c>
      <c r="M1356" s="57"/>
    </row>
    <row r="1357" spans="1:13" s="24" customFormat="1" ht="11.25" x14ac:dyDescent="0.2">
      <c r="A1357" s="51"/>
      <c r="B1357" s="58" t="s">
        <v>414</v>
      </c>
      <c r="C1357" s="59">
        <f t="shared" ref="C1357:J1357" si="174">SUM(C1356)</f>
        <v>0</v>
      </c>
      <c r="D1357" s="59">
        <f t="shared" si="174"/>
        <v>0</v>
      </c>
      <c r="E1357" s="59">
        <f t="shared" si="174"/>
        <v>0</v>
      </c>
      <c r="F1357" s="59">
        <f t="shared" si="174"/>
        <v>0</v>
      </c>
      <c r="G1357" s="59">
        <f t="shared" si="174"/>
        <v>0</v>
      </c>
      <c r="H1357" s="59">
        <f t="shared" si="174"/>
        <v>0</v>
      </c>
      <c r="I1357" s="59">
        <f t="shared" si="174"/>
        <v>0</v>
      </c>
      <c r="J1357" s="59">
        <f t="shared" si="174"/>
        <v>0</v>
      </c>
      <c r="M1357" s="57"/>
    </row>
    <row r="1358" spans="1:13" x14ac:dyDescent="0.2">
      <c r="A1358" s="60"/>
      <c r="B1358" s="58"/>
      <c r="C1358" s="99"/>
      <c r="D1358" s="99"/>
      <c r="E1358" s="99"/>
      <c r="F1358" s="99"/>
      <c r="G1358" s="99"/>
      <c r="H1358" s="99"/>
      <c r="I1358" s="99"/>
      <c r="J1358" s="99"/>
      <c r="M1358" s="57"/>
    </row>
    <row r="1359" spans="1:13" ht="13.5" thickBot="1" x14ac:dyDescent="0.25">
      <c r="B1359" s="65" t="s">
        <v>4043</v>
      </c>
      <c r="C1359" s="66">
        <f t="shared" ref="C1359:J1359" si="175">+C1357</f>
        <v>0</v>
      </c>
      <c r="D1359" s="66">
        <f t="shared" si="175"/>
        <v>0</v>
      </c>
      <c r="E1359" s="66">
        <f t="shared" si="175"/>
        <v>0</v>
      </c>
      <c r="F1359" s="66">
        <f t="shared" si="175"/>
        <v>0</v>
      </c>
      <c r="G1359" s="66">
        <f t="shared" si="175"/>
        <v>0</v>
      </c>
      <c r="H1359" s="66">
        <f t="shared" si="175"/>
        <v>0</v>
      </c>
      <c r="I1359" s="66">
        <f t="shared" si="175"/>
        <v>0</v>
      </c>
      <c r="J1359" s="66">
        <f t="shared" si="175"/>
        <v>0</v>
      </c>
      <c r="M1359" s="57"/>
    </row>
    <row r="1360" spans="1:13" ht="13.5" thickTop="1" x14ac:dyDescent="0.2">
      <c r="B1360" s="68"/>
      <c r="C1360" s="68"/>
      <c r="D1360" s="68"/>
      <c r="E1360" s="68"/>
      <c r="G1360" s="69"/>
      <c r="H1360" s="69"/>
      <c r="I1360" s="68"/>
      <c r="J1360" s="68"/>
      <c r="M1360" s="57"/>
    </row>
    <row r="1361" spans="1:13" x14ac:dyDescent="0.2">
      <c r="B1361" s="50" t="s">
        <v>4018</v>
      </c>
      <c r="C1361" s="50"/>
      <c r="D1361" s="50"/>
      <c r="E1361" s="50"/>
      <c r="G1361" s="69"/>
      <c r="H1361" s="69"/>
      <c r="I1361" s="50"/>
      <c r="J1361" s="50"/>
      <c r="M1361" s="57"/>
    </row>
    <row r="1362" spans="1:13" x14ac:dyDescent="0.2">
      <c r="B1362" s="50"/>
      <c r="C1362" s="50"/>
      <c r="D1362" s="50"/>
      <c r="E1362" s="50"/>
      <c r="G1362" s="69"/>
      <c r="H1362" s="69"/>
      <c r="I1362" s="50"/>
      <c r="J1362" s="50"/>
      <c r="M1362" s="57"/>
    </row>
    <row r="1363" spans="1:13" x14ac:dyDescent="0.2">
      <c r="B1363" s="58" t="s">
        <v>4019</v>
      </c>
      <c r="C1363" s="69"/>
      <c r="D1363" s="69"/>
      <c r="E1363" s="69"/>
      <c r="G1363" s="69"/>
      <c r="H1363" s="69"/>
      <c r="I1363" s="69"/>
      <c r="J1363" s="69"/>
      <c r="M1363" s="57"/>
    </row>
    <row r="1364" spans="1:13" x14ac:dyDescent="0.2">
      <c r="A1364" s="60">
        <v>1001</v>
      </c>
      <c r="B1364" s="70" t="s">
        <v>472</v>
      </c>
      <c r="C1364" s="69">
        <v>230598</v>
      </c>
      <c r="D1364" s="69">
        <v>199307</v>
      </c>
      <c r="E1364" s="69">
        <v>194865</v>
      </c>
      <c r="F1364" s="69">
        <v>146208</v>
      </c>
      <c r="G1364" s="69">
        <f t="shared" ref="G1364:G1376" si="176">F1364/$F$11*$G$11</f>
        <v>175449.59999999998</v>
      </c>
      <c r="H1364" s="69">
        <f>[3]Salary_Bdgt!$H$178</f>
        <v>745355</v>
      </c>
      <c r="I1364" s="69">
        <f t="shared" ref="I1364:J1376" si="177">ROUND(H1364*1.08,0)</f>
        <v>804983</v>
      </c>
      <c r="J1364" s="69">
        <f t="shared" si="177"/>
        <v>869382</v>
      </c>
      <c r="M1364" s="57"/>
    </row>
    <row r="1365" spans="1:13" x14ac:dyDescent="0.2">
      <c r="A1365" s="60">
        <v>1005</v>
      </c>
      <c r="B1365" s="70" t="s">
        <v>473</v>
      </c>
      <c r="C1365" s="69">
        <v>13669</v>
      </c>
      <c r="D1365" s="69">
        <v>7659</v>
      </c>
      <c r="E1365" s="69">
        <f>+D1365+4442</f>
        <v>12101</v>
      </c>
      <c r="F1365" s="69">
        <v>12673</v>
      </c>
      <c r="G1365" s="69">
        <f t="shared" si="176"/>
        <v>15207.599999999999</v>
      </c>
      <c r="H1365" s="69">
        <f>+[3]Salary_Bdgt!$L$178</f>
        <v>99259</v>
      </c>
      <c r="I1365" s="69">
        <f t="shared" si="177"/>
        <v>107200</v>
      </c>
      <c r="J1365" s="69">
        <f t="shared" si="177"/>
        <v>115776</v>
      </c>
      <c r="M1365" s="57"/>
    </row>
    <row r="1366" spans="1:13" x14ac:dyDescent="0.2">
      <c r="A1366" s="60">
        <v>1006</v>
      </c>
      <c r="B1366" s="70" t="s">
        <v>474</v>
      </c>
      <c r="C1366" s="69">
        <v>34293</v>
      </c>
      <c r="D1366" s="69">
        <v>27433</v>
      </c>
      <c r="E1366" s="69">
        <f>+D1366</f>
        <v>27433</v>
      </c>
      <c r="F1366" s="69">
        <v>26158</v>
      </c>
      <c r="G1366" s="69">
        <f t="shared" si="176"/>
        <v>31389.600000000002</v>
      </c>
      <c r="H1366" s="69">
        <f>+[3]Salary_Bdgt!$N$178</f>
        <v>96859</v>
      </c>
      <c r="I1366" s="69">
        <f t="shared" si="177"/>
        <v>104608</v>
      </c>
      <c r="J1366" s="69">
        <f t="shared" si="177"/>
        <v>112977</v>
      </c>
      <c r="M1366" s="57"/>
    </row>
    <row r="1367" spans="1:13" x14ac:dyDescent="0.2">
      <c r="A1367" s="60">
        <v>1007</v>
      </c>
      <c r="B1367" s="70" t="s">
        <v>481</v>
      </c>
      <c r="C1367" s="69">
        <v>1996</v>
      </c>
      <c r="D1367" s="69">
        <v>2489</v>
      </c>
      <c r="E1367" s="69">
        <f>+D1367</f>
        <v>2489</v>
      </c>
      <c r="F1367" s="69">
        <v>1248</v>
      </c>
      <c r="G1367" s="69">
        <f t="shared" si="176"/>
        <v>1497.6</v>
      </c>
      <c r="H1367" s="69">
        <f>+[3]Salary_Bdgt!$I$178</f>
        <v>8896</v>
      </c>
      <c r="I1367" s="69">
        <f t="shared" si="177"/>
        <v>9608</v>
      </c>
      <c r="J1367" s="69">
        <f t="shared" si="177"/>
        <v>10377</v>
      </c>
      <c r="M1367" s="57"/>
    </row>
    <row r="1368" spans="1:13" x14ac:dyDescent="0.2">
      <c r="A1368" s="60">
        <v>1009</v>
      </c>
      <c r="B1368" s="70" t="s">
        <v>482</v>
      </c>
      <c r="C1368" s="69">
        <v>55</v>
      </c>
      <c r="D1368" s="69">
        <f>[2]Sal_RIA!$M$138</f>
        <v>77</v>
      </c>
      <c r="E1368" s="69">
        <f>+D1368</f>
        <v>77</v>
      </c>
      <c r="F1368" s="69">
        <v>38</v>
      </c>
      <c r="G1368" s="69">
        <f t="shared" si="176"/>
        <v>45.599999999999994</v>
      </c>
      <c r="H1368" s="69">
        <f>+[3]Salary_Bdgt!$M$178</f>
        <v>270</v>
      </c>
      <c r="I1368" s="69">
        <f t="shared" si="177"/>
        <v>292</v>
      </c>
      <c r="J1368" s="69">
        <f t="shared" si="177"/>
        <v>315</v>
      </c>
      <c r="M1368" s="57"/>
    </row>
    <row r="1369" spans="1:13" x14ac:dyDescent="0.2">
      <c r="A1369" s="60">
        <v>1010</v>
      </c>
      <c r="B1369" s="70" t="s">
        <v>28</v>
      </c>
      <c r="C1369" s="69">
        <v>22964</v>
      </c>
      <c r="D1369" s="69">
        <v>16609</v>
      </c>
      <c r="E1369" s="69">
        <f>+D1369</f>
        <v>16609</v>
      </c>
      <c r="F1369" s="69">
        <v>12709</v>
      </c>
      <c r="G1369" s="69">
        <f t="shared" si="176"/>
        <v>15250.800000000001</v>
      </c>
      <c r="H1369" s="69">
        <f>+[3]Salary_Bdgt!$Q$178</f>
        <v>62113</v>
      </c>
      <c r="I1369" s="69">
        <f t="shared" si="177"/>
        <v>67082</v>
      </c>
      <c r="J1369" s="69">
        <f t="shared" si="177"/>
        <v>72449</v>
      </c>
      <c r="M1369" s="57"/>
    </row>
    <row r="1370" spans="1:13" x14ac:dyDescent="0.2">
      <c r="A1370" s="60">
        <v>1011</v>
      </c>
      <c r="B1370" s="70" t="s">
        <v>4045</v>
      </c>
      <c r="C1370" s="69">
        <v>7128</v>
      </c>
      <c r="D1370" s="69">
        <v>0</v>
      </c>
      <c r="E1370" s="69">
        <f>+D1370</f>
        <v>0</v>
      </c>
      <c r="F1370" s="69">
        <v>0</v>
      </c>
      <c r="G1370" s="69">
        <f t="shared" si="176"/>
        <v>0</v>
      </c>
      <c r="H1370" s="69">
        <f>+[3]Salary_Bdgt!$U$178</f>
        <v>14878</v>
      </c>
      <c r="I1370" s="69">
        <f t="shared" si="177"/>
        <v>16068</v>
      </c>
      <c r="J1370" s="69">
        <f t="shared" si="177"/>
        <v>17353</v>
      </c>
      <c r="M1370" s="57"/>
    </row>
    <row r="1371" spans="1:13" x14ac:dyDescent="0.2">
      <c r="A1371" s="60">
        <v>1014</v>
      </c>
      <c r="B1371" s="70" t="s">
        <v>36</v>
      </c>
      <c r="C1371" s="69">
        <v>0</v>
      </c>
      <c r="D1371" s="69">
        <v>0</v>
      </c>
      <c r="E1371" s="69">
        <v>0</v>
      </c>
      <c r="F1371" s="69">
        <v>0</v>
      </c>
      <c r="G1371" s="69">
        <f t="shared" si="176"/>
        <v>0</v>
      </c>
      <c r="H1371" s="69">
        <f>+[3]Salary_Bdgt!$S$178</f>
        <v>6402</v>
      </c>
      <c r="I1371" s="69">
        <f t="shared" si="177"/>
        <v>6914</v>
      </c>
      <c r="J1371" s="69">
        <f t="shared" si="177"/>
        <v>7467</v>
      </c>
      <c r="M1371" s="57"/>
    </row>
    <row r="1372" spans="1:13" x14ac:dyDescent="0.2">
      <c r="A1372" s="60">
        <v>1015</v>
      </c>
      <c r="B1372" s="70" t="s">
        <v>445</v>
      </c>
      <c r="C1372" s="69">
        <v>0</v>
      </c>
      <c r="D1372" s="69">
        <v>0</v>
      </c>
      <c r="E1372" s="69">
        <f>+D1372</f>
        <v>0</v>
      </c>
      <c r="F1372" s="69">
        <v>0</v>
      </c>
      <c r="G1372" s="69">
        <f t="shared" si="176"/>
        <v>0</v>
      </c>
      <c r="H1372" s="69">
        <f>+[3]Salary_Bdgt!$O$178+[3]Salary_Bdgt!$P$178+[3]Salary_Bdgt!$W$178</f>
        <v>0</v>
      </c>
      <c r="I1372" s="69">
        <f t="shared" si="177"/>
        <v>0</v>
      </c>
      <c r="J1372" s="69">
        <f t="shared" si="177"/>
        <v>0</v>
      </c>
      <c r="M1372" s="57"/>
    </row>
    <row r="1373" spans="1:13" x14ac:dyDescent="0.2">
      <c r="A1373" s="60">
        <v>1016</v>
      </c>
      <c r="B1373" s="70" t="s">
        <v>475</v>
      </c>
      <c r="C1373" s="69">
        <v>0</v>
      </c>
      <c r="D1373" s="69">
        <v>8554</v>
      </c>
      <c r="E1373" s="69">
        <f>+D1373</f>
        <v>8554</v>
      </c>
      <c r="F1373" s="69">
        <f>6480+2588</f>
        <v>9068</v>
      </c>
      <c r="G1373" s="69">
        <f t="shared" si="176"/>
        <v>10881.599999999999</v>
      </c>
      <c r="H1373" s="69">
        <f>+[3]Salary_Bdgt!$T$178+[3]Salary_Bdgt!$V$178</f>
        <v>36917</v>
      </c>
      <c r="I1373" s="69">
        <f t="shared" si="177"/>
        <v>39870</v>
      </c>
      <c r="J1373" s="69">
        <f t="shared" si="177"/>
        <v>43060</v>
      </c>
      <c r="M1373" s="57"/>
    </row>
    <row r="1374" spans="1:13" x14ac:dyDescent="0.2">
      <c r="A1374" s="75">
        <v>1017</v>
      </c>
      <c r="B1374" s="70" t="s">
        <v>4044</v>
      </c>
      <c r="C1374" s="69">
        <v>2315</v>
      </c>
      <c r="D1374" s="69">
        <v>4421</v>
      </c>
      <c r="E1374" s="69">
        <f>+D1374</f>
        <v>4421</v>
      </c>
      <c r="F1374" s="69">
        <v>676</v>
      </c>
      <c r="G1374" s="69">
        <f t="shared" si="176"/>
        <v>811.19999999999993</v>
      </c>
      <c r="H1374" s="69">
        <f>+[3]Salary_Bdgt!$J$178</f>
        <v>16280</v>
      </c>
      <c r="I1374" s="69">
        <f t="shared" si="177"/>
        <v>17582</v>
      </c>
      <c r="J1374" s="69">
        <f t="shared" si="177"/>
        <v>18989</v>
      </c>
      <c r="M1374" s="57"/>
    </row>
    <row r="1375" spans="1:13" x14ac:dyDescent="0.2">
      <c r="A1375" s="60">
        <v>1046</v>
      </c>
      <c r="B1375" s="70" t="s">
        <v>491</v>
      </c>
      <c r="C1375" s="69">
        <v>42608</v>
      </c>
      <c r="D1375" s="69">
        <v>34980</v>
      </c>
      <c r="E1375" s="69">
        <f>+D1375</f>
        <v>34980</v>
      </c>
      <c r="F1375" s="69">
        <v>23850</v>
      </c>
      <c r="G1375" s="69">
        <f t="shared" si="176"/>
        <v>28620</v>
      </c>
      <c r="H1375" s="69">
        <f>+[3]Salary_Bdgt!$R$178</f>
        <v>103781</v>
      </c>
      <c r="I1375" s="69">
        <f t="shared" si="177"/>
        <v>112083</v>
      </c>
      <c r="J1375" s="69">
        <f t="shared" si="177"/>
        <v>121050</v>
      </c>
      <c r="M1375" s="57"/>
    </row>
    <row r="1376" spans="1:13" x14ac:dyDescent="0.2">
      <c r="A1376" s="75">
        <v>1182</v>
      </c>
      <c r="B1376" s="71" t="s">
        <v>1065</v>
      </c>
      <c r="C1376" s="56">
        <v>2992</v>
      </c>
      <c r="D1376" s="56">
        <v>4112</v>
      </c>
      <c r="E1376" s="56">
        <f>+D1376</f>
        <v>4112</v>
      </c>
      <c r="F1376" s="56">
        <v>0</v>
      </c>
      <c r="G1376" s="56">
        <f t="shared" si="176"/>
        <v>0</v>
      </c>
      <c r="H1376" s="56">
        <f>+[3]Salary_Bdgt!$K$178</f>
        <v>15141</v>
      </c>
      <c r="I1376" s="56">
        <f t="shared" si="177"/>
        <v>16352</v>
      </c>
      <c r="J1376" s="56">
        <f t="shared" si="177"/>
        <v>17660</v>
      </c>
      <c r="M1376" s="57"/>
    </row>
    <row r="1377" spans="1:13" x14ac:dyDescent="0.2">
      <c r="B1377" s="58" t="s">
        <v>416</v>
      </c>
      <c r="C1377" s="72">
        <f t="shared" ref="C1377:J1377" si="178">SUM(C1364:C1376)</f>
        <v>358618</v>
      </c>
      <c r="D1377" s="72">
        <f t="shared" si="178"/>
        <v>305641</v>
      </c>
      <c r="E1377" s="72">
        <f t="shared" si="178"/>
        <v>305641</v>
      </c>
      <c r="F1377" s="72">
        <f t="shared" si="178"/>
        <v>232628</v>
      </c>
      <c r="G1377" s="72">
        <f t="shared" si="178"/>
        <v>279153.59999999998</v>
      </c>
      <c r="H1377" s="72">
        <f t="shared" si="178"/>
        <v>1206151</v>
      </c>
      <c r="I1377" s="72">
        <f t="shared" si="178"/>
        <v>1302642</v>
      </c>
      <c r="J1377" s="72">
        <f t="shared" si="178"/>
        <v>1406855</v>
      </c>
      <c r="M1377" s="57"/>
    </row>
    <row r="1378" spans="1:13" x14ac:dyDescent="0.2">
      <c r="B1378" s="58"/>
      <c r="C1378" s="69"/>
      <c r="D1378" s="69"/>
      <c r="E1378" s="69"/>
      <c r="F1378" s="24"/>
      <c r="G1378" s="69"/>
      <c r="H1378" s="69"/>
      <c r="I1378" s="69"/>
      <c r="J1378" s="69"/>
      <c r="M1378" s="57"/>
    </row>
    <row r="1379" spans="1:13" x14ac:dyDescent="0.2">
      <c r="B1379" s="58" t="s">
        <v>4021</v>
      </c>
      <c r="C1379" s="69"/>
      <c r="D1379" s="69"/>
      <c r="E1379" s="69"/>
      <c r="F1379" s="24"/>
      <c r="G1379" s="69"/>
      <c r="H1379" s="69"/>
      <c r="I1379" s="69"/>
      <c r="J1379" s="69"/>
      <c r="M1379" s="57"/>
    </row>
    <row r="1380" spans="1:13" x14ac:dyDescent="0.2">
      <c r="A1380" s="75">
        <v>3207</v>
      </c>
      <c r="B1380" s="71" t="s">
        <v>4046</v>
      </c>
      <c r="C1380" s="56">
        <v>0</v>
      </c>
      <c r="D1380" s="56">
        <v>1050</v>
      </c>
      <c r="E1380" s="56">
        <v>1050</v>
      </c>
      <c r="F1380" s="56">
        <v>0</v>
      </c>
      <c r="G1380" s="56">
        <f>F1380/$F$11*$G$11</f>
        <v>0</v>
      </c>
      <c r="H1380" s="56">
        <f>ROUND(E1380*1.05,0)</f>
        <v>1103</v>
      </c>
      <c r="I1380" s="56">
        <f>ROUND(H1380*1.06,0)</f>
        <v>1169</v>
      </c>
      <c r="J1380" s="56">
        <f>ROUND(I1380*1.06,0)</f>
        <v>1239</v>
      </c>
      <c r="M1380" s="57"/>
    </row>
    <row r="1381" spans="1:13" x14ac:dyDescent="0.2">
      <c r="B1381" s="58" t="s">
        <v>417</v>
      </c>
      <c r="C1381" s="72">
        <f>SUM(C1380:C1380)</f>
        <v>0</v>
      </c>
      <c r="D1381" s="72">
        <f t="shared" ref="D1381:J1381" si="179">SUM(D1380:D1380)</f>
        <v>1050</v>
      </c>
      <c r="E1381" s="72">
        <f t="shared" si="179"/>
        <v>1050</v>
      </c>
      <c r="F1381" s="72">
        <f t="shared" si="179"/>
        <v>0</v>
      </c>
      <c r="G1381" s="72">
        <f t="shared" si="179"/>
        <v>0</v>
      </c>
      <c r="H1381" s="72">
        <f t="shared" si="179"/>
        <v>1103</v>
      </c>
      <c r="I1381" s="72">
        <f t="shared" si="179"/>
        <v>1169</v>
      </c>
      <c r="J1381" s="72">
        <f t="shared" si="179"/>
        <v>1239</v>
      </c>
      <c r="M1381" s="57"/>
    </row>
    <row r="1382" spans="1:13" x14ac:dyDescent="0.2">
      <c r="B1382" s="58"/>
      <c r="C1382" s="69"/>
      <c r="D1382" s="69"/>
      <c r="E1382" s="69"/>
      <c r="G1382" s="69"/>
      <c r="H1382" s="69"/>
      <c r="I1382" s="69"/>
      <c r="J1382" s="69"/>
      <c r="M1382" s="57"/>
    </row>
    <row r="1383" spans="1:13" x14ac:dyDescent="0.2">
      <c r="B1383" s="58" t="s">
        <v>435</v>
      </c>
      <c r="C1383" s="69"/>
      <c r="D1383" s="69"/>
      <c r="E1383" s="69"/>
      <c r="G1383" s="69"/>
      <c r="H1383" s="69"/>
      <c r="I1383" s="69"/>
      <c r="J1383" s="69"/>
      <c r="M1383" s="57"/>
    </row>
    <row r="1384" spans="1:13" x14ac:dyDescent="0.2">
      <c r="A1384" s="75">
        <v>2003</v>
      </c>
      <c r="B1384" s="70" t="s">
        <v>225</v>
      </c>
      <c r="C1384" s="69">
        <v>18331</v>
      </c>
      <c r="D1384" s="69">
        <v>0</v>
      </c>
      <c r="E1384" s="69">
        <v>0</v>
      </c>
      <c r="F1384" s="69">
        <v>0</v>
      </c>
      <c r="G1384" s="69">
        <f t="shared" ref="G1384:G1399" si="180">F1384/$F$11*$G$11</f>
        <v>0</v>
      </c>
      <c r="H1384" s="69">
        <v>20000</v>
      </c>
      <c r="I1384" s="69">
        <v>500000</v>
      </c>
      <c r="J1384" s="69">
        <v>500000</v>
      </c>
      <c r="M1384" s="57"/>
    </row>
    <row r="1385" spans="1:13" x14ac:dyDescent="0.2">
      <c r="A1385" s="75"/>
      <c r="B1385" s="70" t="s">
        <v>226</v>
      </c>
      <c r="C1385" s="69">
        <v>0</v>
      </c>
      <c r="D1385" s="69">
        <v>126000</v>
      </c>
      <c r="E1385" s="69">
        <v>126000</v>
      </c>
      <c r="F1385" s="69">
        <v>0</v>
      </c>
      <c r="G1385" s="69">
        <f t="shared" si="180"/>
        <v>0</v>
      </c>
      <c r="H1385" s="69">
        <f t="shared" ref="H1385:H1394" si="181">ROUND(E1385*1.05,0)</f>
        <v>132300</v>
      </c>
      <c r="I1385" s="69">
        <f t="shared" ref="I1385:J1399" si="182">ROUND(H1385*1.06,0)</f>
        <v>140238</v>
      </c>
      <c r="J1385" s="69">
        <f t="shared" si="182"/>
        <v>148652</v>
      </c>
      <c r="M1385" s="57"/>
    </row>
    <row r="1386" spans="1:13" x14ac:dyDescent="0.2">
      <c r="A1386" s="75">
        <v>2013</v>
      </c>
      <c r="B1386" s="70" t="s">
        <v>227</v>
      </c>
      <c r="C1386" s="69">
        <v>0</v>
      </c>
      <c r="D1386" s="69">
        <v>300750</v>
      </c>
      <c r="E1386" s="69">
        <v>300750</v>
      </c>
      <c r="F1386" s="69">
        <v>20641</v>
      </c>
      <c r="G1386" s="69">
        <f t="shared" si="180"/>
        <v>24769.199999999997</v>
      </c>
      <c r="H1386" s="69">
        <f t="shared" si="181"/>
        <v>315788</v>
      </c>
      <c r="I1386" s="69">
        <f t="shared" si="182"/>
        <v>334735</v>
      </c>
      <c r="J1386" s="69">
        <f t="shared" si="182"/>
        <v>354819</v>
      </c>
      <c r="M1386" s="57"/>
    </row>
    <row r="1387" spans="1:13" x14ac:dyDescent="0.2">
      <c r="A1387" s="75">
        <v>2014</v>
      </c>
      <c r="B1387" s="70" t="s">
        <v>228</v>
      </c>
      <c r="C1387" s="69">
        <v>0</v>
      </c>
      <c r="D1387" s="69">
        <v>0</v>
      </c>
      <c r="E1387" s="69">
        <v>0</v>
      </c>
      <c r="F1387" s="69">
        <v>0</v>
      </c>
      <c r="G1387" s="69">
        <f t="shared" si="180"/>
        <v>0</v>
      </c>
      <c r="H1387" s="69">
        <f t="shared" si="181"/>
        <v>0</v>
      </c>
      <c r="I1387" s="69">
        <f t="shared" si="182"/>
        <v>0</v>
      </c>
      <c r="J1387" s="69">
        <f t="shared" si="182"/>
        <v>0</v>
      </c>
      <c r="M1387" s="57"/>
    </row>
    <row r="1388" spans="1:13" x14ac:dyDescent="0.2">
      <c r="A1388" s="75">
        <v>2017</v>
      </c>
      <c r="B1388" s="70" t="s">
        <v>229</v>
      </c>
      <c r="C1388" s="69">
        <v>0</v>
      </c>
      <c r="D1388" s="69">
        <v>0</v>
      </c>
      <c r="E1388" s="69">
        <v>0</v>
      </c>
      <c r="F1388" s="69">
        <v>0</v>
      </c>
      <c r="G1388" s="69">
        <f t="shared" si="180"/>
        <v>0</v>
      </c>
      <c r="H1388" s="69">
        <f t="shared" si="181"/>
        <v>0</v>
      </c>
      <c r="I1388" s="69">
        <f t="shared" si="182"/>
        <v>0</v>
      </c>
      <c r="J1388" s="69">
        <f t="shared" si="182"/>
        <v>0</v>
      </c>
      <c r="M1388" s="57"/>
    </row>
    <row r="1389" spans="1:13" x14ac:dyDescent="0.2">
      <c r="A1389" s="75">
        <v>2018</v>
      </c>
      <c r="B1389" s="70" t="s">
        <v>230</v>
      </c>
      <c r="C1389" s="69">
        <v>0</v>
      </c>
      <c r="D1389" s="69">
        <v>0</v>
      </c>
      <c r="E1389" s="69">
        <v>0</v>
      </c>
      <c r="F1389" s="69">
        <v>0</v>
      </c>
      <c r="G1389" s="69">
        <f t="shared" si="180"/>
        <v>0</v>
      </c>
      <c r="H1389" s="69">
        <f t="shared" si="181"/>
        <v>0</v>
      </c>
      <c r="I1389" s="69">
        <f t="shared" si="182"/>
        <v>0</v>
      </c>
      <c r="J1389" s="69">
        <f t="shared" si="182"/>
        <v>0</v>
      </c>
      <c r="M1389" s="57"/>
    </row>
    <row r="1390" spans="1:13" x14ac:dyDescent="0.2">
      <c r="A1390" s="60">
        <v>2081</v>
      </c>
      <c r="B1390" s="70" t="s">
        <v>496</v>
      </c>
      <c r="C1390" s="69">
        <v>0</v>
      </c>
      <c r="D1390" s="69">
        <v>31500</v>
      </c>
      <c r="E1390" s="69">
        <v>31500</v>
      </c>
      <c r="F1390" s="69">
        <v>0</v>
      </c>
      <c r="G1390" s="69">
        <f t="shared" si="180"/>
        <v>0</v>
      </c>
      <c r="H1390" s="69">
        <f t="shared" si="181"/>
        <v>33075</v>
      </c>
      <c r="I1390" s="69">
        <f t="shared" si="182"/>
        <v>35060</v>
      </c>
      <c r="J1390" s="69">
        <f t="shared" si="182"/>
        <v>37164</v>
      </c>
      <c r="M1390" s="57"/>
    </row>
    <row r="1391" spans="1:13" x14ac:dyDescent="0.2">
      <c r="A1391" s="75">
        <v>2104</v>
      </c>
      <c r="B1391" s="70" t="s">
        <v>2414</v>
      </c>
      <c r="C1391" s="69">
        <v>0</v>
      </c>
      <c r="D1391" s="69">
        <v>30000</v>
      </c>
      <c r="E1391" s="69">
        <v>30000</v>
      </c>
      <c r="F1391" s="69">
        <v>0</v>
      </c>
      <c r="G1391" s="69">
        <f t="shared" si="180"/>
        <v>0</v>
      </c>
      <c r="H1391" s="69">
        <f t="shared" si="181"/>
        <v>31500</v>
      </c>
      <c r="I1391" s="69">
        <f t="shared" si="182"/>
        <v>33390</v>
      </c>
      <c r="J1391" s="69">
        <f t="shared" si="182"/>
        <v>35393</v>
      </c>
      <c r="M1391" s="57"/>
    </row>
    <row r="1392" spans="1:13" x14ac:dyDescent="0.2">
      <c r="A1392" s="60">
        <v>2113</v>
      </c>
      <c r="B1392" s="70" t="s">
        <v>21</v>
      </c>
      <c r="C1392" s="69">
        <v>0</v>
      </c>
      <c r="D1392" s="69">
        <v>5250</v>
      </c>
      <c r="E1392" s="69">
        <v>5250</v>
      </c>
      <c r="F1392" s="69">
        <v>0</v>
      </c>
      <c r="G1392" s="69">
        <f t="shared" si="180"/>
        <v>0</v>
      </c>
      <c r="H1392" s="69">
        <f t="shared" si="181"/>
        <v>5513</v>
      </c>
      <c r="I1392" s="69">
        <f t="shared" si="182"/>
        <v>5844</v>
      </c>
      <c r="J1392" s="69">
        <f t="shared" si="182"/>
        <v>6195</v>
      </c>
      <c r="M1392" s="57"/>
    </row>
    <row r="1393" spans="1:13" x14ac:dyDescent="0.2">
      <c r="A1393" s="60">
        <v>2212</v>
      </c>
      <c r="B1393" s="70" t="s">
        <v>488</v>
      </c>
      <c r="C1393" s="69">
        <v>0</v>
      </c>
      <c r="D1393" s="69">
        <v>1050</v>
      </c>
      <c r="E1393" s="69">
        <v>1050</v>
      </c>
      <c r="F1393" s="69">
        <v>0</v>
      </c>
      <c r="G1393" s="69">
        <f t="shared" si="180"/>
        <v>0</v>
      </c>
      <c r="H1393" s="69">
        <f t="shared" si="181"/>
        <v>1103</v>
      </c>
      <c r="I1393" s="69">
        <f t="shared" si="182"/>
        <v>1169</v>
      </c>
      <c r="J1393" s="69">
        <f t="shared" si="182"/>
        <v>1239</v>
      </c>
      <c r="M1393" s="57"/>
    </row>
    <row r="1394" spans="1:13" x14ac:dyDescent="0.2">
      <c r="A1394" s="75">
        <v>2227</v>
      </c>
      <c r="B1394" s="70" t="s">
        <v>448</v>
      </c>
      <c r="C1394" s="69">
        <v>0</v>
      </c>
      <c r="D1394" s="69">
        <v>1050</v>
      </c>
      <c r="E1394" s="69">
        <v>1050</v>
      </c>
      <c r="F1394" s="69">
        <v>0</v>
      </c>
      <c r="G1394" s="69">
        <f t="shared" si="180"/>
        <v>0</v>
      </c>
      <c r="H1394" s="69">
        <f t="shared" si="181"/>
        <v>1103</v>
      </c>
      <c r="I1394" s="69">
        <f t="shared" si="182"/>
        <v>1169</v>
      </c>
      <c r="J1394" s="69">
        <f t="shared" si="182"/>
        <v>1239</v>
      </c>
      <c r="M1394" s="57"/>
    </row>
    <row r="1395" spans="1:13" x14ac:dyDescent="0.2">
      <c r="A1395" s="60">
        <v>2233</v>
      </c>
      <c r="B1395" s="70" t="s">
        <v>497</v>
      </c>
      <c r="C1395" s="69">
        <v>1596</v>
      </c>
      <c r="D1395" s="69">
        <v>26250</v>
      </c>
      <c r="E1395" s="69">
        <v>26250</v>
      </c>
      <c r="F1395" s="69">
        <v>0</v>
      </c>
      <c r="G1395" s="69">
        <f t="shared" si="180"/>
        <v>0</v>
      </c>
      <c r="H1395" s="69">
        <v>0</v>
      </c>
      <c r="I1395" s="69">
        <f t="shared" si="182"/>
        <v>0</v>
      </c>
      <c r="J1395" s="69">
        <f t="shared" si="182"/>
        <v>0</v>
      </c>
      <c r="M1395" s="57"/>
    </row>
    <row r="1396" spans="1:13" x14ac:dyDescent="0.2">
      <c r="A1396" s="75">
        <v>2238</v>
      </c>
      <c r="B1396" s="70" t="s">
        <v>479</v>
      </c>
      <c r="C1396" s="69">
        <v>75939</v>
      </c>
      <c r="D1396" s="69">
        <v>30000</v>
      </c>
      <c r="E1396" s="69">
        <f>30000+100000</f>
        <v>130000</v>
      </c>
      <c r="F1396" s="69">
        <v>163803</v>
      </c>
      <c r="G1396" s="69">
        <f t="shared" si="180"/>
        <v>196563.59999999998</v>
      </c>
      <c r="H1396" s="69">
        <f>ROUND(E1396*1.05,0)</f>
        <v>136500</v>
      </c>
      <c r="I1396" s="69">
        <f t="shared" si="182"/>
        <v>144690</v>
      </c>
      <c r="J1396" s="69">
        <f t="shared" si="182"/>
        <v>153371</v>
      </c>
      <c r="M1396" s="57"/>
    </row>
    <row r="1397" spans="1:13" x14ac:dyDescent="0.2">
      <c r="A1397" s="60">
        <v>2246</v>
      </c>
      <c r="B1397" s="70" t="s">
        <v>2422</v>
      </c>
      <c r="C1397" s="69">
        <v>12859</v>
      </c>
      <c r="D1397" s="69">
        <v>24150</v>
      </c>
      <c r="E1397" s="69">
        <v>24150</v>
      </c>
      <c r="F1397" s="69">
        <v>21851</v>
      </c>
      <c r="G1397" s="69">
        <f t="shared" si="180"/>
        <v>26221.199999999997</v>
      </c>
      <c r="H1397" s="69">
        <f>ROUND(E1397*1.05,0)</f>
        <v>25358</v>
      </c>
      <c r="I1397" s="69">
        <f t="shared" si="182"/>
        <v>26879</v>
      </c>
      <c r="J1397" s="69">
        <f t="shared" si="182"/>
        <v>28492</v>
      </c>
      <c r="K1397" t="s">
        <v>1078</v>
      </c>
      <c r="M1397" s="57"/>
    </row>
    <row r="1398" spans="1:13" x14ac:dyDescent="0.2">
      <c r="A1398" s="75">
        <v>2248</v>
      </c>
      <c r="B1398" s="70" t="s">
        <v>442</v>
      </c>
      <c r="C1398" s="69">
        <v>0</v>
      </c>
      <c r="D1398" s="69">
        <v>26250</v>
      </c>
      <c r="E1398" s="69">
        <v>26250</v>
      </c>
      <c r="F1398" s="69">
        <v>0</v>
      </c>
      <c r="G1398" s="69">
        <f t="shared" si="180"/>
        <v>0</v>
      </c>
      <c r="H1398" s="69">
        <f>ROUND(E1398*1.05,0)</f>
        <v>27563</v>
      </c>
      <c r="I1398" s="69">
        <f t="shared" si="182"/>
        <v>29217</v>
      </c>
      <c r="J1398" s="69">
        <f t="shared" si="182"/>
        <v>30970</v>
      </c>
      <c r="M1398" s="57"/>
    </row>
    <row r="1399" spans="1:13" x14ac:dyDescent="0.2">
      <c r="A1399" s="75">
        <v>2305</v>
      </c>
      <c r="B1399" s="71" t="s">
        <v>31</v>
      </c>
      <c r="C1399" s="56">
        <v>0</v>
      </c>
      <c r="D1399" s="56">
        <v>1050</v>
      </c>
      <c r="E1399" s="56">
        <v>1050</v>
      </c>
      <c r="F1399" s="56">
        <v>0</v>
      </c>
      <c r="G1399" s="56">
        <f t="shared" si="180"/>
        <v>0</v>
      </c>
      <c r="H1399" s="69">
        <f>ROUND(E1399*1.05,0)</f>
        <v>1103</v>
      </c>
      <c r="I1399" s="56">
        <f t="shared" si="182"/>
        <v>1169</v>
      </c>
      <c r="J1399" s="56">
        <f t="shared" si="182"/>
        <v>1239</v>
      </c>
      <c r="M1399" s="57"/>
    </row>
    <row r="1400" spans="1:13" x14ac:dyDescent="0.2">
      <c r="B1400" s="58" t="s">
        <v>436</v>
      </c>
      <c r="C1400" s="116">
        <f t="shared" ref="C1400:J1400" si="183">SUM(C1384:C1399)</f>
        <v>108725</v>
      </c>
      <c r="D1400" s="116">
        <f t="shared" si="183"/>
        <v>603300</v>
      </c>
      <c r="E1400" s="116">
        <f t="shared" si="183"/>
        <v>703300</v>
      </c>
      <c r="F1400" s="116">
        <f t="shared" si="183"/>
        <v>206295</v>
      </c>
      <c r="G1400" s="116">
        <f t="shared" si="183"/>
        <v>247554</v>
      </c>
      <c r="H1400" s="116">
        <f t="shared" si="183"/>
        <v>730906</v>
      </c>
      <c r="I1400" s="116">
        <f t="shared" si="183"/>
        <v>1253560</v>
      </c>
      <c r="J1400" s="116">
        <f t="shared" si="183"/>
        <v>1298773</v>
      </c>
      <c r="M1400" s="57"/>
    </row>
    <row r="1401" spans="1:13" x14ac:dyDescent="0.2">
      <c r="B1401" s="61"/>
      <c r="C1401" s="89"/>
      <c r="D1401" s="89"/>
      <c r="E1401" s="89"/>
      <c r="F1401" s="89"/>
      <c r="G1401" s="89"/>
      <c r="H1401" s="89"/>
      <c r="I1401" s="89"/>
      <c r="J1401" s="89"/>
      <c r="M1401" s="57"/>
    </row>
    <row r="1402" spans="1:13" x14ac:dyDescent="0.2">
      <c r="B1402" s="58" t="s">
        <v>4055</v>
      </c>
      <c r="C1402" s="73">
        <f t="shared" ref="C1402:J1402" si="184">C1377+C1381+C1400</f>
        <v>467343</v>
      </c>
      <c r="D1402" s="73">
        <f t="shared" si="184"/>
        <v>909991</v>
      </c>
      <c r="E1402" s="73">
        <f t="shared" si="184"/>
        <v>1009991</v>
      </c>
      <c r="F1402" s="73">
        <f t="shared" si="184"/>
        <v>438923</v>
      </c>
      <c r="G1402" s="73">
        <f t="shared" si="184"/>
        <v>526707.6</v>
      </c>
      <c r="H1402" s="73">
        <f t="shared" si="184"/>
        <v>1938160</v>
      </c>
      <c r="I1402" s="73">
        <f t="shared" si="184"/>
        <v>2557371</v>
      </c>
      <c r="J1402" s="73">
        <f t="shared" si="184"/>
        <v>2706867</v>
      </c>
      <c r="M1402" s="57"/>
    </row>
    <row r="1403" spans="1:13" s="24" customFormat="1" ht="11.25" x14ac:dyDescent="0.2">
      <c r="A1403" s="75"/>
      <c r="B1403" s="52"/>
      <c r="C1403" s="119"/>
      <c r="D1403" s="119"/>
      <c r="E1403" s="119"/>
      <c r="G1403" s="69"/>
      <c r="H1403" s="69"/>
      <c r="I1403" s="119"/>
      <c r="J1403" s="119"/>
      <c r="M1403" s="57"/>
    </row>
    <row r="1404" spans="1:13" x14ac:dyDescent="0.2">
      <c r="B1404" s="58" t="s">
        <v>418</v>
      </c>
      <c r="C1404" s="96"/>
      <c r="D1404" s="96"/>
      <c r="E1404" s="96"/>
      <c r="G1404" s="69"/>
      <c r="H1404" s="69"/>
      <c r="I1404" s="96"/>
      <c r="J1404" s="96"/>
      <c r="M1404" s="57"/>
    </row>
    <row r="1405" spans="1:13" s="9" customFormat="1" x14ac:dyDescent="0.2">
      <c r="A1405" s="101">
        <v>4204</v>
      </c>
      <c r="B1405" s="70" t="s">
        <v>4058</v>
      </c>
      <c r="C1405" s="96">
        <v>0</v>
      </c>
      <c r="D1405" s="69">
        <v>13125</v>
      </c>
      <c r="E1405" s="69">
        <v>13125</v>
      </c>
      <c r="F1405" s="69">
        <v>0</v>
      </c>
      <c r="G1405" s="69">
        <f>F1405/$F$11*$G$11</f>
        <v>0</v>
      </c>
      <c r="H1405" s="69">
        <f>ROUND(E1405*1.05,0)</f>
        <v>13781</v>
      </c>
      <c r="I1405" s="69">
        <f>ROUND(H1405*1.08,0)</f>
        <v>14883</v>
      </c>
      <c r="J1405" s="69">
        <f>ROUND(I1405*1.08,0)</f>
        <v>16074</v>
      </c>
      <c r="M1405" s="57"/>
    </row>
    <row r="1406" spans="1:13" s="9" customFormat="1" x14ac:dyDescent="0.2">
      <c r="A1406" s="101">
        <v>4207</v>
      </c>
      <c r="B1406" s="71" t="s">
        <v>222</v>
      </c>
      <c r="C1406" s="105">
        <v>0</v>
      </c>
      <c r="D1406" s="56">
        <v>13416</v>
      </c>
      <c r="E1406" s="56">
        <v>13416</v>
      </c>
      <c r="F1406" s="56">
        <v>0</v>
      </c>
      <c r="G1406" s="56">
        <f>F1406/$F$11*$G$11</f>
        <v>0</v>
      </c>
      <c r="H1406" s="56">
        <f>ROUND(E1406*1.05,0)</f>
        <v>14087</v>
      </c>
      <c r="I1406" s="69">
        <f>ROUND(H1406*1.08,0)</f>
        <v>15214</v>
      </c>
      <c r="J1406" s="69">
        <f>ROUND(I1406*1.08,0)</f>
        <v>16431</v>
      </c>
      <c r="M1406" s="57"/>
    </row>
    <row r="1407" spans="1:13" x14ac:dyDescent="0.2">
      <c r="B1407" s="58" t="s">
        <v>419</v>
      </c>
      <c r="C1407" s="116">
        <f t="shared" ref="C1407:J1407" si="185">SUM(C1405:C1406)</f>
        <v>0</v>
      </c>
      <c r="D1407" s="116">
        <f t="shared" si="185"/>
        <v>26541</v>
      </c>
      <c r="E1407" s="116">
        <f t="shared" si="185"/>
        <v>26541</v>
      </c>
      <c r="F1407" s="116">
        <f t="shared" si="185"/>
        <v>0</v>
      </c>
      <c r="G1407" s="116">
        <f t="shared" si="185"/>
        <v>0</v>
      </c>
      <c r="H1407" s="116">
        <f t="shared" si="185"/>
        <v>27868</v>
      </c>
      <c r="I1407" s="116">
        <f t="shared" si="185"/>
        <v>30097</v>
      </c>
      <c r="J1407" s="116">
        <f t="shared" si="185"/>
        <v>32505</v>
      </c>
      <c r="M1407" s="57"/>
    </row>
    <row r="1408" spans="1:13" x14ac:dyDescent="0.2">
      <c r="B1408" s="61"/>
      <c r="C1408" s="89"/>
      <c r="D1408" s="89"/>
      <c r="E1408" s="89"/>
      <c r="F1408" s="89"/>
      <c r="G1408" s="89"/>
      <c r="H1408" s="89"/>
      <c r="I1408" s="89"/>
      <c r="J1408" s="89"/>
      <c r="M1408" s="57"/>
    </row>
    <row r="1409" spans="1:13" s="24" customFormat="1" ht="11.25" x14ac:dyDescent="0.2">
      <c r="A1409" s="75"/>
      <c r="B1409" s="58" t="s">
        <v>4029</v>
      </c>
      <c r="C1409" s="73">
        <f t="shared" ref="C1409:J1409" si="186">+C1402+C1407</f>
        <v>467343</v>
      </c>
      <c r="D1409" s="73">
        <f t="shared" si="186"/>
        <v>936532</v>
      </c>
      <c r="E1409" s="73">
        <f t="shared" si="186"/>
        <v>1036532</v>
      </c>
      <c r="F1409" s="73">
        <f t="shared" si="186"/>
        <v>438923</v>
      </c>
      <c r="G1409" s="73">
        <f t="shared" si="186"/>
        <v>526707.6</v>
      </c>
      <c r="H1409" s="73">
        <f t="shared" si="186"/>
        <v>1966028</v>
      </c>
      <c r="I1409" s="73">
        <f t="shared" si="186"/>
        <v>2587468</v>
      </c>
      <c r="J1409" s="73">
        <f t="shared" si="186"/>
        <v>2739372</v>
      </c>
      <c r="M1409" s="57"/>
    </row>
    <row r="1410" spans="1:13" s="24" customFormat="1" ht="11.25" x14ac:dyDescent="0.2">
      <c r="A1410" s="75"/>
      <c r="B1410" s="52"/>
      <c r="C1410" s="119"/>
      <c r="D1410" s="119"/>
      <c r="E1410" s="119"/>
      <c r="G1410" s="69"/>
      <c r="H1410" s="69"/>
      <c r="I1410" s="119"/>
      <c r="J1410" s="119"/>
      <c r="M1410" s="57"/>
    </row>
    <row r="1411" spans="1:13" x14ac:dyDescent="0.2">
      <c r="A1411" s="64"/>
      <c r="B1411" s="58" t="s">
        <v>418</v>
      </c>
      <c r="C1411" s="73"/>
      <c r="D1411" s="73"/>
      <c r="E1411" s="73"/>
      <c r="G1411" s="69"/>
      <c r="H1411" s="69"/>
      <c r="I1411" s="73"/>
      <c r="J1411" s="73"/>
      <c r="M1411" s="57"/>
    </row>
    <row r="1412" spans="1:13" s="9" customFormat="1" x14ac:dyDescent="0.2">
      <c r="A1412" s="64">
        <v>4105</v>
      </c>
      <c r="B1412" s="71" t="s">
        <v>1061</v>
      </c>
      <c r="C1412" s="56">
        <v>0</v>
      </c>
      <c r="D1412" s="56">
        <v>0</v>
      </c>
      <c r="E1412" s="56">
        <v>0</v>
      </c>
      <c r="F1412" s="56">
        <v>0</v>
      </c>
      <c r="G1412" s="56">
        <f>F1412/$F$11*$G$11</f>
        <v>0</v>
      </c>
      <c r="H1412" s="56">
        <v>0</v>
      </c>
      <c r="I1412" s="56">
        <f>ROUND(D1412*1.05,0)</f>
        <v>0</v>
      </c>
      <c r="J1412" s="56">
        <f>ROUND(I1412*1.05,0)</f>
        <v>0</v>
      </c>
      <c r="M1412" s="57"/>
    </row>
    <row r="1413" spans="1:13" x14ac:dyDescent="0.2">
      <c r="A1413" s="64"/>
      <c r="B1413" s="58" t="s">
        <v>419</v>
      </c>
      <c r="C1413" s="72">
        <f t="shared" ref="C1413:J1413" si="187">SUM(C1412)</f>
        <v>0</v>
      </c>
      <c r="D1413" s="72">
        <f t="shared" si="187"/>
        <v>0</v>
      </c>
      <c r="E1413" s="72">
        <f t="shared" si="187"/>
        <v>0</v>
      </c>
      <c r="F1413" s="72">
        <f t="shared" si="187"/>
        <v>0</v>
      </c>
      <c r="G1413" s="72">
        <f t="shared" si="187"/>
        <v>0</v>
      </c>
      <c r="H1413" s="72">
        <f t="shared" si="187"/>
        <v>0</v>
      </c>
      <c r="I1413" s="72">
        <f t="shared" si="187"/>
        <v>0</v>
      </c>
      <c r="J1413" s="72">
        <f t="shared" si="187"/>
        <v>0</v>
      </c>
      <c r="M1413" s="57"/>
    </row>
    <row r="1414" spans="1:13" x14ac:dyDescent="0.2">
      <c r="A1414" s="64"/>
      <c r="B1414" s="58"/>
      <c r="C1414" s="72"/>
      <c r="D1414" s="72"/>
      <c r="E1414" s="72"/>
      <c r="F1414" s="72"/>
      <c r="G1414" s="72"/>
      <c r="H1414" s="72"/>
      <c r="I1414" s="72"/>
      <c r="J1414" s="72"/>
      <c r="M1414" s="57"/>
    </row>
    <row r="1415" spans="1:13" ht="13.5" thickBot="1" x14ac:dyDescent="0.25">
      <c r="B1415" s="65" t="s">
        <v>4033</v>
      </c>
      <c r="C1415" s="76">
        <f t="shared" ref="C1415:J1415" si="188">+C1409+C1413</f>
        <v>467343</v>
      </c>
      <c r="D1415" s="76">
        <f t="shared" si="188"/>
        <v>936532</v>
      </c>
      <c r="E1415" s="76">
        <f t="shared" si="188"/>
        <v>1036532</v>
      </c>
      <c r="F1415" s="76">
        <f t="shared" si="188"/>
        <v>438923</v>
      </c>
      <c r="G1415" s="76">
        <f t="shared" si="188"/>
        <v>526707.6</v>
      </c>
      <c r="H1415" s="76">
        <f t="shared" si="188"/>
        <v>1966028</v>
      </c>
      <c r="I1415" s="76">
        <f t="shared" si="188"/>
        <v>2587468</v>
      </c>
      <c r="J1415" s="76">
        <f t="shared" si="188"/>
        <v>2739372</v>
      </c>
      <c r="M1415" s="57"/>
    </row>
    <row r="1416" spans="1:13" ht="13.5" thickTop="1" x14ac:dyDescent="0.2">
      <c r="B1416" s="58"/>
      <c r="C1416" s="72"/>
      <c r="D1416" s="72"/>
      <c r="E1416" s="72"/>
      <c r="F1416" s="72"/>
      <c r="G1416" s="72"/>
      <c r="H1416" s="72"/>
      <c r="I1416" s="72"/>
      <c r="J1416" s="72"/>
      <c r="M1416" s="57"/>
    </row>
    <row r="1417" spans="1:13" ht="13.5" thickBot="1" x14ac:dyDescent="0.25">
      <c r="B1417" s="65" t="s">
        <v>4059</v>
      </c>
      <c r="C1417" s="77">
        <f t="shared" ref="C1417:J1417" si="189">C1359-C1415</f>
        <v>-467343</v>
      </c>
      <c r="D1417" s="77">
        <f t="shared" si="189"/>
        <v>-936532</v>
      </c>
      <c r="E1417" s="77">
        <f t="shared" si="189"/>
        <v>-1036532</v>
      </c>
      <c r="F1417" s="77">
        <f t="shared" si="189"/>
        <v>-438923</v>
      </c>
      <c r="G1417" s="77">
        <f t="shared" si="189"/>
        <v>-526707.6</v>
      </c>
      <c r="H1417" s="77">
        <f t="shared" si="189"/>
        <v>-1966028</v>
      </c>
      <c r="I1417" s="77">
        <f t="shared" si="189"/>
        <v>-2587468</v>
      </c>
      <c r="J1417" s="77">
        <f t="shared" si="189"/>
        <v>-2739372</v>
      </c>
      <c r="M1417" s="57"/>
    </row>
    <row r="1418" spans="1:13" ht="13.5" thickTop="1" x14ac:dyDescent="0.2">
      <c r="B1418" s="58"/>
      <c r="C1418" s="78"/>
      <c r="D1418" s="78"/>
      <c r="E1418" s="78"/>
      <c r="G1418" s="69"/>
      <c r="H1418" s="69"/>
      <c r="I1418" s="78"/>
      <c r="J1418" s="78"/>
      <c r="M1418" s="57"/>
    </row>
    <row r="1419" spans="1:13" x14ac:dyDescent="0.2">
      <c r="G1419" s="69"/>
      <c r="H1419" s="69"/>
      <c r="M1419" s="57"/>
    </row>
    <row r="1420" spans="1:13" x14ac:dyDescent="0.2">
      <c r="G1420" s="69"/>
      <c r="H1420" s="69"/>
      <c r="M1420" s="57"/>
    </row>
    <row r="1421" spans="1:13" x14ac:dyDescent="0.2">
      <c r="A1421" s="6"/>
      <c r="B1421" s="6"/>
      <c r="C1421" s="6"/>
      <c r="D1421" s="6"/>
      <c r="E1421" s="6"/>
      <c r="G1421" s="69"/>
      <c r="H1421" s="69"/>
      <c r="I1421" s="6"/>
      <c r="J1421" s="6"/>
      <c r="M1421" s="57"/>
    </row>
    <row r="1422" spans="1:13" x14ac:dyDescent="0.2">
      <c r="A1422" s="6"/>
      <c r="B1422" s="6"/>
      <c r="C1422" s="6"/>
      <c r="D1422" s="6"/>
      <c r="E1422" s="6"/>
      <c r="G1422" s="69"/>
      <c r="H1422" s="69"/>
      <c r="I1422" s="6"/>
      <c r="J1422" s="6"/>
      <c r="M1422" s="57"/>
    </row>
    <row r="1423" spans="1:13" x14ac:dyDescent="0.2">
      <c r="A1423" s="6"/>
      <c r="B1423" s="6"/>
      <c r="C1423" s="6"/>
      <c r="D1423" s="6"/>
      <c r="E1423" s="6"/>
      <c r="G1423" s="69"/>
      <c r="H1423" s="69"/>
      <c r="I1423" s="6"/>
      <c r="J1423" s="6"/>
      <c r="M1423" s="57"/>
    </row>
    <row r="1424" spans="1:13" x14ac:dyDescent="0.2">
      <c r="A1424" s="6"/>
      <c r="B1424" s="6"/>
      <c r="C1424" s="6"/>
      <c r="D1424" s="6"/>
      <c r="E1424" s="6"/>
      <c r="G1424" s="69"/>
      <c r="H1424" s="69"/>
      <c r="I1424" s="6"/>
      <c r="J1424" s="6"/>
      <c r="M1424" s="57"/>
    </row>
    <row r="1425" spans="1:13" ht="15.75" x14ac:dyDescent="0.25">
      <c r="A1425" s="98">
        <v>1300</v>
      </c>
      <c r="B1425" s="118" t="s">
        <v>231</v>
      </c>
      <c r="F1425" s="24"/>
      <c r="G1425" s="69"/>
      <c r="H1425" s="69"/>
      <c r="M1425" s="57"/>
    </row>
    <row r="1426" spans="1:13" ht="15" x14ac:dyDescent="0.25">
      <c r="A1426" s="91">
        <v>1310</v>
      </c>
      <c r="B1426" s="48" t="s">
        <v>232</v>
      </c>
      <c r="C1426" s="48"/>
      <c r="D1426" s="48" t="s">
        <v>1080</v>
      </c>
      <c r="E1426" s="48"/>
      <c r="F1426" s="24"/>
      <c r="G1426" s="69"/>
      <c r="H1426" s="69"/>
      <c r="M1426" s="57"/>
    </row>
    <row r="1427" spans="1:13" ht="15" x14ac:dyDescent="0.25">
      <c r="B1427" s="48"/>
      <c r="C1427" s="48"/>
      <c r="D1427" s="48"/>
      <c r="E1427" s="48"/>
      <c r="F1427" s="24"/>
      <c r="G1427" s="69"/>
      <c r="H1427" s="69"/>
      <c r="M1427" s="57"/>
    </row>
    <row r="1428" spans="1:13" x14ac:dyDescent="0.2">
      <c r="B1428" s="50" t="s">
        <v>61</v>
      </c>
      <c r="C1428" s="50"/>
      <c r="D1428" s="50"/>
      <c r="E1428" s="50"/>
      <c r="G1428" s="69"/>
      <c r="H1428" s="69"/>
      <c r="M1428" s="57"/>
    </row>
    <row r="1429" spans="1:13" x14ac:dyDescent="0.2">
      <c r="B1429" s="50"/>
      <c r="C1429" s="50"/>
      <c r="D1429" s="50"/>
      <c r="E1429" s="50"/>
      <c r="G1429" s="69"/>
      <c r="H1429" s="69"/>
      <c r="M1429" s="57"/>
    </row>
    <row r="1430" spans="1:13" x14ac:dyDescent="0.2">
      <c r="A1430" s="51"/>
      <c r="B1430" s="58" t="s">
        <v>413</v>
      </c>
      <c r="C1430" s="53"/>
      <c r="D1430" s="53"/>
      <c r="E1430" s="53"/>
      <c r="F1430" s="24"/>
      <c r="G1430" s="69"/>
      <c r="H1430" s="69"/>
      <c r="I1430" s="54"/>
      <c r="J1430" s="54"/>
      <c r="M1430" s="57"/>
    </row>
    <row r="1431" spans="1:13" x14ac:dyDescent="0.2">
      <c r="A1431" s="51"/>
      <c r="B1431" s="71" t="s">
        <v>2726</v>
      </c>
      <c r="C1431" s="56">
        <v>0</v>
      </c>
      <c r="D1431" s="56">
        <v>0</v>
      </c>
      <c r="E1431" s="56">
        <v>0</v>
      </c>
      <c r="F1431" s="56">
        <v>0</v>
      </c>
      <c r="G1431" s="56">
        <f>F1431/$F$11*$G$11</f>
        <v>0</v>
      </c>
      <c r="H1431" s="56">
        <f>+H1461</f>
        <v>216573</v>
      </c>
      <c r="I1431" s="56">
        <f>+I1461</f>
        <v>233542</v>
      </c>
      <c r="J1431" s="56">
        <f>+J1461</f>
        <v>251849</v>
      </c>
      <c r="M1431" s="57"/>
    </row>
    <row r="1432" spans="1:13" x14ac:dyDescent="0.2">
      <c r="A1432" s="51"/>
      <c r="B1432" s="58" t="s">
        <v>414</v>
      </c>
      <c r="C1432" s="59">
        <f t="shared" ref="C1432:J1432" si="190">SUM(C1431)</f>
        <v>0</v>
      </c>
      <c r="D1432" s="59">
        <f t="shared" si="190"/>
        <v>0</v>
      </c>
      <c r="E1432" s="59">
        <f t="shared" si="190"/>
        <v>0</v>
      </c>
      <c r="F1432" s="59">
        <f t="shared" si="190"/>
        <v>0</v>
      </c>
      <c r="G1432" s="59">
        <f t="shared" si="190"/>
        <v>0</v>
      </c>
      <c r="H1432" s="59">
        <f t="shared" si="190"/>
        <v>216573</v>
      </c>
      <c r="I1432" s="59">
        <f t="shared" si="190"/>
        <v>233542</v>
      </c>
      <c r="J1432" s="59">
        <f t="shared" si="190"/>
        <v>251849</v>
      </c>
      <c r="M1432" s="57"/>
    </row>
    <row r="1433" spans="1:13" x14ac:dyDescent="0.2">
      <c r="A1433" s="60"/>
      <c r="B1433" s="58"/>
      <c r="C1433" s="99"/>
      <c r="D1433" s="99"/>
      <c r="E1433" s="99"/>
      <c r="F1433" s="99"/>
      <c r="G1433" s="99"/>
      <c r="H1433" s="99"/>
      <c r="I1433" s="99"/>
      <c r="J1433" s="99"/>
      <c r="M1433" s="57"/>
    </row>
    <row r="1434" spans="1:13" ht="13.5" thickBot="1" x14ac:dyDescent="0.25">
      <c r="B1434" s="65" t="s">
        <v>4043</v>
      </c>
      <c r="C1434" s="66">
        <f t="shared" ref="C1434:J1434" si="191">+C1432</f>
        <v>0</v>
      </c>
      <c r="D1434" s="66">
        <f t="shared" si="191"/>
        <v>0</v>
      </c>
      <c r="E1434" s="66">
        <f t="shared" si="191"/>
        <v>0</v>
      </c>
      <c r="F1434" s="66">
        <f t="shared" si="191"/>
        <v>0</v>
      </c>
      <c r="G1434" s="66">
        <f t="shared" si="191"/>
        <v>0</v>
      </c>
      <c r="H1434" s="66">
        <f t="shared" si="191"/>
        <v>216573</v>
      </c>
      <c r="I1434" s="66">
        <f t="shared" si="191"/>
        <v>233542</v>
      </c>
      <c r="J1434" s="66">
        <f t="shared" si="191"/>
        <v>251849</v>
      </c>
      <c r="M1434" s="57"/>
    </row>
    <row r="1435" spans="1:13" ht="15.75" thickTop="1" x14ac:dyDescent="0.25">
      <c r="B1435" s="48"/>
      <c r="C1435" s="48"/>
      <c r="D1435" s="48"/>
      <c r="E1435" s="48"/>
      <c r="F1435" s="24"/>
      <c r="G1435" s="69"/>
      <c r="H1435" s="69"/>
      <c r="M1435" s="57"/>
    </row>
    <row r="1436" spans="1:13" x14ac:dyDescent="0.2">
      <c r="B1436" s="50" t="s">
        <v>4018</v>
      </c>
      <c r="C1436" s="50"/>
      <c r="D1436" s="50"/>
      <c r="E1436" s="50"/>
      <c r="G1436" s="69"/>
      <c r="H1436" s="69"/>
      <c r="I1436" s="50"/>
      <c r="J1436" s="50"/>
      <c r="M1436" s="57"/>
    </row>
    <row r="1437" spans="1:13" x14ac:dyDescent="0.2">
      <c r="B1437" s="50"/>
      <c r="C1437" s="50"/>
      <c r="D1437" s="50"/>
      <c r="E1437" s="50"/>
      <c r="G1437" s="69"/>
      <c r="H1437" s="69"/>
      <c r="I1437" s="50"/>
      <c r="J1437" s="50"/>
      <c r="M1437" s="57"/>
    </row>
    <row r="1438" spans="1:13" x14ac:dyDescent="0.2">
      <c r="B1438" s="58" t="s">
        <v>4019</v>
      </c>
      <c r="C1438" s="69"/>
      <c r="D1438" s="69"/>
      <c r="E1438" s="69"/>
      <c r="G1438" s="69"/>
      <c r="H1438" s="69"/>
      <c r="I1438" s="69"/>
      <c r="J1438" s="69"/>
      <c r="M1438" s="57"/>
    </row>
    <row r="1439" spans="1:13" x14ac:dyDescent="0.2">
      <c r="A1439" s="60">
        <v>1001</v>
      </c>
      <c r="B1439" s="70" t="s">
        <v>472</v>
      </c>
      <c r="C1439" s="69">
        <v>0</v>
      </c>
      <c r="D1439" s="69">
        <v>0</v>
      </c>
      <c r="E1439" s="69">
        <v>0</v>
      </c>
      <c r="F1439" s="69">
        <v>41066</v>
      </c>
      <c r="G1439" s="69">
        <f t="shared" ref="G1439:G1451" si="192">F1439/$F$11*$G$11</f>
        <v>49279.200000000004</v>
      </c>
      <c r="H1439" s="69">
        <f>[3]Salary_Bdgt!$H$184</f>
        <v>175701</v>
      </c>
      <c r="I1439" s="69">
        <f t="shared" ref="I1439:J1451" si="193">ROUND(H1439*1.08,0)</f>
        <v>189757</v>
      </c>
      <c r="J1439" s="69">
        <f t="shared" si="193"/>
        <v>204938</v>
      </c>
      <c r="M1439" s="57"/>
    </row>
    <row r="1440" spans="1:13" x14ac:dyDescent="0.2">
      <c r="A1440" s="60">
        <v>1005</v>
      </c>
      <c r="B1440" s="70" t="s">
        <v>473</v>
      </c>
      <c r="C1440" s="69">
        <v>0</v>
      </c>
      <c r="D1440" s="69">
        <v>0</v>
      </c>
      <c r="E1440" s="69">
        <v>0</v>
      </c>
      <c r="F1440" s="69">
        <v>0</v>
      </c>
      <c r="G1440" s="69">
        <f t="shared" si="192"/>
        <v>0</v>
      </c>
      <c r="H1440" s="69">
        <f>+[3]Salary_Bdgt!$L$184</f>
        <v>0</v>
      </c>
      <c r="I1440" s="69">
        <f t="shared" si="193"/>
        <v>0</v>
      </c>
      <c r="J1440" s="69">
        <f t="shared" si="193"/>
        <v>0</v>
      </c>
      <c r="M1440" s="57"/>
    </row>
    <row r="1441" spans="1:13" x14ac:dyDescent="0.2">
      <c r="A1441" s="60">
        <v>1006</v>
      </c>
      <c r="B1441" s="70" t="s">
        <v>474</v>
      </c>
      <c r="C1441" s="69">
        <v>0</v>
      </c>
      <c r="D1441" s="69">
        <v>0</v>
      </c>
      <c r="E1441" s="69">
        <f>+D1441</f>
        <v>0</v>
      </c>
      <c r="F1441" s="69">
        <v>0</v>
      </c>
      <c r="G1441" s="69">
        <f t="shared" si="192"/>
        <v>0</v>
      </c>
      <c r="H1441" s="69">
        <f>+[3]Salary_Bdgt!$N$184</f>
        <v>0</v>
      </c>
      <c r="I1441" s="69">
        <f t="shared" si="193"/>
        <v>0</v>
      </c>
      <c r="J1441" s="69">
        <f t="shared" si="193"/>
        <v>0</v>
      </c>
      <c r="M1441" s="57"/>
    </row>
    <row r="1442" spans="1:13" x14ac:dyDescent="0.2">
      <c r="A1442" s="60">
        <v>1007</v>
      </c>
      <c r="B1442" s="70" t="s">
        <v>481</v>
      </c>
      <c r="C1442" s="69">
        <v>0</v>
      </c>
      <c r="D1442" s="69">
        <v>0</v>
      </c>
      <c r="E1442" s="69">
        <f>+D1442</f>
        <v>0</v>
      </c>
      <c r="F1442" s="69">
        <v>785</v>
      </c>
      <c r="G1442" s="69">
        <f t="shared" si="192"/>
        <v>942</v>
      </c>
      <c r="H1442" s="69">
        <f>+[3]Salary_Bdgt!$I$184</f>
        <v>1617</v>
      </c>
      <c r="I1442" s="69">
        <f t="shared" si="193"/>
        <v>1746</v>
      </c>
      <c r="J1442" s="69">
        <f t="shared" si="193"/>
        <v>1886</v>
      </c>
      <c r="M1442" s="57"/>
    </row>
    <row r="1443" spans="1:13" x14ac:dyDescent="0.2">
      <c r="A1443" s="60">
        <v>1009</v>
      </c>
      <c r="B1443" s="70" t="s">
        <v>482</v>
      </c>
      <c r="C1443" s="69">
        <v>0</v>
      </c>
      <c r="D1443" s="69">
        <v>0</v>
      </c>
      <c r="E1443" s="69">
        <f>+D1443</f>
        <v>0</v>
      </c>
      <c r="F1443" s="69">
        <v>11</v>
      </c>
      <c r="G1443" s="69">
        <f t="shared" si="192"/>
        <v>13.200000000000001</v>
      </c>
      <c r="H1443" s="69">
        <f>+[3]Salary_Bdgt!$M$184</f>
        <v>45</v>
      </c>
      <c r="I1443" s="69">
        <f t="shared" si="193"/>
        <v>49</v>
      </c>
      <c r="J1443" s="69">
        <f t="shared" si="193"/>
        <v>53</v>
      </c>
      <c r="M1443" s="57"/>
    </row>
    <row r="1444" spans="1:13" x14ac:dyDescent="0.2">
      <c r="A1444" s="60">
        <v>1010</v>
      </c>
      <c r="B1444" s="70" t="s">
        <v>28</v>
      </c>
      <c r="C1444" s="69">
        <v>0</v>
      </c>
      <c r="D1444" s="69">
        <v>0</v>
      </c>
      <c r="E1444" s="69">
        <f>+D1444</f>
        <v>0</v>
      </c>
      <c r="F1444" s="69">
        <v>0</v>
      </c>
      <c r="G1444" s="69">
        <f t="shared" si="192"/>
        <v>0</v>
      </c>
      <c r="H1444" s="69">
        <f>+[3]Salary_Bdgt!$Q$184</f>
        <v>14642</v>
      </c>
      <c r="I1444" s="69">
        <f t="shared" si="193"/>
        <v>15813</v>
      </c>
      <c r="J1444" s="69">
        <f t="shared" si="193"/>
        <v>17078</v>
      </c>
      <c r="M1444" s="57"/>
    </row>
    <row r="1445" spans="1:13" x14ac:dyDescent="0.2">
      <c r="A1445" s="60">
        <v>1011</v>
      </c>
      <c r="B1445" s="70" t="s">
        <v>4045</v>
      </c>
      <c r="C1445" s="69">
        <v>0</v>
      </c>
      <c r="D1445" s="69">
        <v>0</v>
      </c>
      <c r="E1445" s="69">
        <f>+D1445</f>
        <v>0</v>
      </c>
      <c r="F1445" s="69">
        <v>0</v>
      </c>
      <c r="G1445" s="69">
        <f t="shared" si="192"/>
        <v>0</v>
      </c>
      <c r="H1445" s="69">
        <f>+[3]Salary_Bdgt!$U$184</f>
        <v>0</v>
      </c>
      <c r="I1445" s="69">
        <f t="shared" si="193"/>
        <v>0</v>
      </c>
      <c r="J1445" s="69">
        <f t="shared" si="193"/>
        <v>0</v>
      </c>
      <c r="M1445" s="57"/>
    </row>
    <row r="1446" spans="1:13" x14ac:dyDescent="0.2">
      <c r="A1446" s="60">
        <v>1014</v>
      </c>
      <c r="B1446" s="70" t="s">
        <v>36</v>
      </c>
      <c r="C1446" s="69">
        <v>0</v>
      </c>
      <c r="D1446" s="69">
        <v>0</v>
      </c>
      <c r="E1446" s="69">
        <v>0</v>
      </c>
      <c r="F1446" s="69">
        <v>0</v>
      </c>
      <c r="G1446" s="69">
        <f t="shared" si="192"/>
        <v>0</v>
      </c>
      <c r="H1446" s="69">
        <f>+[3]Salary_Bdgt!$S$184</f>
        <v>0</v>
      </c>
      <c r="I1446" s="69">
        <f t="shared" si="193"/>
        <v>0</v>
      </c>
      <c r="J1446" s="69">
        <f t="shared" si="193"/>
        <v>0</v>
      </c>
      <c r="M1446" s="57"/>
    </row>
    <row r="1447" spans="1:13" x14ac:dyDescent="0.2">
      <c r="A1447" s="60">
        <v>1015</v>
      </c>
      <c r="B1447" s="70" t="s">
        <v>445</v>
      </c>
      <c r="C1447" s="69">
        <v>0</v>
      </c>
      <c r="D1447" s="69">
        <v>0</v>
      </c>
      <c r="E1447" s="69">
        <f>+D1447</f>
        <v>0</v>
      </c>
      <c r="F1447" s="69">
        <v>0</v>
      </c>
      <c r="G1447" s="69">
        <f t="shared" si="192"/>
        <v>0</v>
      </c>
      <c r="H1447" s="69">
        <f>+[3]Salary_Bdgt!$O$184+[3]Salary_Bdgt!$P$184+[3]Salary_Bdgt!$W$184</f>
        <v>0</v>
      </c>
      <c r="I1447" s="69">
        <f t="shared" si="193"/>
        <v>0</v>
      </c>
      <c r="J1447" s="69">
        <f t="shared" si="193"/>
        <v>0</v>
      </c>
      <c r="M1447" s="57"/>
    </row>
    <row r="1448" spans="1:13" x14ac:dyDescent="0.2">
      <c r="A1448" s="60">
        <v>1016</v>
      </c>
      <c r="B1448" s="70" t="s">
        <v>475</v>
      </c>
      <c r="C1448" s="69">
        <v>0</v>
      </c>
      <c r="D1448" s="69">
        <v>0</v>
      </c>
      <c r="E1448" s="69">
        <f>+D1448</f>
        <v>0</v>
      </c>
      <c r="F1448" s="69">
        <v>0</v>
      </c>
      <c r="G1448" s="69">
        <f t="shared" si="192"/>
        <v>0</v>
      </c>
      <c r="H1448" s="69">
        <f>+[3]Salary_Bdgt!$T$184+[3]Salary_Bdgt!$V$184</f>
        <v>0</v>
      </c>
      <c r="I1448" s="69">
        <f t="shared" si="193"/>
        <v>0</v>
      </c>
      <c r="J1448" s="69">
        <f t="shared" si="193"/>
        <v>0</v>
      </c>
      <c r="M1448" s="57"/>
    </row>
    <row r="1449" spans="1:13" x14ac:dyDescent="0.2">
      <c r="A1449" s="75">
        <v>1017</v>
      </c>
      <c r="B1449" s="70" t="s">
        <v>4044</v>
      </c>
      <c r="C1449" s="69">
        <v>0</v>
      </c>
      <c r="D1449" s="69">
        <v>0</v>
      </c>
      <c r="E1449" s="69">
        <f>+D1449</f>
        <v>0</v>
      </c>
      <c r="F1449" s="69">
        <v>0</v>
      </c>
      <c r="G1449" s="69">
        <f t="shared" si="192"/>
        <v>0</v>
      </c>
      <c r="H1449" s="69">
        <f>+[3]Salary_Bdgt!$J$184</f>
        <v>3514</v>
      </c>
      <c r="I1449" s="69">
        <f t="shared" si="193"/>
        <v>3795</v>
      </c>
      <c r="J1449" s="69">
        <f t="shared" si="193"/>
        <v>4099</v>
      </c>
      <c r="M1449" s="57"/>
    </row>
    <row r="1450" spans="1:13" x14ac:dyDescent="0.2">
      <c r="A1450" s="60">
        <v>1046</v>
      </c>
      <c r="B1450" s="70" t="s">
        <v>491</v>
      </c>
      <c r="C1450" s="69">
        <v>0</v>
      </c>
      <c r="D1450" s="69">
        <v>0</v>
      </c>
      <c r="E1450" s="69">
        <f>+D1450</f>
        <v>0</v>
      </c>
      <c r="F1450" s="69">
        <v>0</v>
      </c>
      <c r="G1450" s="69">
        <f t="shared" si="192"/>
        <v>0</v>
      </c>
      <c r="H1450" s="69">
        <f>+[3]Salary_Bdgt!$R$184</f>
        <v>0</v>
      </c>
      <c r="I1450" s="69">
        <f t="shared" si="193"/>
        <v>0</v>
      </c>
      <c r="J1450" s="69">
        <f t="shared" si="193"/>
        <v>0</v>
      </c>
      <c r="M1450" s="57"/>
    </row>
    <row r="1451" spans="1:13" x14ac:dyDescent="0.2">
      <c r="A1451" s="75">
        <v>1182</v>
      </c>
      <c r="B1451" s="71" t="s">
        <v>1065</v>
      </c>
      <c r="C1451" s="56">
        <v>0</v>
      </c>
      <c r="D1451" s="56">
        <v>0</v>
      </c>
      <c r="E1451" s="56">
        <f>+D1451</f>
        <v>0</v>
      </c>
      <c r="F1451" s="56">
        <v>0</v>
      </c>
      <c r="G1451" s="56">
        <f t="shared" si="192"/>
        <v>0</v>
      </c>
      <c r="H1451" s="56">
        <f>+[3]Salary_Bdgt!$K$184</f>
        <v>3268</v>
      </c>
      <c r="I1451" s="56">
        <f t="shared" si="193"/>
        <v>3529</v>
      </c>
      <c r="J1451" s="56">
        <f t="shared" si="193"/>
        <v>3811</v>
      </c>
      <c r="M1451" s="57"/>
    </row>
    <row r="1452" spans="1:13" x14ac:dyDescent="0.2">
      <c r="B1452" s="58" t="s">
        <v>416</v>
      </c>
      <c r="C1452" s="72">
        <f t="shared" ref="C1452:J1452" si="194">SUM(C1439:C1451)</f>
        <v>0</v>
      </c>
      <c r="D1452" s="72">
        <f t="shared" si="194"/>
        <v>0</v>
      </c>
      <c r="E1452" s="72">
        <f t="shared" si="194"/>
        <v>0</v>
      </c>
      <c r="F1452" s="72">
        <f t="shared" si="194"/>
        <v>41862</v>
      </c>
      <c r="G1452" s="72">
        <f t="shared" si="194"/>
        <v>50234.400000000001</v>
      </c>
      <c r="H1452" s="72">
        <f t="shared" si="194"/>
        <v>198787</v>
      </c>
      <c r="I1452" s="72">
        <f t="shared" si="194"/>
        <v>214689</v>
      </c>
      <c r="J1452" s="72">
        <f t="shared" si="194"/>
        <v>231865</v>
      </c>
      <c r="M1452" s="57"/>
    </row>
    <row r="1453" spans="1:13" ht="15" x14ac:dyDescent="0.25">
      <c r="B1453" s="48"/>
      <c r="C1453" s="48"/>
      <c r="D1453" s="48"/>
      <c r="E1453" s="48"/>
      <c r="F1453" s="24"/>
      <c r="G1453" s="69"/>
      <c r="H1453" s="69"/>
      <c r="M1453" s="57"/>
    </row>
    <row r="1454" spans="1:13" x14ac:dyDescent="0.2">
      <c r="B1454" s="58" t="s">
        <v>435</v>
      </c>
      <c r="C1454" s="69"/>
      <c r="D1454" s="69"/>
      <c r="E1454" s="69"/>
      <c r="G1454" s="69"/>
      <c r="H1454" s="69"/>
      <c r="I1454" s="69"/>
      <c r="J1454" s="69"/>
      <c r="M1454" s="57"/>
    </row>
    <row r="1455" spans="1:13" x14ac:dyDescent="0.2">
      <c r="A1455" s="75">
        <v>2238</v>
      </c>
      <c r="B1455" s="70" t="s">
        <v>479</v>
      </c>
      <c r="C1455" s="69">
        <v>0</v>
      </c>
      <c r="D1455" s="69">
        <v>0</v>
      </c>
      <c r="E1455" s="69">
        <v>0</v>
      </c>
      <c r="F1455" s="69">
        <v>13983</v>
      </c>
      <c r="G1455" s="69">
        <f>F1455/$F$11*$G$11</f>
        <v>16779.599999999999</v>
      </c>
      <c r="H1455" s="69">
        <f>ROUND(+G1455*1.06,0)</f>
        <v>17786</v>
      </c>
      <c r="I1455" s="69">
        <f>ROUND(+H1455*1.06,0)</f>
        <v>18853</v>
      </c>
      <c r="J1455" s="69">
        <f>ROUND(+I1455*1.06,0)</f>
        <v>19984</v>
      </c>
      <c r="M1455" s="57"/>
    </row>
    <row r="1456" spans="1:13" x14ac:dyDescent="0.2">
      <c r="A1456" s="75">
        <v>2246</v>
      </c>
      <c r="B1456" s="71" t="s">
        <v>394</v>
      </c>
      <c r="C1456" s="56">
        <v>0</v>
      </c>
      <c r="D1456" s="56">
        <v>0</v>
      </c>
      <c r="E1456" s="56">
        <v>0</v>
      </c>
      <c r="F1456" s="56">
        <v>0</v>
      </c>
      <c r="G1456" s="56">
        <f>F1456/$F$11*$G$11</f>
        <v>0</v>
      </c>
      <c r="H1456" s="56">
        <v>0</v>
      </c>
      <c r="I1456" s="56">
        <v>0</v>
      </c>
      <c r="J1456" s="56">
        <v>0</v>
      </c>
      <c r="M1456" s="57"/>
    </row>
    <row r="1457" spans="2:13" x14ac:dyDescent="0.2">
      <c r="B1457" s="58" t="s">
        <v>436</v>
      </c>
      <c r="C1457" s="72">
        <f t="shared" ref="C1457:J1457" si="195">SUM(C1455:C1456)</f>
        <v>0</v>
      </c>
      <c r="D1457" s="72">
        <f t="shared" si="195"/>
        <v>0</v>
      </c>
      <c r="E1457" s="72">
        <f t="shared" si="195"/>
        <v>0</v>
      </c>
      <c r="F1457" s="72">
        <f t="shared" si="195"/>
        <v>13983</v>
      </c>
      <c r="G1457" s="72">
        <f t="shared" si="195"/>
        <v>16779.599999999999</v>
      </c>
      <c r="H1457" s="72">
        <f t="shared" si="195"/>
        <v>17786</v>
      </c>
      <c r="I1457" s="72">
        <f t="shared" si="195"/>
        <v>18853</v>
      </c>
      <c r="J1457" s="72">
        <f t="shared" si="195"/>
        <v>19984</v>
      </c>
      <c r="M1457" s="57"/>
    </row>
    <row r="1458" spans="2:13" x14ac:dyDescent="0.2">
      <c r="B1458" s="61"/>
      <c r="C1458" s="97"/>
      <c r="D1458" s="97"/>
      <c r="E1458" s="97"/>
      <c r="F1458" s="97"/>
      <c r="G1458" s="97"/>
      <c r="H1458" s="97"/>
      <c r="I1458" s="97"/>
      <c r="J1458" s="97"/>
      <c r="M1458" s="57"/>
    </row>
    <row r="1459" spans="2:13" x14ac:dyDescent="0.2">
      <c r="B1459" s="58" t="s">
        <v>4055</v>
      </c>
      <c r="C1459" s="73">
        <f t="shared" ref="C1459:J1459" si="196">+C1457+C1452</f>
        <v>0</v>
      </c>
      <c r="D1459" s="73">
        <f t="shared" si="196"/>
        <v>0</v>
      </c>
      <c r="E1459" s="73">
        <f t="shared" si="196"/>
        <v>0</v>
      </c>
      <c r="F1459" s="73">
        <f t="shared" si="196"/>
        <v>55845</v>
      </c>
      <c r="G1459" s="73">
        <f t="shared" si="196"/>
        <v>67014</v>
      </c>
      <c r="H1459" s="73">
        <f t="shared" si="196"/>
        <v>216573</v>
      </c>
      <c r="I1459" s="73">
        <f t="shared" si="196"/>
        <v>233542</v>
      </c>
      <c r="J1459" s="73">
        <f t="shared" si="196"/>
        <v>251849</v>
      </c>
      <c r="M1459" s="57"/>
    </row>
    <row r="1460" spans="2:13" x14ac:dyDescent="0.2">
      <c r="B1460" s="58"/>
      <c r="C1460" s="96"/>
      <c r="D1460" s="96"/>
      <c r="E1460" s="96"/>
      <c r="F1460" s="96"/>
      <c r="G1460" s="96"/>
      <c r="H1460" s="96"/>
      <c r="I1460" s="96"/>
      <c r="J1460" s="96"/>
      <c r="M1460" s="57"/>
    </row>
    <row r="1461" spans="2:13" ht="13.5" thickBot="1" x14ac:dyDescent="0.25">
      <c r="B1461" s="65" t="s">
        <v>4025</v>
      </c>
      <c r="C1461" s="76">
        <f t="shared" ref="C1461:J1461" si="197">C1459</f>
        <v>0</v>
      </c>
      <c r="D1461" s="76">
        <f t="shared" si="197"/>
        <v>0</v>
      </c>
      <c r="E1461" s="76">
        <f t="shared" si="197"/>
        <v>0</v>
      </c>
      <c r="F1461" s="76">
        <f t="shared" si="197"/>
        <v>55845</v>
      </c>
      <c r="G1461" s="76">
        <f t="shared" si="197"/>
        <v>67014</v>
      </c>
      <c r="H1461" s="76">
        <f t="shared" si="197"/>
        <v>216573</v>
      </c>
      <c r="I1461" s="76">
        <f t="shared" si="197"/>
        <v>233542</v>
      </c>
      <c r="J1461" s="76">
        <f t="shared" si="197"/>
        <v>251849</v>
      </c>
      <c r="M1461" s="57"/>
    </row>
    <row r="1462" spans="2:13" ht="13.5" thickTop="1" x14ac:dyDescent="0.2">
      <c r="B1462" s="58"/>
      <c r="C1462" s="72"/>
      <c r="D1462" s="72"/>
      <c r="E1462" s="72"/>
      <c r="F1462" s="72"/>
      <c r="G1462" s="72"/>
      <c r="H1462" s="72"/>
      <c r="I1462" s="72"/>
      <c r="J1462" s="72"/>
      <c r="M1462" s="57"/>
    </row>
    <row r="1463" spans="2:13" ht="13.5" thickBot="1" x14ac:dyDescent="0.25">
      <c r="B1463" s="65" t="s">
        <v>4059</v>
      </c>
      <c r="C1463" s="77">
        <f t="shared" ref="C1463:J1463" si="198">+C1434-C1461</f>
        <v>0</v>
      </c>
      <c r="D1463" s="77">
        <f t="shared" si="198"/>
        <v>0</v>
      </c>
      <c r="E1463" s="77">
        <f t="shared" si="198"/>
        <v>0</v>
      </c>
      <c r="F1463" s="77">
        <f t="shared" si="198"/>
        <v>-55845</v>
      </c>
      <c r="G1463" s="77">
        <f t="shared" si="198"/>
        <v>-67014</v>
      </c>
      <c r="H1463" s="77">
        <f t="shared" si="198"/>
        <v>0</v>
      </c>
      <c r="I1463" s="77">
        <f t="shared" si="198"/>
        <v>0</v>
      </c>
      <c r="J1463" s="77">
        <f t="shared" si="198"/>
        <v>0</v>
      </c>
      <c r="M1463" s="57"/>
    </row>
    <row r="1464" spans="2:13" ht="13.5" thickTop="1" x14ac:dyDescent="0.2">
      <c r="B1464" s="58"/>
      <c r="C1464" s="78"/>
      <c r="D1464" s="78"/>
      <c r="E1464" s="78"/>
      <c r="G1464" s="69"/>
      <c r="H1464" s="69"/>
      <c r="I1464" s="78"/>
      <c r="J1464" s="78"/>
      <c r="M1464" s="57"/>
    </row>
    <row r="1465" spans="2:13" x14ac:dyDescent="0.2">
      <c r="F1465" s="24"/>
      <c r="G1465" s="69"/>
      <c r="H1465" s="69"/>
      <c r="M1465" s="57"/>
    </row>
    <row r="1466" spans="2:13" x14ac:dyDescent="0.2">
      <c r="F1466" s="24"/>
      <c r="G1466" s="69"/>
      <c r="H1466" s="69"/>
      <c r="M1466" s="57"/>
    </row>
    <row r="1467" spans="2:13" x14ac:dyDescent="0.2">
      <c r="F1467" s="24"/>
      <c r="G1467" s="69"/>
      <c r="H1467" s="69"/>
      <c r="M1467" s="57"/>
    </row>
    <row r="1468" spans="2:13" x14ac:dyDescent="0.2">
      <c r="F1468" s="24"/>
      <c r="G1468" s="69"/>
      <c r="H1468" s="69"/>
      <c r="M1468" s="57"/>
    </row>
    <row r="1469" spans="2:13" x14ac:dyDescent="0.2">
      <c r="F1469" s="24"/>
      <c r="G1469" s="69"/>
      <c r="H1469" s="69"/>
      <c r="M1469" s="57"/>
    </row>
    <row r="1470" spans="2:13" x14ac:dyDescent="0.2">
      <c r="F1470" s="24"/>
      <c r="G1470" s="69"/>
      <c r="H1470" s="69"/>
      <c r="M1470" s="57"/>
    </row>
    <row r="1471" spans="2:13" x14ac:dyDescent="0.2">
      <c r="F1471" s="24"/>
      <c r="G1471" s="69"/>
      <c r="H1471" s="69"/>
      <c r="M1471" s="57"/>
    </row>
    <row r="1472" spans="2:13" x14ac:dyDescent="0.2">
      <c r="F1472" s="24"/>
      <c r="G1472" s="69"/>
      <c r="H1472" s="69"/>
      <c r="M1472" s="57"/>
    </row>
    <row r="1473" spans="6:13" x14ac:dyDescent="0.2">
      <c r="F1473" s="24"/>
      <c r="G1473" s="69"/>
      <c r="H1473" s="69"/>
      <c r="M1473" s="57"/>
    </row>
    <row r="1474" spans="6:13" x14ac:dyDescent="0.2">
      <c r="F1474" s="24"/>
      <c r="G1474" s="69"/>
      <c r="H1474" s="69"/>
      <c r="M1474" s="57"/>
    </row>
    <row r="1475" spans="6:13" x14ac:dyDescent="0.2">
      <c r="F1475" s="24"/>
      <c r="G1475" s="69"/>
      <c r="H1475" s="69"/>
      <c r="M1475" s="57"/>
    </row>
    <row r="1476" spans="6:13" x14ac:dyDescent="0.2">
      <c r="F1476" s="24"/>
      <c r="G1476" s="69"/>
      <c r="H1476" s="69"/>
      <c r="M1476" s="57"/>
    </row>
    <row r="1477" spans="6:13" x14ac:dyDescent="0.2">
      <c r="F1477" s="24"/>
      <c r="G1477" s="69"/>
      <c r="H1477" s="69"/>
      <c r="M1477" s="57"/>
    </row>
    <row r="1478" spans="6:13" x14ac:dyDescent="0.2">
      <c r="F1478" s="24"/>
      <c r="G1478" s="69"/>
      <c r="H1478" s="69"/>
      <c r="M1478" s="57"/>
    </row>
    <row r="1479" spans="6:13" x14ac:dyDescent="0.2">
      <c r="F1479" s="24"/>
      <c r="G1479" s="69"/>
      <c r="H1479" s="69"/>
      <c r="M1479" s="57"/>
    </row>
    <row r="1480" spans="6:13" x14ac:dyDescent="0.2">
      <c r="F1480" s="24"/>
      <c r="G1480" s="69"/>
      <c r="H1480" s="69"/>
      <c r="M1480" s="57"/>
    </row>
    <row r="1481" spans="6:13" x14ac:dyDescent="0.2">
      <c r="F1481" s="24"/>
      <c r="G1481" s="69"/>
      <c r="H1481" s="69"/>
      <c r="M1481" s="57"/>
    </row>
    <row r="1482" spans="6:13" x14ac:dyDescent="0.2">
      <c r="F1482" s="24"/>
      <c r="G1482" s="69"/>
      <c r="H1482" s="69"/>
      <c r="M1482" s="57"/>
    </row>
    <row r="1483" spans="6:13" x14ac:dyDescent="0.2">
      <c r="F1483" s="24"/>
      <c r="G1483" s="69"/>
      <c r="H1483" s="69"/>
      <c r="M1483" s="57"/>
    </row>
    <row r="1484" spans="6:13" x14ac:dyDescent="0.2">
      <c r="F1484" s="24"/>
      <c r="G1484" s="69"/>
      <c r="H1484" s="69"/>
      <c r="M1484" s="57"/>
    </row>
    <row r="1485" spans="6:13" x14ac:dyDescent="0.2">
      <c r="F1485" s="24"/>
      <c r="G1485" s="69"/>
      <c r="H1485" s="69"/>
      <c r="M1485" s="57"/>
    </row>
    <row r="1486" spans="6:13" x14ac:dyDescent="0.2">
      <c r="F1486" s="24"/>
      <c r="G1486" s="69"/>
      <c r="H1486" s="69"/>
      <c r="M1486" s="57"/>
    </row>
    <row r="1487" spans="6:13" x14ac:dyDescent="0.2">
      <c r="F1487" s="24"/>
      <c r="G1487" s="69"/>
      <c r="H1487" s="69"/>
      <c r="M1487" s="57"/>
    </row>
    <row r="1488" spans="6:13" x14ac:dyDescent="0.2">
      <c r="F1488" s="24"/>
      <c r="G1488" s="69"/>
      <c r="H1488" s="69"/>
      <c r="M1488" s="57"/>
    </row>
    <row r="1489" spans="6:13" x14ac:dyDescent="0.2">
      <c r="F1489" s="24"/>
      <c r="G1489" s="69"/>
      <c r="H1489" s="69"/>
      <c r="M1489" s="57"/>
    </row>
    <row r="1490" spans="6:13" x14ac:dyDescent="0.2">
      <c r="F1490" s="24"/>
      <c r="G1490" s="69"/>
      <c r="H1490" s="69"/>
      <c r="M1490" s="57"/>
    </row>
    <row r="1491" spans="6:13" x14ac:dyDescent="0.2">
      <c r="F1491" s="24"/>
      <c r="G1491" s="69"/>
      <c r="H1491" s="69"/>
      <c r="M1491" s="57"/>
    </row>
    <row r="1492" spans="6:13" x14ac:dyDescent="0.2">
      <c r="F1492" s="24"/>
      <c r="G1492" s="69"/>
      <c r="H1492" s="69"/>
      <c r="M1492" s="57"/>
    </row>
    <row r="1493" spans="6:13" x14ac:dyDescent="0.2">
      <c r="F1493" s="24"/>
      <c r="G1493" s="69"/>
      <c r="H1493" s="69"/>
      <c r="M1493" s="57"/>
    </row>
    <row r="1494" spans="6:13" x14ac:dyDescent="0.2">
      <c r="F1494" s="24"/>
      <c r="G1494" s="69"/>
      <c r="H1494" s="69"/>
      <c r="M1494" s="57"/>
    </row>
    <row r="1495" spans="6:13" x14ac:dyDescent="0.2">
      <c r="F1495" s="24"/>
      <c r="G1495" s="69"/>
      <c r="H1495" s="69"/>
      <c r="M1495" s="57"/>
    </row>
    <row r="1496" spans="6:13" x14ac:dyDescent="0.2">
      <c r="F1496" s="24"/>
      <c r="G1496" s="69"/>
      <c r="H1496" s="69"/>
      <c r="M1496" s="57"/>
    </row>
    <row r="1497" spans="6:13" x14ac:dyDescent="0.2">
      <c r="F1497" s="24"/>
      <c r="G1497" s="69"/>
      <c r="H1497" s="69"/>
      <c r="M1497" s="57"/>
    </row>
    <row r="1498" spans="6:13" x14ac:dyDescent="0.2">
      <c r="F1498" s="24"/>
      <c r="G1498" s="69"/>
      <c r="H1498" s="69"/>
      <c r="M1498" s="57"/>
    </row>
    <row r="1499" spans="6:13" x14ac:dyDescent="0.2">
      <c r="F1499" s="24"/>
      <c r="G1499" s="69"/>
      <c r="H1499" s="69"/>
      <c r="M1499" s="57"/>
    </row>
    <row r="1500" spans="6:13" x14ac:dyDescent="0.2">
      <c r="F1500" s="24"/>
      <c r="G1500" s="69"/>
      <c r="H1500" s="69"/>
      <c r="M1500" s="57"/>
    </row>
    <row r="1501" spans="6:13" x14ac:dyDescent="0.2">
      <c r="F1501" s="24"/>
      <c r="G1501" s="69"/>
      <c r="H1501" s="69"/>
      <c r="M1501" s="57"/>
    </row>
    <row r="1502" spans="6:13" x14ac:dyDescent="0.2">
      <c r="F1502" s="24"/>
      <c r="G1502" s="69"/>
      <c r="H1502" s="69"/>
      <c r="M1502" s="57"/>
    </row>
    <row r="1503" spans="6:13" x14ac:dyDescent="0.2">
      <c r="F1503" s="24"/>
      <c r="G1503" s="69"/>
      <c r="H1503" s="69"/>
      <c r="M1503" s="57"/>
    </row>
    <row r="1504" spans="6:13" x14ac:dyDescent="0.2">
      <c r="F1504" s="24"/>
      <c r="G1504" s="69"/>
      <c r="H1504" s="69"/>
      <c r="M1504" s="57"/>
    </row>
    <row r="1505" spans="1:13" x14ac:dyDescent="0.2">
      <c r="F1505" s="24"/>
      <c r="G1505" s="69"/>
      <c r="H1505" s="69"/>
      <c r="M1505" s="57"/>
    </row>
    <row r="1506" spans="1:13" x14ac:dyDescent="0.2">
      <c r="F1506" s="24"/>
      <c r="G1506" s="69"/>
      <c r="H1506" s="69"/>
      <c r="M1506" s="57"/>
    </row>
    <row r="1507" spans="1:13" x14ac:dyDescent="0.2">
      <c r="F1507" s="24"/>
      <c r="G1507" s="69"/>
      <c r="H1507" s="69"/>
      <c r="M1507" s="57"/>
    </row>
    <row r="1508" spans="1:13" x14ac:dyDescent="0.2">
      <c r="F1508" s="24"/>
      <c r="G1508" s="69"/>
      <c r="H1508" s="69"/>
      <c r="M1508" s="57"/>
    </row>
    <row r="1509" spans="1:13" x14ac:dyDescent="0.2">
      <c r="F1509" s="24"/>
      <c r="G1509" s="69"/>
      <c r="H1509" s="69"/>
      <c r="M1509" s="57"/>
    </row>
    <row r="1510" spans="1:13" x14ac:dyDescent="0.2">
      <c r="F1510" s="24"/>
      <c r="G1510" s="69"/>
      <c r="H1510" s="69"/>
      <c r="M1510" s="57"/>
    </row>
    <row r="1511" spans="1:13" ht="15.75" x14ac:dyDescent="0.25">
      <c r="A1511" s="98">
        <v>1400</v>
      </c>
      <c r="B1511" s="118" t="s">
        <v>233</v>
      </c>
      <c r="G1511" s="69"/>
      <c r="H1511" s="69"/>
      <c r="M1511" s="57"/>
    </row>
    <row r="1512" spans="1:13" ht="15" x14ac:dyDescent="0.25">
      <c r="A1512" s="91">
        <v>1410</v>
      </c>
      <c r="B1512" s="48" t="s">
        <v>25</v>
      </c>
      <c r="C1512" s="48"/>
      <c r="D1512" s="48"/>
      <c r="E1512" s="48"/>
      <c r="G1512" s="69"/>
      <c r="H1512" s="69"/>
      <c r="M1512" s="57"/>
    </row>
    <row r="1513" spans="1:13" ht="15" x14ac:dyDescent="0.25">
      <c r="B1513" s="48"/>
      <c r="C1513" s="48"/>
      <c r="D1513" s="48"/>
      <c r="E1513" s="48"/>
      <c r="G1513" s="69"/>
      <c r="H1513" s="69"/>
      <c r="M1513" s="57"/>
    </row>
    <row r="1514" spans="1:13" x14ac:dyDescent="0.2">
      <c r="B1514" s="50" t="s">
        <v>4018</v>
      </c>
      <c r="C1514" s="50"/>
      <c r="D1514" s="50"/>
      <c r="E1514" s="50"/>
      <c r="G1514" s="69"/>
      <c r="H1514" s="69"/>
      <c r="I1514" s="50"/>
      <c r="J1514" s="50"/>
      <c r="M1514" s="57"/>
    </row>
    <row r="1515" spans="1:13" x14ac:dyDescent="0.2">
      <c r="B1515" s="50"/>
      <c r="C1515" s="50"/>
      <c r="D1515" s="50"/>
      <c r="E1515" s="50"/>
      <c r="G1515" s="69"/>
      <c r="H1515" s="69"/>
      <c r="I1515" s="50"/>
      <c r="J1515" s="50"/>
      <c r="M1515" s="57"/>
    </row>
    <row r="1516" spans="1:13" x14ac:dyDescent="0.2">
      <c r="B1516" s="58" t="s">
        <v>4019</v>
      </c>
      <c r="C1516" s="69"/>
      <c r="D1516" s="69"/>
      <c r="E1516" s="69"/>
      <c r="G1516" s="69"/>
      <c r="H1516" s="69"/>
      <c r="I1516" s="69"/>
      <c r="J1516" s="69"/>
      <c r="M1516" s="57"/>
    </row>
    <row r="1517" spans="1:13" x14ac:dyDescent="0.2">
      <c r="A1517" s="60">
        <v>1001</v>
      </c>
      <c r="B1517" s="70" t="s">
        <v>472</v>
      </c>
      <c r="C1517" s="69">
        <v>213820</v>
      </c>
      <c r="D1517" s="69">
        <v>320311</v>
      </c>
      <c r="E1517" s="69">
        <v>304902</v>
      </c>
      <c r="F1517" s="69">
        <v>347952</v>
      </c>
      <c r="G1517" s="69">
        <f t="shared" ref="G1517:G1529" si="199">F1517/$F$11*$G$11</f>
        <v>417542.39999999997</v>
      </c>
      <c r="H1517" s="69">
        <f>[3]Salary_Bdgt!$H$190</f>
        <v>68482</v>
      </c>
      <c r="I1517" s="69">
        <f t="shared" ref="I1517:J1529" si="200">ROUND(H1517*1.08,0)</f>
        <v>73961</v>
      </c>
      <c r="J1517" s="69">
        <f t="shared" si="200"/>
        <v>79878</v>
      </c>
      <c r="M1517" s="57"/>
    </row>
    <row r="1518" spans="1:13" x14ac:dyDescent="0.2">
      <c r="A1518" s="60">
        <v>1005</v>
      </c>
      <c r="B1518" s="70" t="s">
        <v>473</v>
      </c>
      <c r="C1518" s="69">
        <v>32996</v>
      </c>
      <c r="D1518" s="69">
        <v>39220</v>
      </c>
      <c r="E1518" s="69">
        <f>+D1518</f>
        <v>39220</v>
      </c>
      <c r="F1518" s="69">
        <v>45333</v>
      </c>
      <c r="G1518" s="69">
        <f t="shared" si="199"/>
        <v>54399.600000000006</v>
      </c>
      <c r="H1518" s="69">
        <f>+[3]Salary_Bdgt!$L$190</f>
        <v>3751</v>
      </c>
      <c r="I1518" s="69">
        <f t="shared" si="200"/>
        <v>4051</v>
      </c>
      <c r="J1518" s="69">
        <f t="shared" si="200"/>
        <v>4375</v>
      </c>
      <c r="M1518" s="57"/>
    </row>
    <row r="1519" spans="1:13" x14ac:dyDescent="0.2">
      <c r="A1519" s="60">
        <v>1006</v>
      </c>
      <c r="B1519" s="70" t="s">
        <v>474</v>
      </c>
      <c r="C1519" s="69">
        <v>41505</v>
      </c>
      <c r="D1519" s="69">
        <v>34643</v>
      </c>
      <c r="E1519" s="69">
        <f>+D1519+15378</f>
        <v>50021</v>
      </c>
      <c r="F1519" s="69">
        <v>65592</v>
      </c>
      <c r="G1519" s="69">
        <f t="shared" si="199"/>
        <v>78710.399999999994</v>
      </c>
      <c r="H1519" s="69">
        <f>+[3]Salary_Bdgt!$N$190</f>
        <v>14553</v>
      </c>
      <c r="I1519" s="69">
        <f t="shared" si="200"/>
        <v>15717</v>
      </c>
      <c r="J1519" s="69">
        <f t="shared" si="200"/>
        <v>16974</v>
      </c>
      <c r="M1519" s="57"/>
    </row>
    <row r="1520" spans="1:13" x14ac:dyDescent="0.2">
      <c r="A1520" s="60">
        <v>1007</v>
      </c>
      <c r="B1520" s="70" t="s">
        <v>481</v>
      </c>
      <c r="C1520" s="69">
        <v>2263</v>
      </c>
      <c r="D1520" s="69">
        <v>4341</v>
      </c>
      <c r="E1520" s="69">
        <f>+D1520</f>
        <v>4341</v>
      </c>
      <c r="F1520" s="69">
        <v>3512</v>
      </c>
      <c r="G1520" s="69">
        <f t="shared" si="199"/>
        <v>4214.3999999999996</v>
      </c>
      <c r="H1520" s="69">
        <f>+[3]Salary_Bdgt!$I$190</f>
        <v>1385</v>
      </c>
      <c r="I1520" s="69">
        <f t="shared" si="200"/>
        <v>1496</v>
      </c>
      <c r="J1520" s="69">
        <f t="shared" si="200"/>
        <v>1616</v>
      </c>
      <c r="M1520" s="57"/>
    </row>
    <row r="1521" spans="1:13" x14ac:dyDescent="0.2">
      <c r="A1521" s="60">
        <v>1009</v>
      </c>
      <c r="B1521" s="70" t="s">
        <v>482</v>
      </c>
      <c r="C1521" s="69">
        <v>104</v>
      </c>
      <c r="D1521" s="69">
        <f>[2]Sal_RIA!$M$153</f>
        <v>77</v>
      </c>
      <c r="E1521" s="69">
        <f>+D1521+31</f>
        <v>108</v>
      </c>
      <c r="F1521" s="69">
        <v>131</v>
      </c>
      <c r="G1521" s="69">
        <f t="shared" si="199"/>
        <v>157.19999999999999</v>
      </c>
      <c r="H1521" s="69">
        <f>+[3]Salary_Bdgt!$M$190</f>
        <v>45</v>
      </c>
      <c r="I1521" s="69">
        <f t="shared" si="200"/>
        <v>49</v>
      </c>
      <c r="J1521" s="69">
        <f t="shared" si="200"/>
        <v>53</v>
      </c>
      <c r="M1521" s="57"/>
    </row>
    <row r="1522" spans="1:13" x14ac:dyDescent="0.2">
      <c r="A1522" s="60">
        <v>1010</v>
      </c>
      <c r="B1522" s="70" t="s">
        <v>28</v>
      </c>
      <c r="C1522" s="69">
        <v>20617</v>
      </c>
      <c r="D1522" s="69">
        <v>26693</v>
      </c>
      <c r="E1522" s="69">
        <f>+D1522</f>
        <v>26693</v>
      </c>
      <c r="F1522" s="69">
        <v>26814</v>
      </c>
      <c r="G1522" s="69">
        <f t="shared" si="199"/>
        <v>32176.800000000003</v>
      </c>
      <c r="H1522" s="69">
        <f>+[3]Salary_Bdgt!$Q$190</f>
        <v>5707</v>
      </c>
      <c r="I1522" s="69">
        <f t="shared" si="200"/>
        <v>6164</v>
      </c>
      <c r="J1522" s="69">
        <f t="shared" si="200"/>
        <v>6657</v>
      </c>
      <c r="M1522" s="57"/>
    </row>
    <row r="1523" spans="1:13" x14ac:dyDescent="0.2">
      <c r="A1523" s="60">
        <v>1011</v>
      </c>
      <c r="B1523" s="70" t="s">
        <v>4045</v>
      </c>
      <c r="C1523" s="69">
        <v>0</v>
      </c>
      <c r="D1523" s="69">
        <v>0</v>
      </c>
      <c r="E1523" s="69">
        <v>0</v>
      </c>
      <c r="F1523" s="69">
        <v>0</v>
      </c>
      <c r="G1523" s="69">
        <f t="shared" si="199"/>
        <v>0</v>
      </c>
      <c r="H1523" s="69">
        <f>+[3]Salary_Bdgt!$U$190</f>
        <v>0</v>
      </c>
      <c r="I1523" s="69">
        <f t="shared" si="200"/>
        <v>0</v>
      </c>
      <c r="J1523" s="69">
        <f t="shared" si="200"/>
        <v>0</v>
      </c>
      <c r="M1523" s="57"/>
    </row>
    <row r="1524" spans="1:13" x14ac:dyDescent="0.2">
      <c r="A1524" s="60">
        <v>1014</v>
      </c>
      <c r="B1524" s="70" t="s">
        <v>36</v>
      </c>
      <c r="C1524" s="69">
        <v>0</v>
      </c>
      <c r="D1524" s="69">
        <v>0</v>
      </c>
      <c r="E1524" s="69">
        <v>0</v>
      </c>
      <c r="F1524" s="69">
        <v>0</v>
      </c>
      <c r="G1524" s="69">
        <f t="shared" si="199"/>
        <v>0</v>
      </c>
      <c r="H1524" s="69">
        <f>+[3]Salary_Bdgt!$S$190</f>
        <v>0</v>
      </c>
      <c r="I1524" s="69">
        <f t="shared" si="200"/>
        <v>0</v>
      </c>
      <c r="J1524" s="69">
        <f t="shared" si="200"/>
        <v>0</v>
      </c>
      <c r="M1524" s="57"/>
    </row>
    <row r="1525" spans="1:13" x14ac:dyDescent="0.2">
      <c r="A1525" s="60">
        <v>1015</v>
      </c>
      <c r="B1525" s="70" t="s">
        <v>445</v>
      </c>
      <c r="C1525" s="69">
        <v>0</v>
      </c>
      <c r="D1525" s="69">
        <v>0</v>
      </c>
      <c r="E1525" s="69">
        <v>0</v>
      </c>
      <c r="F1525" s="69">
        <v>0</v>
      </c>
      <c r="G1525" s="69">
        <f t="shared" si="199"/>
        <v>0</v>
      </c>
      <c r="H1525" s="69">
        <f>+[3]Salary_Bdgt!$O$190+[3]Salary_Bdgt!$P$190+[3]Salary_Bdgt!$W$190</f>
        <v>0</v>
      </c>
      <c r="I1525" s="69">
        <f t="shared" si="200"/>
        <v>0</v>
      </c>
      <c r="J1525" s="69">
        <f t="shared" si="200"/>
        <v>0</v>
      </c>
      <c r="M1525" s="57"/>
    </row>
    <row r="1526" spans="1:13" x14ac:dyDescent="0.2">
      <c r="A1526" s="60">
        <v>1016</v>
      </c>
      <c r="B1526" s="70" t="s">
        <v>475</v>
      </c>
      <c r="C1526" s="69">
        <v>0</v>
      </c>
      <c r="D1526" s="69">
        <v>0</v>
      </c>
      <c r="E1526" s="69">
        <v>0</v>
      </c>
      <c r="F1526" s="69">
        <v>13427</v>
      </c>
      <c r="G1526" s="69">
        <f t="shared" si="199"/>
        <v>16112.400000000001</v>
      </c>
      <c r="H1526" s="69">
        <f>+[3]Salary_Bdgt!$T$190+[3]Salary_Bdgt!$V$190</f>
        <v>1549</v>
      </c>
      <c r="I1526" s="69">
        <f t="shared" si="200"/>
        <v>1673</v>
      </c>
      <c r="J1526" s="69">
        <f t="shared" si="200"/>
        <v>1807</v>
      </c>
      <c r="M1526" s="57"/>
    </row>
    <row r="1527" spans="1:13" x14ac:dyDescent="0.2">
      <c r="A1527" s="60">
        <v>1046</v>
      </c>
      <c r="B1527" s="70" t="s">
        <v>491</v>
      </c>
      <c r="C1527" s="69">
        <v>0</v>
      </c>
      <c r="D1527" s="69">
        <v>0</v>
      </c>
      <c r="E1527" s="69">
        <v>0</v>
      </c>
      <c r="F1527" s="69">
        <v>0</v>
      </c>
      <c r="G1527" s="69">
        <f t="shared" si="199"/>
        <v>0</v>
      </c>
      <c r="H1527" s="69">
        <f>+[3]Salary_Bdgt!$R$190</f>
        <v>0</v>
      </c>
      <c r="I1527" s="69">
        <f t="shared" si="200"/>
        <v>0</v>
      </c>
      <c r="J1527" s="69">
        <f t="shared" si="200"/>
        <v>0</v>
      </c>
      <c r="M1527" s="57"/>
    </row>
    <row r="1528" spans="1:13" x14ac:dyDescent="0.2">
      <c r="A1528" s="75">
        <v>1182</v>
      </c>
      <c r="B1528" s="70" t="s">
        <v>1065</v>
      </c>
      <c r="C1528" s="69">
        <v>1996</v>
      </c>
      <c r="D1528" s="69">
        <v>6406</v>
      </c>
      <c r="E1528" s="69">
        <f>+D1528</f>
        <v>6406</v>
      </c>
      <c r="F1528" s="69">
        <v>0</v>
      </c>
      <c r="G1528" s="69">
        <f t="shared" si="199"/>
        <v>0</v>
      </c>
      <c r="H1528" s="69">
        <f>+[3]Salary_Bdgt!$K$190</f>
        <v>1288</v>
      </c>
      <c r="I1528" s="69">
        <f t="shared" si="200"/>
        <v>1391</v>
      </c>
      <c r="J1528" s="69">
        <f t="shared" si="200"/>
        <v>1502</v>
      </c>
      <c r="M1528" s="57"/>
    </row>
    <row r="1529" spans="1:13" x14ac:dyDescent="0.2">
      <c r="A1529" s="75">
        <v>1017</v>
      </c>
      <c r="B1529" s="71" t="s">
        <v>4044</v>
      </c>
      <c r="C1529" s="56">
        <v>2625</v>
      </c>
      <c r="D1529" s="56">
        <v>5958</v>
      </c>
      <c r="E1529" s="56">
        <f>+D1529</f>
        <v>5958</v>
      </c>
      <c r="F1529" s="56">
        <v>2372</v>
      </c>
      <c r="G1529" s="56">
        <f t="shared" si="199"/>
        <v>2846.3999999999996</v>
      </c>
      <c r="H1529" s="56">
        <f>+[3]Salary_Bdgt!$J$190</f>
        <v>1385</v>
      </c>
      <c r="I1529" s="56">
        <f t="shared" si="200"/>
        <v>1496</v>
      </c>
      <c r="J1529" s="56">
        <f t="shared" si="200"/>
        <v>1616</v>
      </c>
      <c r="M1529" s="57"/>
    </row>
    <row r="1530" spans="1:13" x14ac:dyDescent="0.2">
      <c r="B1530" s="58" t="s">
        <v>416</v>
      </c>
      <c r="C1530" s="72">
        <f t="shared" ref="C1530:J1530" si="201">SUM(C1517:C1529)</f>
        <v>315926</v>
      </c>
      <c r="D1530" s="72">
        <f t="shared" si="201"/>
        <v>437649</v>
      </c>
      <c r="E1530" s="72">
        <f t="shared" si="201"/>
        <v>437649</v>
      </c>
      <c r="F1530" s="72">
        <f t="shared" si="201"/>
        <v>505133</v>
      </c>
      <c r="G1530" s="72">
        <f t="shared" si="201"/>
        <v>606159.60000000009</v>
      </c>
      <c r="H1530" s="72">
        <f t="shared" si="201"/>
        <v>98145</v>
      </c>
      <c r="I1530" s="72">
        <f t="shared" si="201"/>
        <v>105998</v>
      </c>
      <c r="J1530" s="72">
        <f t="shared" si="201"/>
        <v>114478</v>
      </c>
      <c r="M1530" s="57"/>
    </row>
    <row r="1531" spans="1:13" x14ac:dyDescent="0.2">
      <c r="B1531" s="58"/>
      <c r="C1531" s="69"/>
      <c r="D1531" s="69"/>
      <c r="E1531" s="69"/>
      <c r="F1531" s="109"/>
      <c r="G1531" s="69"/>
      <c r="H1531" s="69"/>
      <c r="I1531" s="69"/>
      <c r="J1531" s="69"/>
      <c r="M1531" s="57"/>
    </row>
    <row r="1532" spans="1:13" x14ac:dyDescent="0.2">
      <c r="B1532" s="58" t="s">
        <v>4021</v>
      </c>
      <c r="C1532" s="69"/>
      <c r="D1532" s="69"/>
      <c r="E1532" s="69"/>
      <c r="G1532" s="69"/>
      <c r="H1532" s="69"/>
      <c r="I1532" s="69"/>
      <c r="J1532" s="69"/>
      <c r="M1532" s="57"/>
    </row>
    <row r="1533" spans="1:13" x14ac:dyDescent="0.2">
      <c r="A1533" s="75">
        <v>3207</v>
      </c>
      <c r="B1533" s="71" t="s">
        <v>4046</v>
      </c>
      <c r="C1533" s="56">
        <v>0</v>
      </c>
      <c r="D1533" s="56">
        <v>1050</v>
      </c>
      <c r="E1533" s="56">
        <v>1050</v>
      </c>
      <c r="F1533" s="56">
        <v>1000</v>
      </c>
      <c r="G1533" s="56">
        <f>F1533/$F$11*$G$11</f>
        <v>1200</v>
      </c>
      <c r="H1533" s="56">
        <f>ROUND(E1533*1.05,0)</f>
        <v>1103</v>
      </c>
      <c r="I1533" s="56">
        <f>ROUND(H1533*1.06,0)</f>
        <v>1169</v>
      </c>
      <c r="J1533" s="56">
        <f>ROUND(I1533*1.06,0)</f>
        <v>1239</v>
      </c>
      <c r="M1533" s="57"/>
    </row>
    <row r="1534" spans="1:13" x14ac:dyDescent="0.2">
      <c r="B1534" s="58" t="s">
        <v>417</v>
      </c>
      <c r="C1534" s="72">
        <f>SUM(C1533:C1533)</f>
        <v>0</v>
      </c>
      <c r="D1534" s="72">
        <f t="shared" ref="D1534:J1534" si="202">SUM(D1533:D1533)</f>
        <v>1050</v>
      </c>
      <c r="E1534" s="72">
        <f t="shared" si="202"/>
        <v>1050</v>
      </c>
      <c r="F1534" s="72">
        <f t="shared" si="202"/>
        <v>1000</v>
      </c>
      <c r="G1534" s="72">
        <f t="shared" si="202"/>
        <v>1200</v>
      </c>
      <c r="H1534" s="72">
        <f t="shared" si="202"/>
        <v>1103</v>
      </c>
      <c r="I1534" s="72">
        <f t="shared" si="202"/>
        <v>1169</v>
      </c>
      <c r="J1534" s="72">
        <f t="shared" si="202"/>
        <v>1239</v>
      </c>
      <c r="M1534" s="57"/>
    </row>
    <row r="1535" spans="1:13" x14ac:dyDescent="0.2">
      <c r="B1535" s="58"/>
      <c r="C1535" s="69"/>
      <c r="D1535" s="69"/>
      <c r="E1535" s="69"/>
      <c r="F1535" s="24"/>
      <c r="G1535" s="69"/>
      <c r="H1535" s="69"/>
      <c r="I1535" s="69"/>
      <c r="J1535" s="69"/>
      <c r="M1535" s="57"/>
    </row>
    <row r="1536" spans="1:13" x14ac:dyDescent="0.2">
      <c r="B1536" s="58" t="s">
        <v>435</v>
      </c>
      <c r="C1536" s="69"/>
      <c r="D1536" s="69"/>
      <c r="E1536" s="69"/>
      <c r="F1536" s="24"/>
      <c r="G1536" s="69"/>
      <c r="H1536" s="69"/>
      <c r="I1536" s="69"/>
      <c r="J1536" s="69"/>
      <c r="M1536" s="57"/>
    </row>
    <row r="1537" spans="1:13" x14ac:dyDescent="0.2">
      <c r="A1537" s="60">
        <v>2113</v>
      </c>
      <c r="B1537" s="70" t="s">
        <v>21</v>
      </c>
      <c r="C1537" s="69">
        <v>56</v>
      </c>
      <c r="D1537" s="69">
        <v>5250</v>
      </c>
      <c r="E1537" s="69">
        <v>5250</v>
      </c>
      <c r="F1537" s="69">
        <v>543</v>
      </c>
      <c r="G1537" s="69">
        <f t="shared" ref="G1537:G1544" si="203">F1537/$F$11*$G$11</f>
        <v>651.59999999999991</v>
      </c>
      <c r="H1537" s="69">
        <f>ROUND(E1537*1.05,0)</f>
        <v>5513</v>
      </c>
      <c r="I1537" s="69">
        <f t="shared" ref="I1537:J1544" si="204">ROUND(H1537*1.06,0)</f>
        <v>5844</v>
      </c>
      <c r="J1537" s="69">
        <f t="shared" si="204"/>
        <v>6195</v>
      </c>
      <c r="M1537" s="57"/>
    </row>
    <row r="1538" spans="1:13" x14ac:dyDescent="0.2">
      <c r="A1538" s="60">
        <v>2207</v>
      </c>
      <c r="B1538" s="70" t="s">
        <v>4063</v>
      </c>
      <c r="C1538" s="69">
        <v>0</v>
      </c>
      <c r="D1538" s="69">
        <v>1050</v>
      </c>
      <c r="E1538" s="69">
        <v>1050</v>
      </c>
      <c r="F1538" s="69">
        <v>0</v>
      </c>
      <c r="G1538" s="69">
        <f t="shared" si="203"/>
        <v>0</v>
      </c>
      <c r="H1538" s="69">
        <v>0</v>
      </c>
      <c r="I1538" s="69">
        <f t="shared" si="204"/>
        <v>0</v>
      </c>
      <c r="J1538" s="69">
        <f t="shared" si="204"/>
        <v>0</v>
      </c>
      <c r="M1538" s="57"/>
    </row>
    <row r="1539" spans="1:13" x14ac:dyDescent="0.2">
      <c r="A1539" s="60">
        <v>2212</v>
      </c>
      <c r="B1539" s="70" t="s">
        <v>488</v>
      </c>
      <c r="C1539" s="69">
        <v>0</v>
      </c>
      <c r="D1539" s="69">
        <v>1050</v>
      </c>
      <c r="E1539" s="69">
        <v>1050</v>
      </c>
      <c r="F1539" s="69">
        <v>0</v>
      </c>
      <c r="G1539" s="69">
        <f t="shared" si="203"/>
        <v>0</v>
      </c>
      <c r="H1539" s="69">
        <f>ROUND(E1539*1.05,0)</f>
        <v>1103</v>
      </c>
      <c r="I1539" s="69">
        <f t="shared" si="204"/>
        <v>1169</v>
      </c>
      <c r="J1539" s="69">
        <f t="shared" si="204"/>
        <v>1239</v>
      </c>
      <c r="M1539" s="57"/>
    </row>
    <row r="1540" spans="1:13" x14ac:dyDescent="0.2">
      <c r="A1540" s="75">
        <v>2227</v>
      </c>
      <c r="B1540" s="70" t="s">
        <v>448</v>
      </c>
      <c r="C1540" s="69">
        <v>1579</v>
      </c>
      <c r="D1540" s="69">
        <v>1050</v>
      </c>
      <c r="E1540" s="69">
        <v>1050</v>
      </c>
      <c r="F1540" s="69">
        <v>160</v>
      </c>
      <c r="G1540" s="69">
        <f t="shared" si="203"/>
        <v>192</v>
      </c>
      <c r="H1540" s="69">
        <f>ROUND(E1540*1.05,0)</f>
        <v>1103</v>
      </c>
      <c r="I1540" s="69">
        <f t="shared" si="204"/>
        <v>1169</v>
      </c>
      <c r="J1540" s="69">
        <f t="shared" si="204"/>
        <v>1239</v>
      </c>
      <c r="M1540" s="57"/>
    </row>
    <row r="1541" spans="1:13" x14ac:dyDescent="0.2">
      <c r="A1541" s="60">
        <v>2233</v>
      </c>
      <c r="B1541" s="70" t="s">
        <v>497</v>
      </c>
      <c r="C1541" s="69">
        <v>730</v>
      </c>
      <c r="D1541" s="69">
        <v>5250</v>
      </c>
      <c r="E1541" s="69">
        <v>5250</v>
      </c>
      <c r="F1541" s="69">
        <v>0</v>
      </c>
      <c r="G1541" s="69">
        <f t="shared" si="203"/>
        <v>0</v>
      </c>
      <c r="H1541" s="69">
        <v>0</v>
      </c>
      <c r="I1541" s="69">
        <f t="shared" si="204"/>
        <v>0</v>
      </c>
      <c r="J1541" s="69">
        <f t="shared" si="204"/>
        <v>0</v>
      </c>
      <c r="M1541" s="57"/>
    </row>
    <row r="1542" spans="1:13" x14ac:dyDescent="0.2">
      <c r="A1542" s="60">
        <v>2238</v>
      </c>
      <c r="B1542" s="70" t="s">
        <v>479</v>
      </c>
      <c r="C1542" s="69">
        <v>0</v>
      </c>
      <c r="D1542" s="69">
        <v>1050</v>
      </c>
      <c r="E1542" s="69">
        <v>1050</v>
      </c>
      <c r="F1542" s="69">
        <v>18529</v>
      </c>
      <c r="G1542" s="69">
        <f t="shared" si="203"/>
        <v>22234.800000000003</v>
      </c>
      <c r="H1542" s="69">
        <f>ROUND(E1542*1.05,0)</f>
        <v>1103</v>
      </c>
      <c r="I1542" s="69">
        <f t="shared" si="204"/>
        <v>1169</v>
      </c>
      <c r="J1542" s="69">
        <f t="shared" si="204"/>
        <v>1239</v>
      </c>
      <c r="M1542" s="57"/>
    </row>
    <row r="1543" spans="1:13" s="9" customFormat="1" x14ac:dyDescent="0.2">
      <c r="A1543" s="60">
        <v>2246</v>
      </c>
      <c r="B1543" s="70" t="s">
        <v>2422</v>
      </c>
      <c r="C1543" s="69">
        <v>0</v>
      </c>
      <c r="D1543" s="69">
        <v>2100</v>
      </c>
      <c r="E1543" s="69">
        <v>2100</v>
      </c>
      <c r="F1543" s="69">
        <v>0</v>
      </c>
      <c r="G1543" s="69">
        <f t="shared" si="203"/>
        <v>0</v>
      </c>
      <c r="H1543" s="69">
        <f>ROUND(E1543*1.05,0)</f>
        <v>2205</v>
      </c>
      <c r="I1543" s="69">
        <f t="shared" si="204"/>
        <v>2337</v>
      </c>
      <c r="J1543" s="69">
        <f t="shared" si="204"/>
        <v>2477</v>
      </c>
      <c r="M1543" s="57"/>
    </row>
    <row r="1544" spans="1:13" s="9" customFormat="1" x14ac:dyDescent="0.2">
      <c r="A1544" s="75">
        <v>2305</v>
      </c>
      <c r="B1544" s="71" t="s">
        <v>31</v>
      </c>
      <c r="C1544" s="56">
        <v>79</v>
      </c>
      <c r="D1544" s="56">
        <v>1050</v>
      </c>
      <c r="E1544" s="56">
        <v>1050</v>
      </c>
      <c r="F1544" s="56">
        <v>2457</v>
      </c>
      <c r="G1544" s="56">
        <f t="shared" si="203"/>
        <v>2948.3999999999996</v>
      </c>
      <c r="H1544" s="56">
        <f>ROUND(E1544*1.05,0)</f>
        <v>1103</v>
      </c>
      <c r="I1544" s="56">
        <f t="shared" si="204"/>
        <v>1169</v>
      </c>
      <c r="J1544" s="56">
        <f t="shared" si="204"/>
        <v>1239</v>
      </c>
      <c r="M1544" s="57"/>
    </row>
    <row r="1545" spans="1:13" x14ac:dyDescent="0.2">
      <c r="B1545" s="58" t="s">
        <v>436</v>
      </c>
      <c r="C1545" s="72">
        <f t="shared" ref="C1545:J1545" si="205">SUM(C1537:C1544)</f>
        <v>2444</v>
      </c>
      <c r="D1545" s="72">
        <f t="shared" si="205"/>
        <v>17850</v>
      </c>
      <c r="E1545" s="72">
        <f t="shared" si="205"/>
        <v>17850</v>
      </c>
      <c r="F1545" s="72">
        <f t="shared" si="205"/>
        <v>21689</v>
      </c>
      <c r="G1545" s="72">
        <f t="shared" si="205"/>
        <v>26026.800000000003</v>
      </c>
      <c r="H1545" s="72">
        <f t="shared" si="205"/>
        <v>12130</v>
      </c>
      <c r="I1545" s="72">
        <f t="shared" si="205"/>
        <v>12857</v>
      </c>
      <c r="J1545" s="72">
        <f t="shared" si="205"/>
        <v>13628</v>
      </c>
      <c r="M1545" s="57"/>
    </row>
    <row r="1546" spans="1:13" x14ac:dyDescent="0.2">
      <c r="B1546" s="61"/>
      <c r="C1546" s="97"/>
      <c r="D1546" s="97"/>
      <c r="E1546" s="97"/>
      <c r="F1546" s="97"/>
      <c r="G1546" s="97"/>
      <c r="H1546" s="97"/>
      <c r="I1546" s="97"/>
      <c r="J1546" s="97"/>
      <c r="M1546" s="57"/>
    </row>
    <row r="1547" spans="1:13" x14ac:dyDescent="0.2">
      <c r="B1547" s="58" t="s">
        <v>4055</v>
      </c>
      <c r="C1547" s="73">
        <f t="shared" ref="C1547:J1547" si="206">C1530+C1534+C1545</f>
        <v>318370</v>
      </c>
      <c r="D1547" s="73">
        <f t="shared" si="206"/>
        <v>456549</v>
      </c>
      <c r="E1547" s="73">
        <f t="shared" si="206"/>
        <v>456549</v>
      </c>
      <c r="F1547" s="73">
        <f t="shared" si="206"/>
        <v>527822</v>
      </c>
      <c r="G1547" s="73">
        <f t="shared" si="206"/>
        <v>633386.40000000014</v>
      </c>
      <c r="H1547" s="73">
        <f t="shared" si="206"/>
        <v>111378</v>
      </c>
      <c r="I1547" s="73">
        <f t="shared" si="206"/>
        <v>120024</v>
      </c>
      <c r="J1547" s="73">
        <f t="shared" si="206"/>
        <v>129345</v>
      </c>
      <c r="M1547" s="57"/>
    </row>
    <row r="1548" spans="1:13" x14ac:dyDescent="0.2">
      <c r="B1548" s="58"/>
      <c r="C1548" s="96"/>
      <c r="D1548" s="96"/>
      <c r="E1548" s="96"/>
      <c r="G1548" s="69"/>
      <c r="H1548" s="69"/>
      <c r="I1548" s="96"/>
      <c r="J1548" s="96"/>
      <c r="M1548" s="57"/>
    </row>
    <row r="1549" spans="1:13" x14ac:dyDescent="0.2">
      <c r="B1549" s="58" t="s">
        <v>418</v>
      </c>
      <c r="C1549" s="96"/>
      <c r="D1549" s="96"/>
      <c r="E1549" s="96"/>
      <c r="G1549" s="69"/>
      <c r="H1549" s="69"/>
      <c r="I1549" s="96"/>
      <c r="J1549" s="96"/>
      <c r="M1549" s="57"/>
    </row>
    <row r="1550" spans="1:13" x14ac:dyDescent="0.2">
      <c r="A1550" s="101">
        <v>4204</v>
      </c>
      <c r="B1550" s="70" t="s">
        <v>4058</v>
      </c>
      <c r="C1550" s="96">
        <v>0</v>
      </c>
      <c r="D1550" s="69">
        <v>6336</v>
      </c>
      <c r="E1550" s="69">
        <v>6336</v>
      </c>
      <c r="F1550" s="69">
        <v>0</v>
      </c>
      <c r="G1550" s="69">
        <f>F1550/$F$11*$G$11</f>
        <v>0</v>
      </c>
      <c r="H1550" s="69">
        <f>ROUND(E1550*1.05,0)</f>
        <v>6653</v>
      </c>
      <c r="I1550" s="69">
        <f>ROUND(H1550*1.05,0)</f>
        <v>6986</v>
      </c>
      <c r="J1550" s="69">
        <f>ROUND(I1550*1.05,0)</f>
        <v>7335</v>
      </c>
      <c r="M1550" s="57"/>
    </row>
    <row r="1551" spans="1:13" x14ac:dyDescent="0.2">
      <c r="A1551" s="101">
        <v>4207</v>
      </c>
      <c r="B1551" s="71" t="s">
        <v>222</v>
      </c>
      <c r="C1551" s="105">
        <v>0</v>
      </c>
      <c r="D1551" s="56">
        <v>8885</v>
      </c>
      <c r="E1551" s="56">
        <v>8885</v>
      </c>
      <c r="F1551" s="56">
        <v>0</v>
      </c>
      <c r="G1551" s="56">
        <f>F1551/$F$11*$G$11</f>
        <v>0</v>
      </c>
      <c r="H1551" s="56">
        <f>ROUND(E1551*1.05,0)</f>
        <v>9329</v>
      </c>
      <c r="I1551" s="56">
        <f>ROUND(H1551*1.05,0)</f>
        <v>9795</v>
      </c>
      <c r="J1551" s="56">
        <f>ROUND(I1551*1.05,0)</f>
        <v>10285</v>
      </c>
      <c r="M1551" s="57"/>
    </row>
    <row r="1552" spans="1:13" x14ac:dyDescent="0.2">
      <c r="B1552" s="58" t="s">
        <v>419</v>
      </c>
      <c r="C1552" s="72">
        <f t="shared" ref="C1552:J1552" si="207">SUM(C1550:C1551)</f>
        <v>0</v>
      </c>
      <c r="D1552" s="72">
        <f t="shared" si="207"/>
        <v>15221</v>
      </c>
      <c r="E1552" s="72">
        <f t="shared" si="207"/>
        <v>15221</v>
      </c>
      <c r="F1552" s="72">
        <f t="shared" si="207"/>
        <v>0</v>
      </c>
      <c r="G1552" s="72">
        <f t="shared" si="207"/>
        <v>0</v>
      </c>
      <c r="H1552" s="72">
        <f t="shared" si="207"/>
        <v>15982</v>
      </c>
      <c r="I1552" s="72">
        <f t="shared" si="207"/>
        <v>16781</v>
      </c>
      <c r="J1552" s="72">
        <f t="shared" si="207"/>
        <v>17620</v>
      </c>
      <c r="M1552" s="57"/>
    </row>
    <row r="1553" spans="2:13" x14ac:dyDescent="0.2">
      <c r="B1553" s="58"/>
      <c r="C1553" s="96"/>
      <c r="D1553" s="96"/>
      <c r="E1553" s="96"/>
      <c r="F1553" s="96"/>
      <c r="G1553" s="96"/>
      <c r="H1553" s="96"/>
      <c r="I1553" s="96"/>
      <c r="J1553" s="96"/>
      <c r="M1553" s="57"/>
    </row>
    <row r="1554" spans="2:13" ht="13.5" thickBot="1" x14ac:dyDescent="0.25">
      <c r="B1554" s="65" t="s">
        <v>4033</v>
      </c>
      <c r="C1554" s="76">
        <f t="shared" ref="C1554:J1554" si="208">C1547+C1552</f>
        <v>318370</v>
      </c>
      <c r="D1554" s="76">
        <f t="shared" si="208"/>
        <v>471770</v>
      </c>
      <c r="E1554" s="76">
        <f t="shared" si="208"/>
        <v>471770</v>
      </c>
      <c r="F1554" s="76">
        <f t="shared" si="208"/>
        <v>527822</v>
      </c>
      <c r="G1554" s="76">
        <f t="shared" si="208"/>
        <v>633386.40000000014</v>
      </c>
      <c r="H1554" s="76">
        <f t="shared" si="208"/>
        <v>127360</v>
      </c>
      <c r="I1554" s="76">
        <f t="shared" si="208"/>
        <v>136805</v>
      </c>
      <c r="J1554" s="76">
        <f t="shared" si="208"/>
        <v>146965</v>
      </c>
      <c r="M1554" s="57"/>
    </row>
    <row r="1555" spans="2:13" ht="13.5" thickTop="1" x14ac:dyDescent="0.2">
      <c r="B1555" s="58"/>
      <c r="C1555" s="72"/>
      <c r="D1555" s="72"/>
      <c r="E1555" s="72"/>
      <c r="F1555" s="72"/>
      <c r="G1555" s="72"/>
      <c r="H1555" s="72"/>
      <c r="I1555" s="72"/>
      <c r="J1555" s="72"/>
      <c r="M1555" s="57"/>
    </row>
    <row r="1556" spans="2:13" ht="13.5" thickBot="1" x14ac:dyDescent="0.25">
      <c r="B1556" s="65" t="s">
        <v>4059</v>
      </c>
      <c r="C1556" s="77">
        <f t="shared" ref="C1556:J1556" si="209">-C1554</f>
        <v>-318370</v>
      </c>
      <c r="D1556" s="77">
        <f t="shared" si="209"/>
        <v>-471770</v>
      </c>
      <c r="E1556" s="77">
        <f t="shared" si="209"/>
        <v>-471770</v>
      </c>
      <c r="F1556" s="77">
        <f t="shared" si="209"/>
        <v>-527822</v>
      </c>
      <c r="G1556" s="77">
        <f t="shared" si="209"/>
        <v>-633386.40000000014</v>
      </c>
      <c r="H1556" s="77">
        <f t="shared" si="209"/>
        <v>-127360</v>
      </c>
      <c r="I1556" s="77">
        <f t="shared" si="209"/>
        <v>-136805</v>
      </c>
      <c r="J1556" s="77">
        <f t="shared" si="209"/>
        <v>-146965</v>
      </c>
      <c r="M1556" s="57"/>
    </row>
    <row r="1557" spans="2:13" ht="13.5" thickTop="1" x14ac:dyDescent="0.2">
      <c r="B1557" s="58"/>
      <c r="C1557" s="78"/>
      <c r="D1557" s="78"/>
      <c r="E1557" s="78"/>
      <c r="G1557" s="69"/>
      <c r="H1557" s="69"/>
      <c r="I1557" s="78"/>
      <c r="J1557" s="78"/>
      <c r="M1557" s="57"/>
    </row>
    <row r="1558" spans="2:13" x14ac:dyDescent="0.2">
      <c r="B1558" s="58"/>
      <c r="C1558" s="78"/>
      <c r="D1558" s="78"/>
      <c r="E1558" s="78"/>
      <c r="G1558" s="69"/>
      <c r="H1558" s="69"/>
      <c r="I1558" s="78"/>
      <c r="J1558" s="78"/>
      <c r="M1558" s="57"/>
    </row>
    <row r="1559" spans="2:13" x14ac:dyDescent="0.2">
      <c r="B1559" s="58"/>
      <c r="C1559" s="78"/>
      <c r="D1559" s="78"/>
      <c r="E1559" s="78"/>
      <c r="G1559" s="69"/>
      <c r="H1559" s="69"/>
      <c r="I1559" s="78"/>
      <c r="J1559" s="78"/>
      <c r="M1559" s="57"/>
    </row>
    <row r="1560" spans="2:13" x14ac:dyDescent="0.2">
      <c r="B1560" s="58"/>
      <c r="C1560" s="78"/>
      <c r="D1560" s="78"/>
      <c r="E1560" s="78"/>
      <c r="G1560" s="69"/>
      <c r="H1560" s="69"/>
      <c r="I1560" s="78"/>
      <c r="J1560" s="78"/>
      <c r="M1560" s="57"/>
    </row>
    <row r="1561" spans="2:13" x14ac:dyDescent="0.2">
      <c r="B1561" s="58"/>
      <c r="C1561" s="78"/>
      <c r="D1561" s="78"/>
      <c r="E1561" s="78"/>
      <c r="G1561" s="69"/>
      <c r="H1561" s="69"/>
      <c r="I1561" s="78"/>
      <c r="J1561" s="78"/>
      <c r="M1561" s="57"/>
    </row>
    <row r="1562" spans="2:13" x14ac:dyDescent="0.2">
      <c r="B1562" s="58"/>
      <c r="C1562" s="78"/>
      <c r="D1562" s="78"/>
      <c r="E1562" s="78"/>
      <c r="G1562" s="69"/>
      <c r="H1562" s="69"/>
      <c r="I1562" s="78"/>
      <c r="J1562" s="78"/>
      <c r="M1562" s="57"/>
    </row>
    <row r="1563" spans="2:13" x14ac:dyDescent="0.2">
      <c r="B1563" s="58"/>
      <c r="C1563" s="78"/>
      <c r="D1563" s="78"/>
      <c r="E1563" s="78"/>
      <c r="G1563" s="69"/>
      <c r="H1563" s="69"/>
      <c r="I1563" s="78"/>
      <c r="J1563" s="78"/>
      <c r="M1563" s="57"/>
    </row>
    <row r="1564" spans="2:13" x14ac:dyDescent="0.2">
      <c r="B1564" s="58"/>
      <c r="C1564" s="78"/>
      <c r="D1564" s="78"/>
      <c r="E1564" s="78"/>
      <c r="G1564" s="69"/>
      <c r="H1564" s="69"/>
      <c r="I1564" s="78"/>
      <c r="J1564" s="78"/>
      <c r="M1564" s="57"/>
    </row>
    <row r="1565" spans="2:13" x14ac:dyDescent="0.2">
      <c r="B1565" s="58"/>
      <c r="C1565" s="78"/>
      <c r="D1565" s="78"/>
      <c r="E1565" s="78"/>
      <c r="G1565" s="69"/>
      <c r="H1565" s="69"/>
      <c r="I1565" s="78"/>
      <c r="J1565" s="78"/>
      <c r="M1565" s="57"/>
    </row>
    <row r="1566" spans="2:13" x14ac:dyDescent="0.2">
      <c r="B1566" s="58"/>
      <c r="C1566" s="78"/>
      <c r="D1566" s="78"/>
      <c r="E1566" s="78"/>
      <c r="G1566" s="69"/>
      <c r="H1566" s="69"/>
      <c r="I1566" s="78"/>
      <c r="J1566" s="78"/>
      <c r="M1566" s="57"/>
    </row>
    <row r="1567" spans="2:13" x14ac:dyDescent="0.2">
      <c r="B1567" s="58"/>
      <c r="C1567" s="78"/>
      <c r="D1567" s="78"/>
      <c r="E1567" s="78"/>
      <c r="G1567" s="69"/>
      <c r="H1567" s="69"/>
      <c r="I1567" s="78"/>
      <c r="J1567" s="78"/>
      <c r="M1567" s="57"/>
    </row>
    <row r="1568" spans="2:13" x14ac:dyDescent="0.2">
      <c r="B1568" s="58"/>
      <c r="C1568" s="78"/>
      <c r="D1568" s="78"/>
      <c r="E1568" s="78"/>
      <c r="G1568" s="69"/>
      <c r="H1568" s="69"/>
      <c r="I1568" s="78"/>
      <c r="J1568" s="78"/>
      <c r="M1568" s="57"/>
    </row>
    <row r="1569" spans="2:13" x14ac:dyDescent="0.2">
      <c r="B1569" s="58"/>
      <c r="C1569" s="78"/>
      <c r="D1569" s="78"/>
      <c r="E1569" s="78"/>
      <c r="G1569" s="69"/>
      <c r="H1569" s="69"/>
      <c r="I1569" s="78"/>
      <c r="J1569" s="78"/>
      <c r="M1569" s="57"/>
    </row>
    <row r="1570" spans="2:13" x14ac:dyDescent="0.2">
      <c r="B1570" s="58"/>
      <c r="C1570" s="78"/>
      <c r="D1570" s="78"/>
      <c r="E1570" s="78"/>
      <c r="G1570" s="69"/>
      <c r="H1570" s="69"/>
      <c r="I1570" s="78"/>
      <c r="J1570" s="78"/>
      <c r="M1570" s="57"/>
    </row>
    <row r="1571" spans="2:13" x14ac:dyDescent="0.2">
      <c r="B1571" s="58"/>
      <c r="C1571" s="78"/>
      <c r="D1571" s="78"/>
      <c r="E1571" s="78"/>
      <c r="G1571" s="69"/>
      <c r="H1571" s="69"/>
      <c r="I1571" s="78"/>
      <c r="J1571" s="78"/>
      <c r="M1571" s="57"/>
    </row>
    <row r="1572" spans="2:13" x14ac:dyDescent="0.2">
      <c r="B1572" s="58"/>
      <c r="C1572" s="78"/>
      <c r="D1572" s="78"/>
      <c r="E1572" s="78"/>
      <c r="G1572" s="69"/>
      <c r="H1572" s="69"/>
      <c r="I1572" s="78"/>
      <c r="J1572" s="78"/>
      <c r="M1572" s="57"/>
    </row>
    <row r="1573" spans="2:13" x14ac:dyDescent="0.2">
      <c r="B1573" s="58"/>
      <c r="C1573" s="78"/>
      <c r="D1573" s="78"/>
      <c r="E1573" s="78"/>
      <c r="G1573" s="69"/>
      <c r="H1573" s="69"/>
      <c r="I1573" s="78"/>
      <c r="J1573" s="78"/>
      <c r="M1573" s="57"/>
    </row>
    <row r="1574" spans="2:13" x14ac:dyDescent="0.2">
      <c r="B1574" s="58"/>
      <c r="C1574" s="78"/>
      <c r="D1574" s="78"/>
      <c r="E1574" s="78"/>
      <c r="G1574" s="69"/>
      <c r="H1574" s="69"/>
      <c r="I1574" s="78"/>
      <c r="J1574" s="78"/>
      <c r="M1574" s="57"/>
    </row>
    <row r="1575" spans="2:13" x14ac:dyDescent="0.2">
      <c r="B1575" s="58"/>
      <c r="C1575" s="78"/>
      <c r="D1575" s="78"/>
      <c r="E1575" s="78"/>
      <c r="G1575" s="69"/>
      <c r="H1575" s="69"/>
      <c r="I1575" s="78"/>
      <c r="J1575" s="78"/>
      <c r="M1575" s="57"/>
    </row>
    <row r="1576" spans="2:13" x14ac:dyDescent="0.2">
      <c r="B1576" s="58"/>
      <c r="C1576" s="78"/>
      <c r="D1576" s="78"/>
      <c r="E1576" s="78"/>
      <c r="G1576" s="69"/>
      <c r="H1576" s="69"/>
      <c r="I1576" s="78"/>
      <c r="J1576" s="78"/>
      <c r="M1576" s="57"/>
    </row>
    <row r="1577" spans="2:13" x14ac:dyDescent="0.2">
      <c r="B1577" s="58"/>
      <c r="C1577" s="78"/>
      <c r="D1577" s="78"/>
      <c r="E1577" s="78"/>
      <c r="G1577" s="69"/>
      <c r="H1577" s="69"/>
      <c r="I1577" s="78"/>
      <c r="J1577" s="78"/>
      <c r="M1577" s="57"/>
    </row>
    <row r="1578" spans="2:13" x14ac:dyDescent="0.2">
      <c r="B1578" s="58"/>
      <c r="C1578" s="78"/>
      <c r="D1578" s="78"/>
      <c r="E1578" s="78"/>
      <c r="G1578" s="69"/>
      <c r="H1578" s="69"/>
      <c r="I1578" s="78"/>
      <c r="J1578" s="78"/>
      <c r="M1578" s="57"/>
    </row>
    <row r="1579" spans="2:13" x14ac:dyDescent="0.2">
      <c r="B1579" s="58"/>
      <c r="C1579" s="78"/>
      <c r="D1579" s="78"/>
      <c r="E1579" s="78"/>
      <c r="G1579" s="69"/>
      <c r="H1579" s="69"/>
      <c r="I1579" s="78"/>
      <c r="J1579" s="78"/>
      <c r="M1579" s="57"/>
    </row>
    <row r="1580" spans="2:13" x14ac:dyDescent="0.2">
      <c r="B1580" s="58"/>
      <c r="C1580" s="78"/>
      <c r="D1580" s="78"/>
      <c r="E1580" s="78"/>
      <c r="G1580" s="69"/>
      <c r="H1580" s="69"/>
      <c r="I1580" s="78"/>
      <c r="J1580" s="78"/>
      <c r="M1580" s="57"/>
    </row>
    <row r="1581" spans="2:13" x14ac:dyDescent="0.2">
      <c r="B1581" s="58"/>
      <c r="C1581" s="78"/>
      <c r="D1581" s="78"/>
      <c r="E1581" s="78"/>
      <c r="G1581" s="69"/>
      <c r="H1581" s="69"/>
      <c r="I1581" s="78"/>
      <c r="J1581" s="78"/>
      <c r="M1581" s="57"/>
    </row>
    <row r="1582" spans="2:13" x14ac:dyDescent="0.2">
      <c r="B1582" s="58"/>
      <c r="C1582" s="78"/>
      <c r="D1582" s="78"/>
      <c r="E1582" s="78"/>
      <c r="G1582" s="69"/>
      <c r="H1582" s="69"/>
      <c r="I1582" s="78"/>
      <c r="J1582" s="78"/>
      <c r="M1582" s="57"/>
    </row>
    <row r="1583" spans="2:13" x14ac:dyDescent="0.2">
      <c r="B1583" s="58"/>
      <c r="C1583" s="78"/>
      <c r="D1583" s="78"/>
      <c r="E1583" s="78"/>
      <c r="G1583" s="69"/>
      <c r="H1583" s="69"/>
      <c r="I1583" s="78"/>
      <c r="J1583" s="78"/>
      <c r="M1583" s="57"/>
    </row>
    <row r="1584" spans="2:13" x14ac:dyDescent="0.2">
      <c r="G1584" s="69"/>
      <c r="H1584" s="69"/>
      <c r="M1584" s="57"/>
    </row>
    <row r="1585" spans="1:13" x14ac:dyDescent="0.2">
      <c r="A1585" s="6"/>
      <c r="B1585" s="6"/>
      <c r="C1585" s="6"/>
      <c r="D1585" s="6"/>
      <c r="E1585" s="6"/>
      <c r="G1585" s="69"/>
      <c r="H1585" s="69"/>
      <c r="I1585" s="6"/>
      <c r="J1585" s="6"/>
      <c r="M1585" s="57"/>
    </row>
    <row r="1586" spans="1:13" x14ac:dyDescent="0.2">
      <c r="A1586" s="6"/>
      <c r="B1586" s="6"/>
      <c r="C1586" s="6"/>
      <c r="D1586" s="6"/>
      <c r="E1586" s="6"/>
      <c r="G1586" s="69"/>
      <c r="H1586" s="69"/>
      <c r="I1586" s="6"/>
      <c r="J1586" s="6"/>
      <c r="M1586" s="57"/>
    </row>
    <row r="1587" spans="1:13" x14ac:dyDescent="0.2">
      <c r="A1587" s="6"/>
      <c r="B1587" s="6"/>
      <c r="C1587" s="6"/>
      <c r="D1587" s="6"/>
      <c r="E1587" s="6"/>
      <c r="G1587" s="69"/>
      <c r="H1587" s="69"/>
      <c r="I1587" s="6"/>
      <c r="J1587" s="6"/>
      <c r="M1587" s="57"/>
    </row>
    <row r="1588" spans="1:13" x14ac:dyDescent="0.2">
      <c r="A1588" s="6"/>
      <c r="B1588" s="6"/>
      <c r="C1588" s="6"/>
      <c r="D1588" s="6"/>
      <c r="E1588" s="6"/>
      <c r="G1588" s="69"/>
      <c r="H1588" s="69"/>
      <c r="I1588" s="6"/>
      <c r="J1588" s="6"/>
      <c r="M1588" s="57"/>
    </row>
    <row r="1589" spans="1:13" x14ac:dyDescent="0.2">
      <c r="A1589" s="6"/>
      <c r="B1589" s="6"/>
      <c r="C1589" s="6"/>
      <c r="D1589" s="6"/>
      <c r="E1589" s="6"/>
      <c r="G1589" s="69"/>
      <c r="H1589" s="69"/>
      <c r="I1589" s="6"/>
      <c r="J1589" s="6"/>
      <c r="M1589" s="57"/>
    </row>
    <row r="1590" spans="1:13" ht="15" x14ac:dyDescent="0.25">
      <c r="A1590" s="91">
        <v>1420</v>
      </c>
      <c r="B1590" s="48" t="s">
        <v>26</v>
      </c>
      <c r="C1590" s="48"/>
      <c r="D1590" s="48"/>
      <c r="E1590" s="48"/>
      <c r="G1590" s="69"/>
      <c r="H1590" s="69"/>
      <c r="M1590" s="57"/>
    </row>
    <row r="1591" spans="1:13" ht="15" x14ac:dyDescent="0.25">
      <c r="B1591" s="48"/>
      <c r="C1591" s="48"/>
      <c r="D1591" s="48"/>
      <c r="E1591" s="48"/>
      <c r="G1591" s="69"/>
      <c r="H1591" s="69"/>
      <c r="M1591" s="57"/>
    </row>
    <row r="1592" spans="1:13" x14ac:dyDescent="0.2">
      <c r="B1592" s="50" t="s">
        <v>61</v>
      </c>
      <c r="C1592" s="50"/>
      <c r="D1592" s="50"/>
      <c r="E1592" s="50"/>
      <c r="G1592" s="69"/>
      <c r="H1592" s="69"/>
      <c r="M1592" s="57"/>
    </row>
    <row r="1593" spans="1:13" s="9" customFormat="1" x14ac:dyDescent="0.2">
      <c r="A1593" s="37"/>
      <c r="B1593" s="46"/>
      <c r="C1593" s="46"/>
      <c r="D1593" s="46"/>
      <c r="E1593" s="46"/>
      <c r="F1593" s="2"/>
      <c r="G1593" s="69"/>
      <c r="H1593" s="69"/>
      <c r="I1593" s="39"/>
      <c r="J1593" s="39"/>
      <c r="M1593" s="57"/>
    </row>
    <row r="1594" spans="1:13" x14ac:dyDescent="0.2">
      <c r="B1594" s="58" t="s">
        <v>4007</v>
      </c>
      <c r="C1594" s="99"/>
      <c r="D1594" s="99"/>
      <c r="E1594" s="99"/>
      <c r="F1594" s="24"/>
      <c r="G1594" s="69"/>
      <c r="H1594" s="69"/>
      <c r="I1594" s="99"/>
      <c r="J1594" s="99"/>
      <c r="M1594" s="57"/>
    </row>
    <row r="1595" spans="1:13" x14ac:dyDescent="0.2">
      <c r="A1595" s="75">
        <v>5631</v>
      </c>
      <c r="B1595" s="71" t="s">
        <v>234</v>
      </c>
      <c r="C1595" s="56">
        <v>11</v>
      </c>
      <c r="D1595" s="56">
        <v>525</v>
      </c>
      <c r="E1595" s="56">
        <v>525</v>
      </c>
      <c r="F1595" s="56">
        <v>0</v>
      </c>
      <c r="G1595" s="56">
        <f>F1595/$F$11*$G$11</f>
        <v>0</v>
      </c>
      <c r="H1595" s="56">
        <v>0</v>
      </c>
      <c r="I1595" s="56">
        <f>ROUND(H1595*1.05,0)</f>
        <v>0</v>
      </c>
      <c r="J1595" s="56">
        <f>ROUND(I1595*1.05,0)</f>
        <v>0</v>
      </c>
      <c r="M1595" s="57"/>
    </row>
    <row r="1596" spans="1:13" x14ac:dyDescent="0.2">
      <c r="B1596" s="58" t="s">
        <v>437</v>
      </c>
      <c r="C1596" s="100">
        <f t="shared" ref="C1596:J1596" si="210">SUM(C1595)</f>
        <v>11</v>
      </c>
      <c r="D1596" s="100">
        <f t="shared" si="210"/>
        <v>525</v>
      </c>
      <c r="E1596" s="100">
        <f t="shared" si="210"/>
        <v>525</v>
      </c>
      <c r="F1596" s="100">
        <f t="shared" si="210"/>
        <v>0</v>
      </c>
      <c r="G1596" s="100">
        <f t="shared" si="210"/>
        <v>0</v>
      </c>
      <c r="H1596" s="100">
        <f t="shared" si="210"/>
        <v>0</v>
      </c>
      <c r="I1596" s="100">
        <f t="shared" si="210"/>
        <v>0</v>
      </c>
      <c r="J1596" s="100">
        <f t="shared" si="210"/>
        <v>0</v>
      </c>
      <c r="M1596" s="57"/>
    </row>
    <row r="1597" spans="1:13" x14ac:dyDescent="0.2">
      <c r="B1597" s="58"/>
      <c r="C1597" s="99"/>
      <c r="D1597" s="99"/>
      <c r="E1597" s="99"/>
      <c r="G1597" s="69"/>
      <c r="H1597" s="69"/>
      <c r="I1597" s="99"/>
      <c r="J1597" s="99"/>
      <c r="M1597" s="57"/>
    </row>
    <row r="1598" spans="1:13" x14ac:dyDescent="0.2">
      <c r="B1598" s="58" t="s">
        <v>423</v>
      </c>
      <c r="C1598" s="99"/>
      <c r="D1598" s="99"/>
      <c r="E1598" s="99"/>
      <c r="G1598" s="69"/>
      <c r="H1598" s="69"/>
      <c r="I1598" s="99"/>
      <c r="J1598" s="99"/>
      <c r="M1598" s="57"/>
    </row>
    <row r="1599" spans="1:13" x14ac:dyDescent="0.2">
      <c r="A1599" s="101">
        <v>5634</v>
      </c>
      <c r="B1599" s="70" t="s">
        <v>4079</v>
      </c>
      <c r="C1599" s="99">
        <v>144</v>
      </c>
      <c r="D1599" s="99">
        <v>0</v>
      </c>
      <c r="E1599" s="99">
        <v>0</v>
      </c>
      <c r="F1599" s="99">
        <v>25</v>
      </c>
      <c r="G1599" s="69">
        <f>F1599/$F$11*$G$11</f>
        <v>30</v>
      </c>
      <c r="H1599" s="69">
        <f>ROUND(G1599*1.1,0)</f>
        <v>33</v>
      </c>
      <c r="I1599" s="69">
        <f>ROUND(H1599*1.06,0)</f>
        <v>35</v>
      </c>
      <c r="J1599" s="69">
        <f>ROUND(I1599*1.06,0)</f>
        <v>37</v>
      </c>
      <c r="M1599" s="57"/>
    </row>
    <row r="1600" spans="1:13" x14ac:dyDescent="0.2">
      <c r="A1600" s="101">
        <v>5819</v>
      </c>
      <c r="B1600" s="71" t="s">
        <v>236</v>
      </c>
      <c r="C1600" s="62">
        <v>169</v>
      </c>
      <c r="D1600" s="56">
        <v>840</v>
      </c>
      <c r="E1600" s="56">
        <v>840</v>
      </c>
      <c r="F1600" s="56">
        <v>0</v>
      </c>
      <c r="G1600" s="56">
        <f>F1600/$F$11*$G$11</f>
        <v>0</v>
      </c>
      <c r="H1600" s="56">
        <f>ROUND(G1600*1.1,0)</f>
        <v>0</v>
      </c>
      <c r="I1600" s="56">
        <f>ROUND(H1600*1.06,0)</f>
        <v>0</v>
      </c>
      <c r="J1600" s="56">
        <f>ROUND(I1600*1.06,0)</f>
        <v>0</v>
      </c>
      <c r="M1600" s="57"/>
    </row>
    <row r="1601" spans="1:13" x14ac:dyDescent="0.2">
      <c r="B1601" s="58" t="s">
        <v>424</v>
      </c>
      <c r="C1601" s="100">
        <f t="shared" ref="C1601:J1601" si="211">SUM(C1599:C1600)</f>
        <v>313</v>
      </c>
      <c r="D1601" s="100">
        <f t="shared" si="211"/>
        <v>840</v>
      </c>
      <c r="E1601" s="100">
        <f t="shared" si="211"/>
        <v>840</v>
      </c>
      <c r="F1601" s="100">
        <f t="shared" si="211"/>
        <v>25</v>
      </c>
      <c r="G1601" s="100">
        <f t="shared" si="211"/>
        <v>30</v>
      </c>
      <c r="H1601" s="100">
        <f t="shared" si="211"/>
        <v>33</v>
      </c>
      <c r="I1601" s="100">
        <f t="shared" si="211"/>
        <v>35</v>
      </c>
      <c r="J1601" s="100">
        <f t="shared" si="211"/>
        <v>37</v>
      </c>
      <c r="M1601" s="57"/>
    </row>
    <row r="1602" spans="1:13" x14ac:dyDescent="0.2">
      <c r="B1602" s="61"/>
      <c r="C1602" s="62"/>
      <c r="D1602" s="62"/>
      <c r="E1602" s="62"/>
      <c r="F1602" s="62"/>
      <c r="G1602" s="62"/>
      <c r="H1602" s="62"/>
      <c r="I1602" s="62"/>
      <c r="J1602" s="62"/>
      <c r="M1602" s="57"/>
    </row>
    <row r="1603" spans="1:13" x14ac:dyDescent="0.2">
      <c r="B1603" s="58" t="s">
        <v>235</v>
      </c>
      <c r="C1603" s="73">
        <f t="shared" ref="C1603:J1603" si="212">+C1596+C1601</f>
        <v>324</v>
      </c>
      <c r="D1603" s="73">
        <f t="shared" si="212"/>
        <v>1365</v>
      </c>
      <c r="E1603" s="73">
        <f t="shared" si="212"/>
        <v>1365</v>
      </c>
      <c r="F1603" s="73">
        <f t="shared" si="212"/>
        <v>25</v>
      </c>
      <c r="G1603" s="73">
        <f t="shared" si="212"/>
        <v>30</v>
      </c>
      <c r="H1603" s="73">
        <f t="shared" si="212"/>
        <v>33</v>
      </c>
      <c r="I1603" s="73">
        <f t="shared" si="212"/>
        <v>35</v>
      </c>
      <c r="J1603" s="73">
        <f t="shared" si="212"/>
        <v>37</v>
      </c>
      <c r="M1603" s="57"/>
    </row>
    <row r="1604" spans="1:13" x14ac:dyDescent="0.2">
      <c r="B1604" s="58"/>
      <c r="C1604" s="96"/>
      <c r="D1604" s="96"/>
      <c r="E1604" s="96"/>
      <c r="G1604" s="69"/>
      <c r="H1604" s="69"/>
      <c r="I1604" s="96"/>
      <c r="J1604" s="96"/>
      <c r="M1604" s="57"/>
    </row>
    <row r="1605" spans="1:13" x14ac:dyDescent="0.2">
      <c r="B1605" s="58" t="s">
        <v>413</v>
      </c>
      <c r="C1605" s="69"/>
      <c r="D1605" s="69"/>
      <c r="E1605" s="69"/>
      <c r="G1605" s="69"/>
      <c r="H1605" s="69"/>
      <c r="I1605" s="69"/>
      <c r="J1605" s="69"/>
      <c r="M1605" s="57"/>
    </row>
    <row r="1606" spans="1:13" x14ac:dyDescent="0.2">
      <c r="A1606" s="75">
        <v>5501</v>
      </c>
      <c r="B1606" s="71" t="s">
        <v>2407</v>
      </c>
      <c r="C1606" s="62">
        <v>1018660</v>
      </c>
      <c r="D1606" s="62">
        <v>1296402</v>
      </c>
      <c r="E1606" s="62">
        <v>1296402</v>
      </c>
      <c r="F1606" s="56">
        <f>F1651-F1603</f>
        <v>931987</v>
      </c>
      <c r="G1606" s="56">
        <f>G1651-G1603</f>
        <v>1118384.4000000001</v>
      </c>
      <c r="H1606" s="56">
        <f>H1651-H1603</f>
        <v>1230488</v>
      </c>
      <c r="I1606" s="56">
        <f>I1651-I1603</f>
        <v>1327143</v>
      </c>
      <c r="J1606" s="56">
        <f>J1651-J1603</f>
        <v>1431421</v>
      </c>
      <c r="M1606" s="57"/>
    </row>
    <row r="1607" spans="1:13" x14ac:dyDescent="0.2">
      <c r="B1607" s="58" t="s">
        <v>414</v>
      </c>
      <c r="C1607" s="100">
        <f t="shared" ref="C1607:J1607" si="213">SUM(C1606)</f>
        <v>1018660</v>
      </c>
      <c r="D1607" s="100">
        <f t="shared" si="213"/>
        <v>1296402</v>
      </c>
      <c r="E1607" s="100">
        <f t="shared" si="213"/>
        <v>1296402</v>
      </c>
      <c r="F1607" s="100">
        <f t="shared" si="213"/>
        <v>931987</v>
      </c>
      <c r="G1607" s="100">
        <f t="shared" si="213"/>
        <v>1118384.4000000001</v>
      </c>
      <c r="H1607" s="100">
        <f t="shared" si="213"/>
        <v>1230488</v>
      </c>
      <c r="I1607" s="100">
        <f t="shared" si="213"/>
        <v>1327143</v>
      </c>
      <c r="J1607" s="100">
        <f t="shared" si="213"/>
        <v>1431421</v>
      </c>
      <c r="M1607" s="57"/>
    </row>
    <row r="1608" spans="1:13" x14ac:dyDescent="0.2">
      <c r="B1608" s="58"/>
      <c r="C1608" s="99"/>
      <c r="D1608" s="99"/>
      <c r="E1608" s="99"/>
      <c r="F1608" s="99"/>
      <c r="G1608" s="99"/>
      <c r="H1608" s="99"/>
      <c r="I1608" s="99"/>
      <c r="J1608" s="99"/>
      <c r="M1608" s="57"/>
    </row>
    <row r="1609" spans="1:13" ht="13.5" thickBot="1" x14ac:dyDescent="0.25">
      <c r="B1609" s="65" t="s">
        <v>4017</v>
      </c>
      <c r="C1609" s="66">
        <f t="shared" ref="C1609:J1609" si="214">C1603+C1607</f>
        <v>1018984</v>
      </c>
      <c r="D1609" s="66">
        <f t="shared" si="214"/>
        <v>1297767</v>
      </c>
      <c r="E1609" s="66">
        <f t="shared" si="214"/>
        <v>1297767</v>
      </c>
      <c r="F1609" s="66">
        <f t="shared" si="214"/>
        <v>932012</v>
      </c>
      <c r="G1609" s="66">
        <f t="shared" si="214"/>
        <v>1118414.4000000001</v>
      </c>
      <c r="H1609" s="66">
        <f t="shared" si="214"/>
        <v>1230521</v>
      </c>
      <c r="I1609" s="66">
        <f t="shared" si="214"/>
        <v>1327178</v>
      </c>
      <c r="J1609" s="66">
        <f t="shared" si="214"/>
        <v>1431458</v>
      </c>
      <c r="M1609" s="57"/>
    </row>
    <row r="1610" spans="1:13" ht="13.5" thickTop="1" x14ac:dyDescent="0.2">
      <c r="B1610" s="68"/>
      <c r="C1610" s="68"/>
      <c r="D1610" s="68"/>
      <c r="E1610" s="68"/>
      <c r="G1610" s="69"/>
      <c r="H1610" s="69"/>
      <c r="I1610" s="68"/>
      <c r="J1610" s="68"/>
      <c r="M1610" s="57"/>
    </row>
    <row r="1611" spans="1:13" x14ac:dyDescent="0.2">
      <c r="B1611" s="50" t="s">
        <v>4018</v>
      </c>
      <c r="C1611" s="50"/>
      <c r="D1611" s="50"/>
      <c r="E1611" s="50"/>
      <c r="G1611" s="69"/>
      <c r="H1611" s="69"/>
      <c r="I1611" s="50"/>
      <c r="J1611" s="50"/>
      <c r="M1611" s="57"/>
    </row>
    <row r="1612" spans="1:13" x14ac:dyDescent="0.2">
      <c r="B1612" s="50"/>
      <c r="C1612" s="50"/>
      <c r="D1612" s="50"/>
      <c r="E1612" s="50"/>
      <c r="G1612" s="69"/>
      <c r="H1612" s="69"/>
      <c r="I1612" s="50"/>
      <c r="J1612" s="50"/>
      <c r="M1612" s="57"/>
    </row>
    <row r="1613" spans="1:13" x14ac:dyDescent="0.2">
      <c r="B1613" s="58" t="s">
        <v>4019</v>
      </c>
      <c r="C1613" s="69"/>
      <c r="D1613" s="69"/>
      <c r="E1613" s="69"/>
      <c r="G1613" s="69"/>
      <c r="H1613" s="69"/>
      <c r="I1613" s="69"/>
      <c r="J1613" s="69"/>
      <c r="M1613" s="57"/>
    </row>
    <row r="1614" spans="1:13" x14ac:dyDescent="0.2">
      <c r="A1614" s="60">
        <v>1001</v>
      </c>
      <c r="B1614" s="70" t="s">
        <v>472</v>
      </c>
      <c r="C1614" s="69">
        <v>690784</v>
      </c>
      <c r="D1614" s="69">
        <v>842186</v>
      </c>
      <c r="E1614" s="69">
        <v>832672</v>
      </c>
      <c r="F1614" s="69">
        <v>676361</v>
      </c>
      <c r="G1614" s="69">
        <f t="shared" ref="G1614:G1625" si="215">F1614/$F$11*$G$11</f>
        <v>811633.20000000007</v>
      </c>
      <c r="H1614" s="69">
        <f>[3]Salary_Bdgt!$H$211</f>
        <v>774183</v>
      </c>
      <c r="I1614" s="69">
        <f t="shared" ref="I1614:J1625" si="216">ROUND(H1614*1.08,0)</f>
        <v>836118</v>
      </c>
      <c r="J1614" s="69">
        <f t="shared" si="216"/>
        <v>903007</v>
      </c>
      <c r="M1614" s="57"/>
    </row>
    <row r="1615" spans="1:13" x14ac:dyDescent="0.2">
      <c r="A1615" s="60">
        <v>1005</v>
      </c>
      <c r="B1615" s="70" t="s">
        <v>473</v>
      </c>
      <c r="C1615" s="69">
        <v>59241</v>
      </c>
      <c r="D1615" s="69">
        <v>46522</v>
      </c>
      <c r="E1615" s="69">
        <f>+D1615+5092</f>
        <v>51614</v>
      </c>
      <c r="F1615" s="69">
        <v>43469</v>
      </c>
      <c r="G1615" s="69">
        <f t="shared" si="215"/>
        <v>52162.799999999996</v>
      </c>
      <c r="H1615" s="69">
        <f>+[3]Salary_Bdgt!$L$211</f>
        <v>41594</v>
      </c>
      <c r="I1615" s="69">
        <f t="shared" si="216"/>
        <v>44922</v>
      </c>
      <c r="J1615" s="69">
        <f t="shared" si="216"/>
        <v>48516</v>
      </c>
      <c r="M1615" s="57"/>
    </row>
    <row r="1616" spans="1:13" x14ac:dyDescent="0.2">
      <c r="A1616" s="60">
        <v>1006</v>
      </c>
      <c r="B1616" s="70" t="s">
        <v>474</v>
      </c>
      <c r="C1616" s="69">
        <v>129366</v>
      </c>
      <c r="D1616" s="69">
        <v>143184</v>
      </c>
      <c r="E1616" s="69">
        <f>+D1616+3864</f>
        <v>147048</v>
      </c>
      <c r="F1616" s="69">
        <v>128041</v>
      </c>
      <c r="G1616" s="69">
        <f t="shared" si="215"/>
        <v>153649.20000000001</v>
      </c>
      <c r="H1616" s="69">
        <f>+[3]Salary_Bdgt!$N$211</f>
        <v>150214</v>
      </c>
      <c r="I1616" s="69">
        <f t="shared" si="216"/>
        <v>162231</v>
      </c>
      <c r="J1616" s="69">
        <f t="shared" si="216"/>
        <v>175209</v>
      </c>
      <c r="M1616" s="57"/>
    </row>
    <row r="1617" spans="1:13" x14ac:dyDescent="0.2">
      <c r="A1617" s="60">
        <v>1007</v>
      </c>
      <c r="B1617" s="70" t="s">
        <v>481</v>
      </c>
      <c r="C1617" s="69">
        <v>7585</v>
      </c>
      <c r="D1617" s="69">
        <v>11681</v>
      </c>
      <c r="E1617" s="69">
        <f>+D1617</f>
        <v>11681</v>
      </c>
      <c r="F1617" s="69">
        <v>7107</v>
      </c>
      <c r="G1617" s="69">
        <f t="shared" si="215"/>
        <v>8528.4000000000015</v>
      </c>
      <c r="H1617" s="69">
        <f>+[3]Salary_Bdgt!$I$211</f>
        <v>10840</v>
      </c>
      <c r="I1617" s="69">
        <f t="shared" si="216"/>
        <v>11707</v>
      </c>
      <c r="J1617" s="69">
        <f t="shared" si="216"/>
        <v>12644</v>
      </c>
      <c r="M1617" s="57"/>
    </row>
    <row r="1618" spans="1:13" x14ac:dyDescent="0.2">
      <c r="A1618" s="60">
        <v>1009</v>
      </c>
      <c r="B1618" s="70" t="s">
        <v>27</v>
      </c>
      <c r="C1618" s="69">
        <v>421</v>
      </c>
      <c r="D1618" s="69">
        <v>346</v>
      </c>
      <c r="E1618" s="69">
        <f>+D1618+7</f>
        <v>353</v>
      </c>
      <c r="F1618" s="69">
        <v>326</v>
      </c>
      <c r="G1618" s="69">
        <f t="shared" si="215"/>
        <v>391.20000000000005</v>
      </c>
      <c r="H1618" s="69">
        <f>+[3]Salary_Bdgt!$M$211</f>
        <v>360</v>
      </c>
      <c r="I1618" s="69">
        <f t="shared" si="216"/>
        <v>389</v>
      </c>
      <c r="J1618" s="69">
        <f t="shared" si="216"/>
        <v>420</v>
      </c>
      <c r="M1618" s="57"/>
    </row>
    <row r="1619" spans="1:13" x14ac:dyDescent="0.2">
      <c r="A1619" s="60">
        <v>1010</v>
      </c>
      <c r="B1619" s="70" t="s">
        <v>28</v>
      </c>
      <c r="C1619" s="69">
        <v>58684</v>
      </c>
      <c r="D1619" s="69">
        <v>70182</v>
      </c>
      <c r="E1619" s="69">
        <f>+D1619+551</f>
        <v>70733</v>
      </c>
      <c r="F1619" s="69">
        <v>59864</v>
      </c>
      <c r="G1619" s="69">
        <f t="shared" si="215"/>
        <v>71836.799999999988</v>
      </c>
      <c r="H1619" s="69">
        <f>+[3]Salary_Bdgt!$Q$211</f>
        <v>64515</v>
      </c>
      <c r="I1619" s="69">
        <f t="shared" si="216"/>
        <v>69676</v>
      </c>
      <c r="J1619" s="69">
        <f t="shared" si="216"/>
        <v>75250</v>
      </c>
      <c r="M1619" s="57"/>
    </row>
    <row r="1620" spans="1:13" x14ac:dyDescent="0.2">
      <c r="A1620" s="60">
        <v>1011</v>
      </c>
      <c r="B1620" s="70" t="s">
        <v>4045</v>
      </c>
      <c r="C1620" s="69">
        <v>0</v>
      </c>
      <c r="D1620" s="69">
        <v>0</v>
      </c>
      <c r="E1620" s="69">
        <v>0</v>
      </c>
      <c r="F1620" s="69">
        <v>0</v>
      </c>
      <c r="G1620" s="69">
        <f t="shared" si="215"/>
        <v>0</v>
      </c>
      <c r="H1620" s="69">
        <f>+[3]Salary_Bdgt!$U$211</f>
        <v>0</v>
      </c>
      <c r="I1620" s="69">
        <f t="shared" si="216"/>
        <v>0</v>
      </c>
      <c r="J1620" s="69">
        <f t="shared" si="216"/>
        <v>0</v>
      </c>
      <c r="M1620" s="57"/>
    </row>
    <row r="1621" spans="1:13" x14ac:dyDescent="0.2">
      <c r="A1621" s="60">
        <v>1015</v>
      </c>
      <c r="B1621" s="70" t="s">
        <v>445</v>
      </c>
      <c r="C1621" s="69">
        <v>0</v>
      </c>
      <c r="D1621" s="69">
        <v>0</v>
      </c>
      <c r="E1621" s="69">
        <v>0</v>
      </c>
      <c r="F1621" s="69">
        <v>0</v>
      </c>
      <c r="G1621" s="69">
        <f t="shared" si="215"/>
        <v>0</v>
      </c>
      <c r="H1621" s="69">
        <f>+[3]Salary_Bdgt!$O$211+[3]Salary_Bdgt!$P$211+[3]Salary_Bdgt!$W$211</f>
        <v>0</v>
      </c>
      <c r="I1621" s="69">
        <f t="shared" si="216"/>
        <v>0</v>
      </c>
      <c r="J1621" s="69">
        <f t="shared" si="216"/>
        <v>0</v>
      </c>
      <c r="M1621" s="57"/>
    </row>
    <row r="1622" spans="1:13" x14ac:dyDescent="0.2">
      <c r="A1622" s="60">
        <v>1016</v>
      </c>
      <c r="B1622" s="70" t="s">
        <v>475</v>
      </c>
      <c r="C1622" s="69">
        <v>0</v>
      </c>
      <c r="D1622" s="69">
        <v>0</v>
      </c>
      <c r="E1622" s="69">
        <v>0</v>
      </c>
      <c r="F1622" s="69">
        <v>5650</v>
      </c>
      <c r="G1622" s="69">
        <f t="shared" si="215"/>
        <v>6780</v>
      </c>
      <c r="H1622" s="69">
        <f>+[3]Salary_Bdgt!$T$211+[3]Salary_Bdgt!$V$211</f>
        <v>17516</v>
      </c>
      <c r="I1622" s="69">
        <f t="shared" si="216"/>
        <v>18917</v>
      </c>
      <c r="J1622" s="69">
        <f t="shared" si="216"/>
        <v>20430</v>
      </c>
      <c r="M1622" s="57"/>
    </row>
    <row r="1623" spans="1:13" x14ac:dyDescent="0.2">
      <c r="A1623" s="75">
        <v>1017</v>
      </c>
      <c r="B1623" s="70" t="s">
        <v>4044</v>
      </c>
      <c r="C1623" s="69">
        <v>8796</v>
      </c>
      <c r="D1623" s="69">
        <v>16844</v>
      </c>
      <c r="E1623" s="69">
        <f>+D1623</f>
        <v>16844</v>
      </c>
      <c r="F1623" s="69">
        <v>3148</v>
      </c>
      <c r="G1623" s="69">
        <f t="shared" si="215"/>
        <v>3777.6000000000004</v>
      </c>
      <c r="H1623" s="69">
        <f>+[3]Salary_Bdgt!$J$211</f>
        <v>15659</v>
      </c>
      <c r="I1623" s="69">
        <f t="shared" si="216"/>
        <v>16912</v>
      </c>
      <c r="J1623" s="69">
        <f t="shared" si="216"/>
        <v>18265</v>
      </c>
      <c r="M1623" s="57"/>
    </row>
    <row r="1624" spans="1:13" x14ac:dyDescent="0.2">
      <c r="A1624" s="75">
        <v>1046</v>
      </c>
      <c r="B1624" s="70" t="s">
        <v>491</v>
      </c>
      <c r="C1624" s="69">
        <v>0</v>
      </c>
      <c r="D1624" s="69">
        <v>0</v>
      </c>
      <c r="E1624" s="69">
        <v>0</v>
      </c>
      <c r="F1624" s="69">
        <v>0</v>
      </c>
      <c r="G1624" s="69">
        <f t="shared" si="215"/>
        <v>0</v>
      </c>
      <c r="H1624" s="69">
        <f>+[3]Salary_Bdgt!$R$211</f>
        <v>0</v>
      </c>
      <c r="I1624" s="69">
        <f t="shared" si="216"/>
        <v>0</v>
      </c>
      <c r="J1624" s="69">
        <f t="shared" si="216"/>
        <v>0</v>
      </c>
      <c r="M1624" s="57"/>
    </row>
    <row r="1625" spans="1:13" x14ac:dyDescent="0.2">
      <c r="A1625" s="75">
        <v>1182</v>
      </c>
      <c r="B1625" s="71" t="s">
        <v>1065</v>
      </c>
      <c r="C1625" s="56">
        <v>6424</v>
      </c>
      <c r="D1625" s="56">
        <v>15665</v>
      </c>
      <c r="E1625" s="56">
        <f>+D1625</f>
        <v>15665</v>
      </c>
      <c r="F1625" s="56">
        <v>0</v>
      </c>
      <c r="G1625" s="56">
        <f t="shared" si="215"/>
        <v>0</v>
      </c>
      <c r="H1625" s="56">
        <f>+[3]Salary_Bdgt!$K$211</f>
        <v>14563</v>
      </c>
      <c r="I1625" s="56">
        <f t="shared" si="216"/>
        <v>15728</v>
      </c>
      <c r="J1625" s="56">
        <f t="shared" si="216"/>
        <v>16986</v>
      </c>
      <c r="M1625" s="57"/>
    </row>
    <row r="1626" spans="1:13" x14ac:dyDescent="0.2">
      <c r="B1626" s="58" t="s">
        <v>416</v>
      </c>
      <c r="C1626" s="72">
        <f t="shared" ref="C1626:J1626" si="217">SUM(C1614:C1625)</f>
        <v>961301</v>
      </c>
      <c r="D1626" s="72">
        <f t="shared" si="217"/>
        <v>1146610</v>
      </c>
      <c r="E1626" s="72">
        <f t="shared" si="217"/>
        <v>1146610</v>
      </c>
      <c r="F1626" s="72">
        <f t="shared" si="217"/>
        <v>923966</v>
      </c>
      <c r="G1626" s="72">
        <f t="shared" si="217"/>
        <v>1108759.2000000002</v>
      </c>
      <c r="H1626" s="72">
        <f t="shared" si="217"/>
        <v>1089444</v>
      </c>
      <c r="I1626" s="72">
        <f t="shared" si="217"/>
        <v>1176600</v>
      </c>
      <c r="J1626" s="72">
        <f t="shared" si="217"/>
        <v>1270727</v>
      </c>
      <c r="M1626" s="57"/>
    </row>
    <row r="1627" spans="1:13" x14ac:dyDescent="0.2">
      <c r="B1627" s="58"/>
      <c r="C1627" s="69"/>
      <c r="D1627" s="69"/>
      <c r="E1627" s="69"/>
      <c r="G1627" s="69"/>
      <c r="H1627" s="69"/>
      <c r="I1627" s="69"/>
      <c r="J1627" s="69"/>
      <c r="M1627" s="57"/>
    </row>
    <row r="1628" spans="1:13" x14ac:dyDescent="0.2">
      <c r="B1628" s="58" t="s">
        <v>4021</v>
      </c>
      <c r="C1628" s="69"/>
      <c r="D1628" s="69"/>
      <c r="E1628" s="69"/>
      <c r="F1628" s="24"/>
      <c r="G1628" s="69"/>
      <c r="H1628" s="69"/>
      <c r="I1628" s="69"/>
      <c r="J1628" s="69"/>
      <c r="M1628" s="57"/>
    </row>
    <row r="1629" spans="1:13" x14ac:dyDescent="0.2">
      <c r="A1629" s="75">
        <v>3207</v>
      </c>
      <c r="B1629" s="71" t="s">
        <v>4046</v>
      </c>
      <c r="C1629" s="56">
        <v>621</v>
      </c>
      <c r="D1629" s="56">
        <v>31500</v>
      </c>
      <c r="E1629" s="56">
        <v>31500</v>
      </c>
      <c r="F1629" s="56">
        <v>0</v>
      </c>
      <c r="G1629" s="56">
        <f>F1629/$F$11*$G$11</f>
        <v>0</v>
      </c>
      <c r="H1629" s="56">
        <f>ROUND(E1629*1.05,0)</f>
        <v>33075</v>
      </c>
      <c r="I1629" s="56">
        <f>ROUND(H1629*1.06,0)</f>
        <v>35060</v>
      </c>
      <c r="J1629" s="56">
        <f>ROUND(I1629*1.06,0)</f>
        <v>37164</v>
      </c>
      <c r="M1629" s="57"/>
    </row>
    <row r="1630" spans="1:13" x14ac:dyDescent="0.2">
      <c r="B1630" s="58" t="s">
        <v>417</v>
      </c>
      <c r="C1630" s="72">
        <f>SUM(C1629:C1629)</f>
        <v>621</v>
      </c>
      <c r="D1630" s="72">
        <f t="shared" ref="D1630:J1630" si="218">SUM(D1629:D1629)</f>
        <v>31500</v>
      </c>
      <c r="E1630" s="72">
        <f t="shared" si="218"/>
        <v>31500</v>
      </c>
      <c r="F1630" s="72">
        <f t="shared" si="218"/>
        <v>0</v>
      </c>
      <c r="G1630" s="72">
        <f t="shared" si="218"/>
        <v>0</v>
      </c>
      <c r="H1630" s="72">
        <f t="shared" si="218"/>
        <v>33075</v>
      </c>
      <c r="I1630" s="72">
        <f t="shared" si="218"/>
        <v>35060</v>
      </c>
      <c r="J1630" s="72">
        <f t="shared" si="218"/>
        <v>37164</v>
      </c>
      <c r="M1630" s="57"/>
    </row>
    <row r="1631" spans="1:13" x14ac:dyDescent="0.2">
      <c r="B1631" s="58"/>
      <c r="C1631" s="69"/>
      <c r="D1631" s="69"/>
      <c r="E1631" s="69"/>
      <c r="F1631" s="24"/>
      <c r="G1631" s="69"/>
      <c r="H1631" s="69"/>
      <c r="I1631" s="69"/>
      <c r="J1631" s="69"/>
      <c r="M1631" s="57"/>
    </row>
    <row r="1632" spans="1:13" x14ac:dyDescent="0.2">
      <c r="B1632" s="58" t="s">
        <v>435</v>
      </c>
      <c r="C1632" s="69"/>
      <c r="D1632" s="69"/>
      <c r="E1632" s="69"/>
      <c r="G1632" s="69"/>
      <c r="H1632" s="69"/>
      <c r="I1632" s="69"/>
      <c r="J1632" s="69"/>
      <c r="M1632" s="57"/>
    </row>
    <row r="1633" spans="1:13" x14ac:dyDescent="0.2">
      <c r="A1633" s="75">
        <v>2113</v>
      </c>
      <c r="B1633" s="70" t="s">
        <v>21</v>
      </c>
      <c r="C1633" s="69">
        <v>86</v>
      </c>
      <c r="D1633" s="69">
        <v>11550</v>
      </c>
      <c r="E1633" s="69">
        <v>11550</v>
      </c>
      <c r="F1633" s="69">
        <v>0</v>
      </c>
      <c r="G1633" s="69">
        <f t="shared" ref="G1633:G1640" si="219">F1633/$F$11*$G$11</f>
        <v>0</v>
      </c>
      <c r="H1633" s="69">
        <f>ROUND(E1633*1.05,0)</f>
        <v>12128</v>
      </c>
      <c r="I1633" s="69">
        <f t="shared" ref="I1633:J1640" si="220">ROUND(H1633*1.06,0)</f>
        <v>12856</v>
      </c>
      <c r="J1633" s="69">
        <f t="shared" si="220"/>
        <v>13627</v>
      </c>
      <c r="M1633" s="57"/>
    </row>
    <row r="1634" spans="1:13" x14ac:dyDescent="0.2">
      <c r="A1634" s="60">
        <v>2212</v>
      </c>
      <c r="B1634" s="70" t="s">
        <v>488</v>
      </c>
      <c r="C1634" s="69">
        <v>0</v>
      </c>
      <c r="D1634" s="69">
        <v>525</v>
      </c>
      <c r="E1634" s="69">
        <v>525</v>
      </c>
      <c r="F1634" s="69">
        <v>0</v>
      </c>
      <c r="G1634" s="69">
        <f t="shared" si="219"/>
        <v>0</v>
      </c>
      <c r="H1634" s="69">
        <f>ROUND(E1634*1.05,0)</f>
        <v>551</v>
      </c>
      <c r="I1634" s="69">
        <f t="shared" si="220"/>
        <v>584</v>
      </c>
      <c r="J1634" s="69">
        <f t="shared" si="220"/>
        <v>619</v>
      </c>
      <c r="M1634" s="57"/>
    </row>
    <row r="1635" spans="1:13" x14ac:dyDescent="0.2">
      <c r="A1635" s="60">
        <v>2233</v>
      </c>
      <c r="B1635" s="70" t="s">
        <v>497</v>
      </c>
      <c r="C1635" s="69">
        <v>0</v>
      </c>
      <c r="D1635" s="69">
        <v>16800</v>
      </c>
      <c r="E1635" s="69">
        <v>16800</v>
      </c>
      <c r="F1635" s="69">
        <v>0</v>
      </c>
      <c r="G1635" s="69">
        <f t="shared" si="219"/>
        <v>0</v>
      </c>
      <c r="H1635" s="69">
        <v>0</v>
      </c>
      <c r="I1635" s="69">
        <f t="shared" si="220"/>
        <v>0</v>
      </c>
      <c r="J1635" s="69">
        <f t="shared" si="220"/>
        <v>0</v>
      </c>
      <c r="M1635" s="57"/>
    </row>
    <row r="1636" spans="1:13" x14ac:dyDescent="0.2">
      <c r="A1636" s="75">
        <v>2238</v>
      </c>
      <c r="B1636" s="70" t="s">
        <v>479</v>
      </c>
      <c r="C1636" s="69">
        <v>0</v>
      </c>
      <c r="D1636" s="69">
        <v>2100</v>
      </c>
      <c r="E1636" s="69">
        <v>2100</v>
      </c>
      <c r="F1636" s="69">
        <v>0</v>
      </c>
      <c r="G1636" s="69">
        <f t="shared" si="219"/>
        <v>0</v>
      </c>
      <c r="H1636" s="69">
        <f>ROUND(E1636*1.05,0)</f>
        <v>2205</v>
      </c>
      <c r="I1636" s="69">
        <f t="shared" si="220"/>
        <v>2337</v>
      </c>
      <c r="J1636" s="69">
        <f t="shared" si="220"/>
        <v>2477</v>
      </c>
      <c r="M1636" s="57"/>
    </row>
    <row r="1637" spans="1:13" x14ac:dyDescent="0.2">
      <c r="A1637" s="60">
        <v>2246</v>
      </c>
      <c r="B1637" s="70" t="s">
        <v>2422</v>
      </c>
      <c r="C1637" s="69">
        <v>15717</v>
      </c>
      <c r="D1637" s="69">
        <v>33075</v>
      </c>
      <c r="E1637" s="69">
        <v>33075</v>
      </c>
      <c r="F1637" s="69">
        <v>8005</v>
      </c>
      <c r="G1637" s="69">
        <f t="shared" si="219"/>
        <v>9606</v>
      </c>
      <c r="H1637" s="69">
        <f>ROUND(E1637*1.05,0)</f>
        <v>34729</v>
      </c>
      <c r="I1637" s="69">
        <f t="shared" si="220"/>
        <v>36813</v>
      </c>
      <c r="J1637" s="69">
        <f t="shared" si="220"/>
        <v>39022</v>
      </c>
      <c r="M1637" s="57"/>
    </row>
    <row r="1638" spans="1:13" x14ac:dyDescent="0.2">
      <c r="A1638" s="75">
        <v>2251</v>
      </c>
      <c r="B1638" s="70" t="s">
        <v>236</v>
      </c>
      <c r="C1638" s="69">
        <v>0</v>
      </c>
      <c r="D1638" s="69">
        <v>5250</v>
      </c>
      <c r="E1638" s="69">
        <v>5250</v>
      </c>
      <c r="F1638" s="69">
        <v>0</v>
      </c>
      <c r="G1638" s="69">
        <f t="shared" si="219"/>
        <v>0</v>
      </c>
      <c r="H1638" s="69">
        <f>ROUND(E1638*1.05,0)</f>
        <v>5513</v>
      </c>
      <c r="I1638" s="69">
        <f t="shared" si="220"/>
        <v>5844</v>
      </c>
      <c r="J1638" s="69">
        <f t="shared" si="220"/>
        <v>6195</v>
      </c>
      <c r="M1638" s="57"/>
    </row>
    <row r="1639" spans="1:13" s="9" customFormat="1" x14ac:dyDescent="0.2">
      <c r="A1639" s="75">
        <v>2252</v>
      </c>
      <c r="B1639" s="70" t="s">
        <v>4052</v>
      </c>
      <c r="C1639" s="69">
        <v>0</v>
      </c>
      <c r="D1639" s="69">
        <v>0</v>
      </c>
      <c r="E1639" s="69">
        <v>0</v>
      </c>
      <c r="F1639" s="69"/>
      <c r="G1639" s="69">
        <f t="shared" si="219"/>
        <v>0</v>
      </c>
      <c r="H1639" s="69">
        <f>ROUND(E1639*1.05,0)</f>
        <v>0</v>
      </c>
      <c r="I1639" s="69">
        <f t="shared" si="220"/>
        <v>0</v>
      </c>
      <c r="J1639" s="69">
        <f t="shared" si="220"/>
        <v>0</v>
      </c>
      <c r="M1639" s="57"/>
    </row>
    <row r="1640" spans="1:13" s="9" customFormat="1" x14ac:dyDescent="0.2">
      <c r="A1640" s="75">
        <v>2305</v>
      </c>
      <c r="B1640" s="71" t="s">
        <v>31</v>
      </c>
      <c r="C1640" s="56">
        <v>630</v>
      </c>
      <c r="D1640" s="56">
        <v>1050</v>
      </c>
      <c r="E1640" s="56">
        <v>1050</v>
      </c>
      <c r="F1640" s="56">
        <v>41</v>
      </c>
      <c r="G1640" s="56">
        <f t="shared" si="219"/>
        <v>49.199999999999996</v>
      </c>
      <c r="H1640" s="56">
        <f>ROUND(E1640*1.05,0)</f>
        <v>1103</v>
      </c>
      <c r="I1640" s="56">
        <f t="shared" si="220"/>
        <v>1169</v>
      </c>
      <c r="J1640" s="56">
        <f t="shared" si="220"/>
        <v>1239</v>
      </c>
      <c r="M1640" s="57"/>
    </row>
    <row r="1641" spans="1:13" s="9" customFormat="1" x14ac:dyDescent="0.2">
      <c r="A1641" s="37"/>
      <c r="B1641" s="58" t="s">
        <v>436</v>
      </c>
      <c r="C1641" s="72">
        <f t="shared" ref="C1641:J1641" si="221">SUM(C1633:C1640)</f>
        <v>16433</v>
      </c>
      <c r="D1641" s="72">
        <f t="shared" si="221"/>
        <v>70350</v>
      </c>
      <c r="E1641" s="72">
        <f t="shared" si="221"/>
        <v>70350</v>
      </c>
      <c r="F1641" s="72">
        <f t="shared" si="221"/>
        <v>8046</v>
      </c>
      <c r="G1641" s="72">
        <f t="shared" si="221"/>
        <v>9655.2000000000007</v>
      </c>
      <c r="H1641" s="72">
        <f t="shared" si="221"/>
        <v>56229</v>
      </c>
      <c r="I1641" s="72">
        <f t="shared" si="221"/>
        <v>59603</v>
      </c>
      <c r="J1641" s="72">
        <f t="shared" si="221"/>
        <v>63179</v>
      </c>
      <c r="M1641" s="57"/>
    </row>
    <row r="1642" spans="1:13" x14ac:dyDescent="0.2">
      <c r="B1642" s="61"/>
      <c r="C1642" s="97"/>
      <c r="D1642" s="97"/>
      <c r="E1642" s="97"/>
      <c r="F1642" s="97"/>
      <c r="G1642" s="97"/>
      <c r="H1642" s="97"/>
      <c r="I1642" s="97"/>
      <c r="J1642" s="97"/>
      <c r="M1642" s="57"/>
    </row>
    <row r="1643" spans="1:13" x14ac:dyDescent="0.2">
      <c r="B1643" s="58" t="s">
        <v>4055</v>
      </c>
      <c r="C1643" s="73">
        <f t="shared" ref="C1643:J1643" si="222">C1626+C1630+C1641</f>
        <v>978355</v>
      </c>
      <c r="D1643" s="73">
        <f t="shared" si="222"/>
        <v>1248460</v>
      </c>
      <c r="E1643" s="73">
        <f t="shared" si="222"/>
        <v>1248460</v>
      </c>
      <c r="F1643" s="73">
        <f t="shared" si="222"/>
        <v>932012</v>
      </c>
      <c r="G1643" s="73">
        <f t="shared" si="222"/>
        <v>1118414.4000000001</v>
      </c>
      <c r="H1643" s="73">
        <f t="shared" si="222"/>
        <v>1178748</v>
      </c>
      <c r="I1643" s="73">
        <f t="shared" si="222"/>
        <v>1271263</v>
      </c>
      <c r="J1643" s="73">
        <f t="shared" si="222"/>
        <v>1371070</v>
      </c>
      <c r="M1643" s="57"/>
    </row>
    <row r="1644" spans="1:13" x14ac:dyDescent="0.2">
      <c r="B1644" s="58"/>
      <c r="C1644" s="73"/>
      <c r="D1644" s="73"/>
      <c r="E1644" s="73"/>
      <c r="F1644" s="24"/>
      <c r="G1644" s="69"/>
      <c r="H1644" s="69"/>
      <c r="I1644" s="73"/>
      <c r="J1644" s="73"/>
      <c r="M1644" s="57"/>
    </row>
    <row r="1645" spans="1:13" x14ac:dyDescent="0.2">
      <c r="B1645" s="58" t="s">
        <v>418</v>
      </c>
      <c r="C1645" s="96"/>
      <c r="D1645" s="96"/>
      <c r="E1645" s="96"/>
      <c r="G1645" s="69"/>
      <c r="H1645" s="69"/>
      <c r="I1645" s="96"/>
      <c r="J1645" s="96"/>
      <c r="M1645" s="57"/>
    </row>
    <row r="1646" spans="1:13" x14ac:dyDescent="0.2">
      <c r="A1646" s="101">
        <v>4204</v>
      </c>
      <c r="B1646" s="70" t="s">
        <v>4058</v>
      </c>
      <c r="C1646" s="96">
        <v>11737</v>
      </c>
      <c r="D1646" s="69">
        <v>26055</v>
      </c>
      <c r="E1646" s="69">
        <v>26055</v>
      </c>
      <c r="F1646" s="69">
        <v>0</v>
      </c>
      <c r="G1646" s="69">
        <f>F1646/$F$11*$G$11</f>
        <v>0</v>
      </c>
      <c r="H1646" s="69">
        <f>ROUND(E1646*1.05,0)</f>
        <v>27358</v>
      </c>
      <c r="I1646" s="69">
        <f>ROUND(H1646*1.08,0)</f>
        <v>29547</v>
      </c>
      <c r="J1646" s="69">
        <f>ROUND(I1646*1.08,0)</f>
        <v>31911</v>
      </c>
      <c r="M1646" s="57"/>
    </row>
    <row r="1647" spans="1:13" x14ac:dyDescent="0.2">
      <c r="A1647" s="101">
        <v>4209</v>
      </c>
      <c r="B1647" s="70" t="s">
        <v>237</v>
      </c>
      <c r="C1647" s="96">
        <v>4</v>
      </c>
      <c r="D1647" s="69">
        <v>0</v>
      </c>
      <c r="E1647" s="69">
        <v>0</v>
      </c>
      <c r="F1647" s="69">
        <v>0</v>
      </c>
      <c r="G1647" s="69">
        <f>F1647/$F$11*$G$11</f>
        <v>0</v>
      </c>
      <c r="H1647" s="69">
        <f>ROUND(E1647*1.05,0)</f>
        <v>0</v>
      </c>
      <c r="I1647" s="69">
        <f>ROUND(H1647*1.05,0)</f>
        <v>0</v>
      </c>
      <c r="J1647" s="69">
        <f>ROUND(I1647*1.05,0)</f>
        <v>0</v>
      </c>
      <c r="M1647" s="57"/>
    </row>
    <row r="1648" spans="1:13" x14ac:dyDescent="0.2">
      <c r="A1648" s="101">
        <v>4207</v>
      </c>
      <c r="B1648" s="71" t="s">
        <v>222</v>
      </c>
      <c r="C1648" s="105">
        <v>28888</v>
      </c>
      <c r="D1648" s="56">
        <v>23252</v>
      </c>
      <c r="E1648" s="56">
        <v>23252</v>
      </c>
      <c r="F1648" s="56">
        <v>0</v>
      </c>
      <c r="G1648" s="56">
        <f>F1648/$F$11*$G$11</f>
        <v>0</v>
      </c>
      <c r="H1648" s="56">
        <f>ROUND(E1648*1.05,0)</f>
        <v>24415</v>
      </c>
      <c r="I1648" s="56">
        <f>ROUND(H1648*1.08,0)</f>
        <v>26368</v>
      </c>
      <c r="J1648" s="56">
        <f>ROUND(I1648*1.08,0)</f>
        <v>28477</v>
      </c>
      <c r="M1648" s="57"/>
    </row>
    <row r="1649" spans="1:13" x14ac:dyDescent="0.2">
      <c r="B1649" s="58" t="s">
        <v>419</v>
      </c>
      <c r="C1649" s="72">
        <f t="shared" ref="C1649:J1649" si="223">SUM(C1646:C1648)</f>
        <v>40629</v>
      </c>
      <c r="D1649" s="72">
        <f t="shared" si="223"/>
        <v>49307</v>
      </c>
      <c r="E1649" s="72">
        <f t="shared" si="223"/>
        <v>49307</v>
      </c>
      <c r="F1649" s="72">
        <f t="shared" si="223"/>
        <v>0</v>
      </c>
      <c r="G1649" s="72">
        <f t="shared" si="223"/>
        <v>0</v>
      </c>
      <c r="H1649" s="72">
        <f t="shared" si="223"/>
        <v>51773</v>
      </c>
      <c r="I1649" s="72">
        <f t="shared" si="223"/>
        <v>55915</v>
      </c>
      <c r="J1649" s="72">
        <f t="shared" si="223"/>
        <v>60388</v>
      </c>
      <c r="M1649" s="57"/>
    </row>
    <row r="1650" spans="1:13" x14ac:dyDescent="0.2">
      <c r="B1650" s="58"/>
      <c r="C1650" s="96"/>
      <c r="D1650" s="96"/>
      <c r="E1650" s="96"/>
      <c r="G1650" s="69"/>
      <c r="H1650" s="69"/>
      <c r="I1650" s="96"/>
      <c r="J1650" s="96"/>
      <c r="M1650" s="57"/>
    </row>
    <row r="1651" spans="1:13" ht="13.5" thickBot="1" x14ac:dyDescent="0.25">
      <c r="B1651" s="65" t="s">
        <v>4033</v>
      </c>
      <c r="C1651" s="76">
        <f t="shared" ref="C1651:J1651" si="224">C1643+C1649</f>
        <v>1018984</v>
      </c>
      <c r="D1651" s="76">
        <f t="shared" si="224"/>
        <v>1297767</v>
      </c>
      <c r="E1651" s="76">
        <f t="shared" si="224"/>
        <v>1297767</v>
      </c>
      <c r="F1651" s="76">
        <f t="shared" si="224"/>
        <v>932012</v>
      </c>
      <c r="G1651" s="76">
        <f t="shared" si="224"/>
        <v>1118414.4000000001</v>
      </c>
      <c r="H1651" s="76">
        <f t="shared" si="224"/>
        <v>1230521</v>
      </c>
      <c r="I1651" s="76">
        <f t="shared" si="224"/>
        <v>1327178</v>
      </c>
      <c r="J1651" s="76">
        <f t="shared" si="224"/>
        <v>1431458</v>
      </c>
      <c r="M1651" s="57"/>
    </row>
    <row r="1652" spans="1:13" ht="13.5" thickTop="1" x14ac:dyDescent="0.2">
      <c r="B1652" s="58"/>
      <c r="C1652" s="72"/>
      <c r="D1652" s="72"/>
      <c r="E1652" s="72"/>
      <c r="F1652" s="72"/>
      <c r="G1652" s="72"/>
      <c r="H1652" s="72"/>
      <c r="I1652" s="72"/>
      <c r="J1652" s="72"/>
      <c r="M1652" s="57"/>
    </row>
    <row r="1653" spans="1:13" ht="13.5" thickBot="1" x14ac:dyDescent="0.25">
      <c r="B1653" s="65" t="s">
        <v>4059</v>
      </c>
      <c r="C1653" s="77">
        <f t="shared" ref="C1653:J1653" si="225">C1609-C1651</f>
        <v>0</v>
      </c>
      <c r="D1653" s="77">
        <f t="shared" si="225"/>
        <v>0</v>
      </c>
      <c r="E1653" s="77">
        <f t="shared" si="225"/>
        <v>0</v>
      </c>
      <c r="F1653" s="77">
        <f t="shared" si="225"/>
        <v>0</v>
      </c>
      <c r="G1653" s="77">
        <f t="shared" si="225"/>
        <v>0</v>
      </c>
      <c r="H1653" s="77">
        <f t="shared" si="225"/>
        <v>0</v>
      </c>
      <c r="I1653" s="77">
        <f t="shared" si="225"/>
        <v>0</v>
      </c>
      <c r="J1653" s="77">
        <f t="shared" si="225"/>
        <v>0</v>
      </c>
      <c r="M1653" s="57"/>
    </row>
    <row r="1654" spans="1:13" ht="13.5" thickTop="1" x14ac:dyDescent="0.2">
      <c r="B1654" s="58"/>
      <c r="C1654" s="78"/>
      <c r="D1654" s="78"/>
      <c r="E1654" s="78"/>
      <c r="G1654" s="69"/>
      <c r="H1654" s="69"/>
      <c r="I1654" s="78"/>
      <c r="J1654" s="78"/>
      <c r="M1654" s="57"/>
    </row>
    <row r="1655" spans="1:13" x14ac:dyDescent="0.2">
      <c r="G1655" s="69"/>
      <c r="H1655" s="69"/>
      <c r="M1655" s="57"/>
    </row>
    <row r="1656" spans="1:13" x14ac:dyDescent="0.2">
      <c r="G1656" s="69"/>
      <c r="H1656" s="69"/>
      <c r="M1656" s="57"/>
    </row>
    <row r="1657" spans="1:13" x14ac:dyDescent="0.2">
      <c r="G1657" s="69"/>
      <c r="H1657" s="69"/>
      <c r="M1657" s="57"/>
    </row>
    <row r="1658" spans="1:13" x14ac:dyDescent="0.2">
      <c r="G1658" s="69"/>
      <c r="H1658" s="69"/>
      <c r="M1658" s="57"/>
    </row>
    <row r="1659" spans="1:13" x14ac:dyDescent="0.2">
      <c r="G1659" s="69"/>
      <c r="H1659" s="69"/>
      <c r="M1659" s="57"/>
    </row>
    <row r="1660" spans="1:13" x14ac:dyDescent="0.2">
      <c r="G1660" s="69"/>
      <c r="H1660" s="69"/>
      <c r="M1660" s="57"/>
    </row>
    <row r="1661" spans="1:13" x14ac:dyDescent="0.2">
      <c r="G1661" s="69"/>
      <c r="H1661" s="69"/>
      <c r="M1661" s="57"/>
    </row>
    <row r="1662" spans="1:13" x14ac:dyDescent="0.2">
      <c r="G1662" s="69"/>
      <c r="H1662" s="69"/>
      <c r="M1662" s="57"/>
    </row>
    <row r="1663" spans="1:13" x14ac:dyDescent="0.2">
      <c r="G1663" s="69"/>
      <c r="H1663" s="69"/>
      <c r="M1663" s="57"/>
    </row>
    <row r="1664" spans="1:13" x14ac:dyDescent="0.2">
      <c r="A1664" s="6"/>
      <c r="B1664" s="6"/>
      <c r="C1664" s="6"/>
      <c r="D1664" s="6"/>
      <c r="E1664" s="6"/>
      <c r="G1664" s="69"/>
      <c r="H1664" s="69"/>
      <c r="I1664" s="6"/>
      <c r="J1664" s="6"/>
      <c r="M1664" s="57"/>
    </row>
    <row r="1665" spans="1:13" x14ac:dyDescent="0.2">
      <c r="A1665" s="6"/>
      <c r="B1665" s="6"/>
      <c r="C1665" s="6"/>
      <c r="D1665" s="6"/>
      <c r="E1665" s="6"/>
      <c r="G1665" s="69"/>
      <c r="H1665" s="69"/>
      <c r="I1665" s="6"/>
      <c r="J1665" s="6"/>
      <c r="M1665" s="57"/>
    </row>
    <row r="1666" spans="1:13" x14ac:dyDescent="0.2">
      <c r="A1666" s="6"/>
      <c r="B1666" s="6"/>
      <c r="C1666" s="6"/>
      <c r="D1666" s="6"/>
      <c r="E1666" s="6"/>
      <c r="G1666" s="69"/>
      <c r="H1666" s="69"/>
      <c r="I1666" s="6"/>
      <c r="J1666" s="6"/>
      <c r="M1666" s="57"/>
    </row>
    <row r="1667" spans="1:13" x14ac:dyDescent="0.2">
      <c r="A1667" s="6"/>
      <c r="B1667" s="6"/>
      <c r="C1667" s="6"/>
      <c r="D1667" s="6"/>
      <c r="E1667" s="6"/>
      <c r="G1667" s="69"/>
      <c r="H1667" s="69"/>
      <c r="I1667" s="6"/>
      <c r="J1667" s="6"/>
      <c r="M1667" s="57"/>
    </row>
    <row r="1668" spans="1:13" x14ac:dyDescent="0.2">
      <c r="G1668" s="69"/>
      <c r="H1668" s="69"/>
      <c r="M1668" s="57"/>
    </row>
    <row r="1669" spans="1:13" ht="15" x14ac:dyDescent="0.25">
      <c r="A1669" s="91">
        <v>1430</v>
      </c>
      <c r="B1669" s="48" t="s">
        <v>29</v>
      </c>
      <c r="C1669" s="48"/>
      <c r="D1669" s="48"/>
      <c r="E1669" s="48"/>
      <c r="G1669" s="69"/>
      <c r="H1669" s="69"/>
      <c r="M1669" s="57"/>
    </row>
    <row r="1670" spans="1:13" ht="15" x14ac:dyDescent="0.25">
      <c r="B1670" s="48"/>
      <c r="C1670" s="48"/>
      <c r="D1670" s="48"/>
      <c r="E1670" s="48"/>
      <c r="G1670" s="69"/>
      <c r="H1670" s="69"/>
      <c r="M1670" s="57"/>
    </row>
    <row r="1671" spans="1:13" x14ac:dyDescent="0.2">
      <c r="B1671" s="50" t="s">
        <v>61</v>
      </c>
      <c r="C1671" s="50"/>
      <c r="D1671" s="50"/>
      <c r="E1671" s="50"/>
      <c r="G1671" s="69"/>
      <c r="H1671" s="69"/>
      <c r="M1671" s="57"/>
    </row>
    <row r="1672" spans="1:13" x14ac:dyDescent="0.2">
      <c r="B1672" s="46"/>
      <c r="C1672" s="46"/>
      <c r="D1672" s="46"/>
      <c r="E1672" s="46"/>
      <c r="G1672" s="69"/>
      <c r="H1672" s="69"/>
      <c r="M1672" s="57"/>
    </row>
    <row r="1673" spans="1:13" x14ac:dyDescent="0.2">
      <c r="B1673" s="58" t="s">
        <v>66</v>
      </c>
      <c r="C1673" s="99"/>
      <c r="D1673" s="99"/>
      <c r="E1673" s="99"/>
      <c r="G1673" s="69"/>
      <c r="H1673" s="69"/>
      <c r="M1673" s="57"/>
    </row>
    <row r="1674" spans="1:13" x14ac:dyDescent="0.2">
      <c r="A1674" s="75">
        <v>5205</v>
      </c>
      <c r="B1674" s="70" t="s">
        <v>238</v>
      </c>
      <c r="C1674" s="99">
        <v>7430</v>
      </c>
      <c r="D1674" s="69">
        <v>12500</v>
      </c>
      <c r="E1674" s="69">
        <v>12500</v>
      </c>
      <c r="F1674" s="69">
        <v>10189</v>
      </c>
      <c r="G1674" s="69">
        <f>F1674/$F$11*$G$11</f>
        <v>12226.8</v>
      </c>
      <c r="H1674" s="69">
        <f t="shared" ref="H1674:J1675" si="226">ROUND(G1674*1.1,0)</f>
        <v>13449</v>
      </c>
      <c r="I1674" s="69">
        <f t="shared" si="226"/>
        <v>14794</v>
      </c>
      <c r="J1674" s="69">
        <f t="shared" si="226"/>
        <v>16273</v>
      </c>
      <c r="M1674" s="57"/>
    </row>
    <row r="1675" spans="1:13" x14ac:dyDescent="0.2">
      <c r="A1675" s="75">
        <v>5627</v>
      </c>
      <c r="B1675" s="71" t="s">
        <v>239</v>
      </c>
      <c r="C1675" s="56">
        <v>295</v>
      </c>
      <c r="D1675" s="56">
        <v>600</v>
      </c>
      <c r="E1675" s="56">
        <v>600</v>
      </c>
      <c r="F1675" s="56">
        <v>682</v>
      </c>
      <c r="G1675" s="56">
        <f>F1675/$F$11*$G$11</f>
        <v>818.40000000000009</v>
      </c>
      <c r="H1675" s="56">
        <f t="shared" si="226"/>
        <v>900</v>
      </c>
      <c r="I1675" s="56">
        <f t="shared" si="226"/>
        <v>990</v>
      </c>
      <c r="J1675" s="56">
        <f t="shared" si="226"/>
        <v>1089</v>
      </c>
      <c r="M1675" s="57"/>
    </row>
    <row r="1676" spans="1:13" x14ac:dyDescent="0.2">
      <c r="B1676" s="58" t="s">
        <v>434</v>
      </c>
      <c r="C1676" s="100">
        <f t="shared" ref="C1676:J1676" si="227">SUM(C1674:C1675)</f>
        <v>7725</v>
      </c>
      <c r="D1676" s="100">
        <f t="shared" si="227"/>
        <v>13100</v>
      </c>
      <c r="E1676" s="100">
        <f t="shared" si="227"/>
        <v>13100</v>
      </c>
      <c r="F1676" s="100">
        <f t="shared" si="227"/>
        <v>10871</v>
      </c>
      <c r="G1676" s="100">
        <f t="shared" si="227"/>
        <v>13045.199999999999</v>
      </c>
      <c r="H1676" s="100">
        <f t="shared" si="227"/>
        <v>14349</v>
      </c>
      <c r="I1676" s="100">
        <f t="shared" si="227"/>
        <v>15784</v>
      </c>
      <c r="J1676" s="100">
        <f t="shared" si="227"/>
        <v>17362</v>
      </c>
      <c r="M1676" s="57"/>
    </row>
    <row r="1677" spans="1:13" x14ac:dyDescent="0.2">
      <c r="B1677" s="58"/>
      <c r="C1677" s="99"/>
      <c r="D1677" s="99"/>
      <c r="E1677" s="99"/>
      <c r="F1677" s="99"/>
      <c r="G1677" s="99"/>
      <c r="H1677" s="99"/>
      <c r="I1677" s="99"/>
      <c r="J1677" s="99"/>
      <c r="M1677" s="57"/>
    </row>
    <row r="1678" spans="1:13" ht="13.5" thickBot="1" x14ac:dyDescent="0.25">
      <c r="B1678" s="65" t="s">
        <v>4043</v>
      </c>
      <c r="C1678" s="66">
        <f t="shared" ref="C1678:J1678" si="228">+C1676</f>
        <v>7725</v>
      </c>
      <c r="D1678" s="66">
        <f t="shared" si="228"/>
        <v>13100</v>
      </c>
      <c r="E1678" s="66">
        <f t="shared" si="228"/>
        <v>13100</v>
      </c>
      <c r="F1678" s="66">
        <f t="shared" si="228"/>
        <v>10871</v>
      </c>
      <c r="G1678" s="66">
        <f t="shared" si="228"/>
        <v>13045.199999999999</v>
      </c>
      <c r="H1678" s="66">
        <f t="shared" si="228"/>
        <v>14349</v>
      </c>
      <c r="I1678" s="66">
        <f t="shared" si="228"/>
        <v>15784</v>
      </c>
      <c r="J1678" s="66">
        <f t="shared" si="228"/>
        <v>17362</v>
      </c>
      <c r="M1678" s="57"/>
    </row>
    <row r="1679" spans="1:13" ht="13.5" thickTop="1" x14ac:dyDescent="0.2">
      <c r="B1679" s="68"/>
      <c r="C1679" s="68"/>
      <c r="D1679" s="68"/>
      <c r="E1679" s="68"/>
      <c r="G1679" s="69"/>
      <c r="H1679" s="69"/>
      <c r="I1679" s="68"/>
      <c r="J1679" s="68"/>
      <c r="M1679" s="57"/>
    </row>
    <row r="1680" spans="1:13" x14ac:dyDescent="0.2">
      <c r="B1680" s="50" t="s">
        <v>4018</v>
      </c>
      <c r="C1680" s="50"/>
      <c r="D1680" s="50"/>
      <c r="E1680" s="50"/>
      <c r="G1680" s="69"/>
      <c r="H1680" s="69"/>
      <c r="I1680" s="50"/>
      <c r="J1680" s="50"/>
      <c r="M1680" s="57"/>
    </row>
    <row r="1681" spans="1:13" x14ac:dyDescent="0.2">
      <c r="B1681" s="50"/>
      <c r="C1681" s="50"/>
      <c r="D1681" s="50"/>
      <c r="E1681" s="50"/>
      <c r="G1681" s="69"/>
      <c r="H1681" s="69"/>
      <c r="I1681" s="50"/>
      <c r="J1681" s="50"/>
      <c r="M1681" s="57"/>
    </row>
    <row r="1682" spans="1:13" x14ac:dyDescent="0.2">
      <c r="B1682" s="58" t="s">
        <v>4019</v>
      </c>
      <c r="C1682" s="69"/>
      <c r="D1682" s="69"/>
      <c r="E1682" s="69"/>
      <c r="G1682" s="69"/>
      <c r="H1682" s="69"/>
      <c r="I1682" s="69"/>
      <c r="J1682" s="69"/>
      <c r="M1682" s="57"/>
    </row>
    <row r="1683" spans="1:13" x14ac:dyDescent="0.2">
      <c r="A1683" s="60">
        <v>1001</v>
      </c>
      <c r="B1683" s="70" t="s">
        <v>472</v>
      </c>
      <c r="C1683" s="69">
        <v>180336</v>
      </c>
      <c r="D1683" s="69">
        <v>149411</v>
      </c>
      <c r="E1683" s="69">
        <v>149411</v>
      </c>
      <c r="F1683" s="69">
        <v>164373</v>
      </c>
      <c r="G1683" s="69">
        <f t="shared" ref="G1683:G1694" si="229">F1683/$F$11*$G$11</f>
        <v>197247.59999999998</v>
      </c>
      <c r="H1683" s="69">
        <f>[3]Salary_Bdgt!$H$233</f>
        <v>322002</v>
      </c>
      <c r="I1683" s="69">
        <f t="shared" ref="I1683:J1694" si="230">ROUND(H1683*1.08,0)</f>
        <v>347762</v>
      </c>
      <c r="J1683" s="69">
        <f t="shared" si="230"/>
        <v>375583</v>
      </c>
      <c r="M1683" s="57"/>
    </row>
    <row r="1684" spans="1:13" x14ac:dyDescent="0.2">
      <c r="A1684" s="60">
        <v>1005</v>
      </c>
      <c r="B1684" s="70" t="s">
        <v>473</v>
      </c>
      <c r="C1684" s="69">
        <v>10402</v>
      </c>
      <c r="D1684" s="69">
        <v>2891</v>
      </c>
      <c r="E1684" s="69">
        <f>+D1684</f>
        <v>2891</v>
      </c>
      <c r="F1684" s="69">
        <v>10057</v>
      </c>
      <c r="G1684" s="69">
        <f t="shared" si="229"/>
        <v>12068.400000000001</v>
      </c>
      <c r="H1684" s="69">
        <f>+[3]Salary_Bdgt!$L$233</f>
        <v>13493</v>
      </c>
      <c r="I1684" s="69">
        <f t="shared" si="230"/>
        <v>14572</v>
      </c>
      <c r="J1684" s="69">
        <f t="shared" si="230"/>
        <v>15738</v>
      </c>
      <c r="M1684" s="57"/>
    </row>
    <row r="1685" spans="1:13" x14ac:dyDescent="0.2">
      <c r="A1685" s="60">
        <v>1006</v>
      </c>
      <c r="B1685" s="70" t="s">
        <v>474</v>
      </c>
      <c r="C1685" s="69">
        <v>33399</v>
      </c>
      <c r="D1685" s="69">
        <v>9000</v>
      </c>
      <c r="E1685" s="69">
        <f>+D1685</f>
        <v>9000</v>
      </c>
      <c r="F1685" s="69">
        <v>29420</v>
      </c>
      <c r="G1685" s="69">
        <f t="shared" si="229"/>
        <v>35304</v>
      </c>
      <c r="H1685" s="69">
        <f>+[3]Salary_Bdgt!$N$233</f>
        <v>63606</v>
      </c>
      <c r="I1685" s="69">
        <f t="shared" si="230"/>
        <v>68694</v>
      </c>
      <c r="J1685" s="69">
        <f t="shared" si="230"/>
        <v>74190</v>
      </c>
      <c r="M1685" s="57"/>
    </row>
    <row r="1686" spans="1:13" x14ac:dyDescent="0.2">
      <c r="A1686" s="60">
        <v>1007</v>
      </c>
      <c r="B1686" s="70" t="s">
        <v>481</v>
      </c>
      <c r="C1686" s="69">
        <v>1956</v>
      </c>
      <c r="D1686" s="69">
        <v>2988</v>
      </c>
      <c r="E1686" s="69">
        <f>+D1686</f>
        <v>2988</v>
      </c>
      <c r="F1686" s="69">
        <v>1837</v>
      </c>
      <c r="G1686" s="69">
        <f t="shared" si="229"/>
        <v>2204.3999999999996</v>
      </c>
      <c r="H1686" s="69">
        <f>+[3]Salary_Bdgt!$I$233</f>
        <v>6513</v>
      </c>
      <c r="I1686" s="69">
        <f t="shared" si="230"/>
        <v>7034</v>
      </c>
      <c r="J1686" s="69">
        <f t="shared" si="230"/>
        <v>7597</v>
      </c>
      <c r="M1686" s="57"/>
    </row>
    <row r="1687" spans="1:13" x14ac:dyDescent="0.2">
      <c r="A1687" s="60">
        <v>1009</v>
      </c>
      <c r="B1687" s="70" t="s">
        <v>482</v>
      </c>
      <c r="C1687" s="69">
        <v>169</v>
      </c>
      <c r="D1687" s="69">
        <v>115</v>
      </c>
      <c r="E1687" s="69">
        <f>+D1687</f>
        <v>115</v>
      </c>
      <c r="F1687" s="69">
        <v>146</v>
      </c>
      <c r="G1687" s="69">
        <f t="shared" si="229"/>
        <v>175.2</v>
      </c>
      <c r="H1687" s="69">
        <f>+[3]Salary_Bdgt!$M$233</f>
        <v>270</v>
      </c>
      <c r="I1687" s="69">
        <f t="shared" si="230"/>
        <v>292</v>
      </c>
      <c r="J1687" s="69">
        <f t="shared" si="230"/>
        <v>315</v>
      </c>
      <c r="M1687" s="57"/>
    </row>
    <row r="1688" spans="1:13" x14ac:dyDescent="0.2">
      <c r="A1688" s="60">
        <v>1010</v>
      </c>
      <c r="B1688" s="70" t="s">
        <v>28</v>
      </c>
      <c r="C1688" s="69">
        <v>14843</v>
      </c>
      <c r="D1688" s="69">
        <v>12451</v>
      </c>
      <c r="E1688" s="69">
        <f>+D1688</f>
        <v>12451</v>
      </c>
      <c r="F1688" s="69">
        <v>17685</v>
      </c>
      <c r="G1688" s="69">
        <f t="shared" si="229"/>
        <v>21222</v>
      </c>
      <c r="H1688" s="69">
        <f>+[3]Salary_Bdgt!$Q$233</f>
        <v>26834</v>
      </c>
      <c r="I1688" s="69">
        <f t="shared" si="230"/>
        <v>28981</v>
      </c>
      <c r="J1688" s="69">
        <f t="shared" si="230"/>
        <v>31299</v>
      </c>
      <c r="M1688" s="57"/>
    </row>
    <row r="1689" spans="1:13" x14ac:dyDescent="0.2">
      <c r="A1689" s="60">
        <v>1011</v>
      </c>
      <c r="B1689" s="70" t="s">
        <v>4045</v>
      </c>
      <c r="C1689" s="69">
        <v>0</v>
      </c>
      <c r="D1689" s="69">
        <v>0</v>
      </c>
      <c r="E1689" s="69">
        <v>0</v>
      </c>
      <c r="F1689" s="69">
        <v>0</v>
      </c>
      <c r="G1689" s="69">
        <f t="shared" si="229"/>
        <v>0</v>
      </c>
      <c r="H1689" s="69">
        <f>+[3]Salary_Bdgt!$U$233</f>
        <v>0</v>
      </c>
      <c r="I1689" s="69">
        <f t="shared" si="230"/>
        <v>0</v>
      </c>
      <c r="J1689" s="69">
        <f t="shared" si="230"/>
        <v>0</v>
      </c>
      <c r="M1689" s="57"/>
    </row>
    <row r="1690" spans="1:13" x14ac:dyDescent="0.2">
      <c r="A1690" s="60">
        <v>1015</v>
      </c>
      <c r="B1690" s="70" t="s">
        <v>445</v>
      </c>
      <c r="C1690" s="69">
        <v>454</v>
      </c>
      <c r="D1690" s="69">
        <v>0</v>
      </c>
      <c r="E1690" s="69">
        <f>+D1690</f>
        <v>0</v>
      </c>
      <c r="F1690" s="69"/>
      <c r="G1690" s="69">
        <f t="shared" si="229"/>
        <v>0</v>
      </c>
      <c r="H1690" s="69">
        <f>+[3]Salary_Bdgt!$O$233+[3]Salary_Bdgt!$P$233+[3]Salary_Bdgt!$W$233</f>
        <v>0</v>
      </c>
      <c r="I1690" s="69">
        <f t="shared" si="230"/>
        <v>0</v>
      </c>
      <c r="J1690" s="69">
        <f t="shared" si="230"/>
        <v>0</v>
      </c>
      <c r="M1690" s="57"/>
    </row>
    <row r="1691" spans="1:13" x14ac:dyDescent="0.2">
      <c r="A1691" s="60">
        <v>1016</v>
      </c>
      <c r="B1691" s="70" t="s">
        <v>475</v>
      </c>
      <c r="C1691" s="69">
        <v>0</v>
      </c>
      <c r="D1691" s="69">
        <v>0</v>
      </c>
      <c r="E1691" s="69">
        <v>0</v>
      </c>
      <c r="F1691" s="69">
        <v>1415</v>
      </c>
      <c r="G1691" s="69">
        <f t="shared" si="229"/>
        <v>1698</v>
      </c>
      <c r="H1691" s="69">
        <f>+[3]Salary_Bdgt!$T$233+[3]Salary_Bdgt!$V$233</f>
        <v>7278</v>
      </c>
      <c r="I1691" s="69">
        <f t="shared" si="230"/>
        <v>7860</v>
      </c>
      <c r="J1691" s="69">
        <f t="shared" si="230"/>
        <v>8489</v>
      </c>
      <c r="M1691" s="57"/>
    </row>
    <row r="1692" spans="1:13" x14ac:dyDescent="0.2">
      <c r="A1692" s="60">
        <v>1046</v>
      </c>
      <c r="B1692" s="70" t="s">
        <v>491</v>
      </c>
      <c r="C1692" s="69">
        <v>0</v>
      </c>
      <c r="D1692" s="69">
        <v>0</v>
      </c>
      <c r="E1692" s="69">
        <v>0</v>
      </c>
      <c r="F1692" s="69">
        <v>0</v>
      </c>
      <c r="G1692" s="69">
        <f t="shared" si="229"/>
        <v>0</v>
      </c>
      <c r="H1692" s="69">
        <f>+[3]Salary_Bdgt!$R$233</f>
        <v>0</v>
      </c>
      <c r="I1692" s="69">
        <f t="shared" si="230"/>
        <v>0</v>
      </c>
      <c r="J1692" s="69">
        <f t="shared" si="230"/>
        <v>0</v>
      </c>
      <c r="M1692" s="57"/>
    </row>
    <row r="1693" spans="1:13" x14ac:dyDescent="0.2">
      <c r="A1693" s="75">
        <v>1017</v>
      </c>
      <c r="B1693" s="70" t="s">
        <v>4044</v>
      </c>
      <c r="C1693" s="69">
        <v>196</v>
      </c>
      <c r="D1693" s="69">
        <v>2988</v>
      </c>
      <c r="E1693" s="69">
        <f>+D1693</f>
        <v>2988</v>
      </c>
      <c r="F1693" s="69">
        <v>869</v>
      </c>
      <c r="G1693" s="69">
        <f t="shared" si="229"/>
        <v>1042.8000000000002</v>
      </c>
      <c r="H1693" s="69">
        <f>+[3]Salary_Bdgt!$J$233</f>
        <v>6513</v>
      </c>
      <c r="I1693" s="69">
        <f t="shared" si="230"/>
        <v>7034</v>
      </c>
      <c r="J1693" s="69">
        <f t="shared" si="230"/>
        <v>7597</v>
      </c>
      <c r="M1693" s="57"/>
    </row>
    <row r="1694" spans="1:13" x14ac:dyDescent="0.2">
      <c r="A1694" s="75">
        <v>1182</v>
      </c>
      <c r="B1694" s="71" t="s">
        <v>1065</v>
      </c>
      <c r="C1694" s="56">
        <v>1548</v>
      </c>
      <c r="D1694" s="56">
        <v>2779</v>
      </c>
      <c r="E1694" s="56">
        <f>+D1694</f>
        <v>2779</v>
      </c>
      <c r="F1694" s="56">
        <v>0</v>
      </c>
      <c r="G1694" s="56">
        <f t="shared" si="229"/>
        <v>0</v>
      </c>
      <c r="H1694" s="56">
        <f>+[3]Salary_Bdgt!$K$233</f>
        <v>6057</v>
      </c>
      <c r="I1694" s="56">
        <f t="shared" si="230"/>
        <v>6542</v>
      </c>
      <c r="J1694" s="56">
        <f t="shared" si="230"/>
        <v>7065</v>
      </c>
      <c r="M1694" s="57"/>
    </row>
    <row r="1695" spans="1:13" x14ac:dyDescent="0.2">
      <c r="B1695" s="58" t="s">
        <v>416</v>
      </c>
      <c r="C1695" s="72">
        <f t="shared" ref="C1695:J1695" si="231">SUM(C1683:C1694)</f>
        <v>243303</v>
      </c>
      <c r="D1695" s="72">
        <f t="shared" si="231"/>
        <v>182623</v>
      </c>
      <c r="E1695" s="72">
        <f t="shared" si="231"/>
        <v>182623</v>
      </c>
      <c r="F1695" s="72">
        <f t="shared" si="231"/>
        <v>225802</v>
      </c>
      <c r="G1695" s="72">
        <f>SUM(G1683:G1694)</f>
        <v>270962.39999999997</v>
      </c>
      <c r="H1695" s="72">
        <f t="shared" si="231"/>
        <v>452566</v>
      </c>
      <c r="I1695" s="72">
        <f t="shared" si="231"/>
        <v>488771</v>
      </c>
      <c r="J1695" s="72">
        <f t="shared" si="231"/>
        <v>527873</v>
      </c>
      <c r="M1695" s="57"/>
    </row>
    <row r="1696" spans="1:13" x14ac:dyDescent="0.2">
      <c r="B1696" s="58"/>
      <c r="C1696" s="72"/>
      <c r="D1696" s="72"/>
      <c r="E1696" s="72"/>
      <c r="G1696" s="69"/>
      <c r="H1696" s="69"/>
      <c r="I1696" s="72"/>
      <c r="J1696" s="72"/>
      <c r="M1696" s="57"/>
    </row>
    <row r="1697" spans="1:13" x14ac:dyDescent="0.2">
      <c r="B1697" s="58" t="s">
        <v>4021</v>
      </c>
      <c r="C1697" s="69"/>
      <c r="D1697" s="69"/>
      <c r="E1697" s="69"/>
      <c r="G1697" s="69"/>
      <c r="H1697" s="69"/>
      <c r="I1697" s="69"/>
      <c r="J1697" s="69"/>
      <c r="M1697" s="57"/>
    </row>
    <row r="1698" spans="1:13" x14ac:dyDescent="0.2">
      <c r="A1698" s="60">
        <v>3205</v>
      </c>
      <c r="B1698" s="70" t="s">
        <v>446</v>
      </c>
      <c r="C1698" s="69">
        <v>6573</v>
      </c>
      <c r="D1698" s="69">
        <v>500000</v>
      </c>
      <c r="E1698" s="69">
        <v>500000</v>
      </c>
      <c r="F1698" s="69">
        <v>32657</v>
      </c>
      <c r="G1698" s="69">
        <f>F1698/$F$11*$G$11</f>
        <v>39188.399999999994</v>
      </c>
      <c r="H1698" s="69">
        <f>ROUND(E1698*1.05,0)</f>
        <v>525000</v>
      </c>
      <c r="I1698" s="69">
        <f t="shared" ref="I1698:J1700" si="232">ROUND(H1698*1.06,0)</f>
        <v>556500</v>
      </c>
      <c r="J1698" s="69">
        <f t="shared" si="232"/>
        <v>589890</v>
      </c>
      <c r="M1698" s="57"/>
    </row>
    <row r="1699" spans="1:13" x14ac:dyDescent="0.2">
      <c r="A1699" s="75">
        <v>3206</v>
      </c>
      <c r="B1699" s="70" t="s">
        <v>39</v>
      </c>
      <c r="C1699" s="69">
        <v>3558</v>
      </c>
      <c r="D1699" s="69">
        <v>5250</v>
      </c>
      <c r="E1699" s="69">
        <v>5250</v>
      </c>
      <c r="F1699" s="69">
        <v>697</v>
      </c>
      <c r="G1699" s="69">
        <f>F1699/$F$11*$G$11</f>
        <v>836.40000000000009</v>
      </c>
      <c r="H1699" s="69">
        <f>ROUND(E1699*1.05,0)</f>
        <v>5513</v>
      </c>
      <c r="I1699" s="69">
        <f t="shared" si="232"/>
        <v>5844</v>
      </c>
      <c r="J1699" s="69">
        <f t="shared" si="232"/>
        <v>6195</v>
      </c>
      <c r="M1699" s="57"/>
    </row>
    <row r="1700" spans="1:13" x14ac:dyDescent="0.2">
      <c r="A1700" s="75">
        <v>3354</v>
      </c>
      <c r="B1700" s="71" t="s">
        <v>240</v>
      </c>
      <c r="C1700" s="56">
        <v>4334</v>
      </c>
      <c r="D1700" s="56">
        <v>5250</v>
      </c>
      <c r="E1700" s="56">
        <v>5250</v>
      </c>
      <c r="F1700" s="56">
        <v>597</v>
      </c>
      <c r="G1700" s="56">
        <f>F1700/$F$11*$G$11</f>
        <v>716.40000000000009</v>
      </c>
      <c r="H1700" s="56">
        <f>ROUND(E1700*1.05,0)</f>
        <v>5513</v>
      </c>
      <c r="I1700" s="56">
        <f t="shared" si="232"/>
        <v>5844</v>
      </c>
      <c r="J1700" s="56">
        <f t="shared" si="232"/>
        <v>6195</v>
      </c>
      <c r="M1700" s="57"/>
    </row>
    <row r="1701" spans="1:13" x14ac:dyDescent="0.2">
      <c r="B1701" s="58" t="s">
        <v>417</v>
      </c>
      <c r="C1701" s="72">
        <f>SUM(C1698:C1700)</f>
        <v>14465</v>
      </c>
      <c r="D1701" s="72">
        <f t="shared" ref="D1701:J1701" si="233">SUM(D1698:D1700)</f>
        <v>510500</v>
      </c>
      <c r="E1701" s="72">
        <f t="shared" si="233"/>
        <v>510500</v>
      </c>
      <c r="F1701" s="72">
        <f t="shared" si="233"/>
        <v>33951</v>
      </c>
      <c r="G1701" s="72">
        <f t="shared" si="233"/>
        <v>40741.199999999997</v>
      </c>
      <c r="H1701" s="72">
        <f t="shared" si="233"/>
        <v>536026</v>
      </c>
      <c r="I1701" s="72">
        <f t="shared" si="233"/>
        <v>568188</v>
      </c>
      <c r="J1701" s="72">
        <f t="shared" si="233"/>
        <v>602280</v>
      </c>
      <c r="M1701" s="57"/>
    </row>
    <row r="1702" spans="1:13" x14ac:dyDescent="0.2">
      <c r="B1702" s="58"/>
      <c r="C1702" s="69"/>
      <c r="D1702" s="69"/>
      <c r="E1702" s="69"/>
      <c r="G1702" s="69"/>
      <c r="H1702" s="69"/>
      <c r="I1702" s="69"/>
      <c r="J1702" s="69"/>
      <c r="M1702" s="57"/>
    </row>
    <row r="1703" spans="1:13" x14ac:dyDescent="0.2">
      <c r="B1703" s="58" t="s">
        <v>435</v>
      </c>
      <c r="C1703" s="69"/>
      <c r="D1703" s="69"/>
      <c r="E1703" s="69"/>
      <c r="G1703" s="69"/>
      <c r="H1703" s="69"/>
      <c r="I1703" s="69"/>
      <c r="J1703" s="69"/>
      <c r="M1703" s="57"/>
    </row>
    <row r="1704" spans="1:13" x14ac:dyDescent="0.2">
      <c r="A1704" s="75">
        <v>2116</v>
      </c>
      <c r="B1704" s="70" t="s">
        <v>30</v>
      </c>
      <c r="C1704" s="69">
        <v>9304</v>
      </c>
      <c r="D1704" s="69">
        <v>6417</v>
      </c>
      <c r="E1704" s="69">
        <f>6417+1035</f>
        <v>7452</v>
      </c>
      <c r="F1704" s="69">
        <v>9094</v>
      </c>
      <c r="G1704" s="69">
        <f t="shared" ref="G1704:G1709" si="234">F1704/$F$11*$G$11</f>
        <v>10912.8</v>
      </c>
      <c r="H1704" s="69">
        <f>ROUND(E1704*1.289,0)</f>
        <v>9606</v>
      </c>
      <c r="I1704" s="69">
        <f>ROUND(H1704*1.258,0)</f>
        <v>12084</v>
      </c>
      <c r="J1704" s="69">
        <f>ROUND(I1704*1.259,0)</f>
        <v>15214</v>
      </c>
      <c r="M1704" s="57"/>
    </row>
    <row r="1705" spans="1:13" x14ac:dyDescent="0.2">
      <c r="A1705" s="75"/>
      <c r="B1705" s="70" t="s">
        <v>241</v>
      </c>
      <c r="C1705" s="69">
        <v>2604</v>
      </c>
      <c r="D1705" s="69">
        <v>9450</v>
      </c>
      <c r="E1705" s="69">
        <v>9450</v>
      </c>
      <c r="F1705" s="69">
        <v>0</v>
      </c>
      <c r="G1705" s="69">
        <f t="shared" si="234"/>
        <v>0</v>
      </c>
      <c r="H1705" s="69">
        <f>ROUND(E1705*1.05,0)</f>
        <v>9923</v>
      </c>
      <c r="I1705" s="69">
        <f t="shared" ref="I1705:J1709" si="235">ROUND(H1705*1.06,0)</f>
        <v>10518</v>
      </c>
      <c r="J1705" s="69">
        <f t="shared" si="235"/>
        <v>11149</v>
      </c>
      <c r="M1705" s="57"/>
    </row>
    <row r="1706" spans="1:13" x14ac:dyDescent="0.2">
      <c r="A1706" s="75">
        <v>2227</v>
      </c>
      <c r="B1706" s="70" t="s">
        <v>448</v>
      </c>
      <c r="C1706" s="69">
        <v>482</v>
      </c>
      <c r="D1706" s="69">
        <v>1050</v>
      </c>
      <c r="E1706" s="69">
        <v>1050</v>
      </c>
      <c r="F1706" s="69">
        <v>1383</v>
      </c>
      <c r="G1706" s="69">
        <f t="shared" si="234"/>
        <v>1659.6000000000001</v>
      </c>
      <c r="H1706" s="69">
        <f>ROUND(E1706*1.05,0)</f>
        <v>1103</v>
      </c>
      <c r="I1706" s="69">
        <f t="shared" si="235"/>
        <v>1169</v>
      </c>
      <c r="J1706" s="69">
        <f t="shared" si="235"/>
        <v>1239</v>
      </c>
      <c r="M1706" s="57"/>
    </row>
    <row r="1707" spans="1:13" x14ac:dyDescent="0.2">
      <c r="A1707" s="75">
        <v>2244</v>
      </c>
      <c r="B1707" s="70" t="s">
        <v>4109</v>
      </c>
      <c r="C1707" s="69">
        <v>68464</v>
      </c>
      <c r="D1707" s="69">
        <v>70000</v>
      </c>
      <c r="E1707" s="69">
        <v>70000</v>
      </c>
      <c r="F1707" s="69">
        <v>131602</v>
      </c>
      <c r="G1707" s="69">
        <f t="shared" si="234"/>
        <v>157922.40000000002</v>
      </c>
      <c r="H1707" s="69">
        <f>ROUND(E1707*1.05,0)</f>
        <v>73500</v>
      </c>
      <c r="I1707" s="69">
        <f t="shared" si="235"/>
        <v>77910</v>
      </c>
      <c r="J1707" s="69">
        <f t="shared" si="235"/>
        <v>82585</v>
      </c>
      <c r="M1707" s="57"/>
    </row>
    <row r="1708" spans="1:13" s="9" customFormat="1" x14ac:dyDescent="0.2">
      <c r="A1708" s="75">
        <v>2249</v>
      </c>
      <c r="B1708" s="70" t="s">
        <v>2955</v>
      </c>
      <c r="C1708" s="69">
        <v>16293</v>
      </c>
      <c r="D1708" s="69">
        <v>50000</v>
      </c>
      <c r="E1708" s="69">
        <v>50000</v>
      </c>
      <c r="F1708" s="69">
        <v>39044</v>
      </c>
      <c r="G1708" s="69">
        <f t="shared" si="234"/>
        <v>46852.800000000003</v>
      </c>
      <c r="H1708" s="69">
        <f>ROUND(E1708*1.05,0)</f>
        <v>52500</v>
      </c>
      <c r="I1708" s="69">
        <f t="shared" si="235"/>
        <v>55650</v>
      </c>
      <c r="J1708" s="69">
        <f t="shared" si="235"/>
        <v>58989</v>
      </c>
      <c r="M1708" s="57"/>
    </row>
    <row r="1709" spans="1:13" s="9" customFormat="1" x14ac:dyDescent="0.2">
      <c r="A1709" s="75">
        <v>2305</v>
      </c>
      <c r="B1709" s="71" t="s">
        <v>31</v>
      </c>
      <c r="C1709" s="56">
        <v>5195</v>
      </c>
      <c r="D1709" s="56">
        <v>5250</v>
      </c>
      <c r="E1709" s="56">
        <f>5250-1035</f>
        <v>4215</v>
      </c>
      <c r="F1709" s="56">
        <v>2845</v>
      </c>
      <c r="G1709" s="56">
        <f t="shared" si="234"/>
        <v>3414</v>
      </c>
      <c r="H1709" s="56">
        <f>ROUND(E1709*1.05,0)</f>
        <v>4426</v>
      </c>
      <c r="I1709" s="56">
        <f t="shared" si="235"/>
        <v>4692</v>
      </c>
      <c r="J1709" s="56">
        <f t="shared" si="235"/>
        <v>4974</v>
      </c>
      <c r="M1709" s="57"/>
    </row>
    <row r="1710" spans="1:13" s="9" customFormat="1" x14ac:dyDescent="0.2">
      <c r="A1710" s="37"/>
      <c r="B1710" s="58" t="s">
        <v>436</v>
      </c>
      <c r="C1710" s="72">
        <f t="shared" ref="C1710:J1710" si="236">SUM(C1704:C1709)</f>
        <v>102342</v>
      </c>
      <c r="D1710" s="72">
        <f t="shared" si="236"/>
        <v>142167</v>
      </c>
      <c r="E1710" s="72">
        <f t="shared" si="236"/>
        <v>142167</v>
      </c>
      <c r="F1710" s="72">
        <f t="shared" si="236"/>
        <v>183968</v>
      </c>
      <c r="G1710" s="72">
        <f t="shared" si="236"/>
        <v>220761.60000000003</v>
      </c>
      <c r="H1710" s="72">
        <f t="shared" si="236"/>
        <v>151058</v>
      </c>
      <c r="I1710" s="72">
        <f t="shared" si="236"/>
        <v>162023</v>
      </c>
      <c r="J1710" s="72">
        <f t="shared" si="236"/>
        <v>174150</v>
      </c>
      <c r="M1710" s="57"/>
    </row>
    <row r="1711" spans="1:13" x14ac:dyDescent="0.2">
      <c r="B1711" s="61"/>
      <c r="C1711" s="97"/>
      <c r="D1711" s="97"/>
      <c r="E1711" s="97"/>
      <c r="F1711" s="97"/>
      <c r="G1711" s="97"/>
      <c r="H1711" s="97"/>
      <c r="I1711" s="97"/>
      <c r="J1711" s="97"/>
      <c r="M1711" s="57"/>
    </row>
    <row r="1712" spans="1:13" x14ac:dyDescent="0.2">
      <c r="B1712" s="58" t="s">
        <v>4055</v>
      </c>
      <c r="C1712" s="73">
        <f t="shared" ref="C1712:J1712" si="237">C1695+C1701+C1710</f>
        <v>360110</v>
      </c>
      <c r="D1712" s="73">
        <f t="shared" si="237"/>
        <v>835290</v>
      </c>
      <c r="E1712" s="73">
        <f t="shared" si="237"/>
        <v>835290</v>
      </c>
      <c r="F1712" s="73">
        <f t="shared" si="237"/>
        <v>443721</v>
      </c>
      <c r="G1712" s="73">
        <f t="shared" si="237"/>
        <v>532465.19999999995</v>
      </c>
      <c r="H1712" s="73">
        <f t="shared" si="237"/>
        <v>1139650</v>
      </c>
      <c r="I1712" s="73">
        <f t="shared" si="237"/>
        <v>1218982</v>
      </c>
      <c r="J1712" s="73">
        <f t="shared" si="237"/>
        <v>1304303</v>
      </c>
      <c r="M1712" s="57"/>
    </row>
    <row r="1713" spans="1:13" x14ac:dyDescent="0.2">
      <c r="B1713" s="58"/>
      <c r="C1713" s="73"/>
      <c r="D1713" s="73"/>
      <c r="E1713" s="73"/>
      <c r="G1713" s="69"/>
      <c r="H1713" s="69"/>
      <c r="I1713" s="73"/>
      <c r="J1713" s="73"/>
      <c r="M1713" s="57"/>
    </row>
    <row r="1714" spans="1:13" x14ac:dyDescent="0.2">
      <c r="B1714" s="58" t="s">
        <v>418</v>
      </c>
      <c r="C1714" s="96"/>
      <c r="D1714" s="96"/>
      <c r="E1714" s="96"/>
      <c r="G1714" s="69"/>
      <c r="H1714" s="69"/>
      <c r="I1714" s="96"/>
      <c r="J1714" s="96"/>
      <c r="M1714" s="57"/>
    </row>
    <row r="1715" spans="1:13" x14ac:dyDescent="0.2">
      <c r="A1715" s="101">
        <v>4204</v>
      </c>
      <c r="B1715" s="70" t="s">
        <v>4058</v>
      </c>
      <c r="C1715" s="96">
        <v>6729</v>
      </c>
      <c r="D1715" s="69">
        <v>6905</v>
      </c>
      <c r="E1715" s="69">
        <v>6905</v>
      </c>
      <c r="F1715" s="69">
        <v>0</v>
      </c>
      <c r="G1715" s="69">
        <f>F1715/$F$11*$G$11</f>
        <v>0</v>
      </c>
      <c r="H1715" s="69">
        <f>ROUND(E1715*1.08,0)</f>
        <v>7457</v>
      </c>
      <c r="I1715" s="69">
        <f>ROUND(H1715*1.08,0)</f>
        <v>8054</v>
      </c>
      <c r="J1715" s="69">
        <f>ROUND(I1715*1.05,0)</f>
        <v>8457</v>
      </c>
      <c r="M1715" s="57"/>
    </row>
    <row r="1716" spans="1:13" x14ac:dyDescent="0.2">
      <c r="A1716" s="101">
        <v>4209</v>
      </c>
      <c r="B1716" s="70" t="s">
        <v>237</v>
      </c>
      <c r="C1716" s="96">
        <v>80</v>
      </c>
      <c r="D1716" s="69">
        <v>0</v>
      </c>
      <c r="E1716" s="69">
        <v>0</v>
      </c>
      <c r="F1716" s="69">
        <v>0</v>
      </c>
      <c r="G1716" s="69">
        <f>F1716/$F$11*$G$11</f>
        <v>0</v>
      </c>
      <c r="H1716" s="69">
        <f>ROUND(E1716*1.08,0)</f>
        <v>0</v>
      </c>
      <c r="I1716" s="69">
        <f>ROUND(H1716*1.08,0)</f>
        <v>0</v>
      </c>
      <c r="J1716" s="69">
        <f>ROUND(I1716*1.05,0)</f>
        <v>0</v>
      </c>
      <c r="M1716" s="57"/>
    </row>
    <row r="1717" spans="1:13" x14ac:dyDescent="0.2">
      <c r="A1717" s="101">
        <v>4207</v>
      </c>
      <c r="B1717" s="71" t="s">
        <v>222</v>
      </c>
      <c r="C1717" s="105">
        <v>10677</v>
      </c>
      <c r="D1717" s="56">
        <v>5823</v>
      </c>
      <c r="E1717" s="56">
        <v>5823</v>
      </c>
      <c r="F1717" s="56">
        <v>0</v>
      </c>
      <c r="G1717" s="56">
        <f>F1717/$F$11*$G$11</f>
        <v>0</v>
      </c>
      <c r="H1717" s="56">
        <f>ROUND(E1717*1.08,0)</f>
        <v>6289</v>
      </c>
      <c r="I1717" s="56">
        <f>ROUND(H1717*1.08,0)</f>
        <v>6792</v>
      </c>
      <c r="J1717" s="56">
        <f>ROUND(I1717*1.05,0)</f>
        <v>7132</v>
      </c>
      <c r="M1717" s="57"/>
    </row>
    <row r="1718" spans="1:13" x14ac:dyDescent="0.2">
      <c r="B1718" s="58" t="s">
        <v>419</v>
      </c>
      <c r="C1718" s="72">
        <f t="shared" ref="C1718:J1718" si="238">SUM(C1715:C1717)</f>
        <v>17486</v>
      </c>
      <c r="D1718" s="72">
        <f t="shared" si="238"/>
        <v>12728</v>
      </c>
      <c r="E1718" s="72">
        <f t="shared" si="238"/>
        <v>12728</v>
      </c>
      <c r="F1718" s="72">
        <f t="shared" si="238"/>
        <v>0</v>
      </c>
      <c r="G1718" s="72">
        <f t="shared" si="238"/>
        <v>0</v>
      </c>
      <c r="H1718" s="72">
        <f t="shared" si="238"/>
        <v>13746</v>
      </c>
      <c r="I1718" s="72">
        <f t="shared" si="238"/>
        <v>14846</v>
      </c>
      <c r="J1718" s="72">
        <f t="shared" si="238"/>
        <v>15589</v>
      </c>
      <c r="M1718" s="57"/>
    </row>
    <row r="1719" spans="1:13" x14ac:dyDescent="0.2">
      <c r="B1719" s="61"/>
      <c r="C1719" s="120"/>
      <c r="D1719" s="120"/>
      <c r="E1719" s="120"/>
      <c r="F1719" s="120"/>
      <c r="G1719" s="120"/>
      <c r="H1719" s="120"/>
      <c r="I1719" s="120"/>
      <c r="J1719" s="120"/>
      <c r="M1719" s="57"/>
    </row>
    <row r="1720" spans="1:13" x14ac:dyDescent="0.2">
      <c r="B1720" s="58" t="s">
        <v>4029</v>
      </c>
      <c r="C1720" s="73">
        <f t="shared" ref="C1720:J1720" si="239">+C1712+C1718</f>
        <v>377596</v>
      </c>
      <c r="D1720" s="73">
        <f t="shared" si="239"/>
        <v>848018</v>
      </c>
      <c r="E1720" s="73">
        <f t="shared" si="239"/>
        <v>848018</v>
      </c>
      <c r="F1720" s="73">
        <f t="shared" si="239"/>
        <v>443721</v>
      </c>
      <c r="G1720" s="73">
        <f t="shared" si="239"/>
        <v>532465.19999999995</v>
      </c>
      <c r="H1720" s="73">
        <f t="shared" si="239"/>
        <v>1153396</v>
      </c>
      <c r="I1720" s="73">
        <f t="shared" si="239"/>
        <v>1233828</v>
      </c>
      <c r="J1720" s="73">
        <f t="shared" si="239"/>
        <v>1319892</v>
      </c>
      <c r="M1720" s="57"/>
    </row>
    <row r="1721" spans="1:13" x14ac:dyDescent="0.2">
      <c r="B1721" s="58"/>
      <c r="C1721" s="73"/>
      <c r="D1721" s="73"/>
      <c r="E1721" s="73"/>
      <c r="F1721" s="73"/>
      <c r="G1721" s="73"/>
      <c r="H1721" s="73"/>
      <c r="I1721" s="73"/>
      <c r="J1721" s="73"/>
      <c r="M1721" s="57"/>
    </row>
    <row r="1722" spans="1:13" ht="13.5" thickBot="1" x14ac:dyDescent="0.25">
      <c r="B1722" s="65" t="s">
        <v>4033</v>
      </c>
      <c r="C1722" s="76">
        <f t="shared" ref="C1722:J1722" si="240">+C1720</f>
        <v>377596</v>
      </c>
      <c r="D1722" s="76">
        <f t="shared" si="240"/>
        <v>848018</v>
      </c>
      <c r="E1722" s="76">
        <f t="shared" si="240"/>
        <v>848018</v>
      </c>
      <c r="F1722" s="76">
        <f t="shared" si="240"/>
        <v>443721</v>
      </c>
      <c r="G1722" s="76">
        <f t="shared" si="240"/>
        <v>532465.19999999995</v>
      </c>
      <c r="H1722" s="76">
        <f t="shared" si="240"/>
        <v>1153396</v>
      </c>
      <c r="I1722" s="76">
        <f t="shared" si="240"/>
        <v>1233828</v>
      </c>
      <c r="J1722" s="76">
        <f t="shared" si="240"/>
        <v>1319892</v>
      </c>
      <c r="M1722" s="57"/>
    </row>
    <row r="1723" spans="1:13" ht="13.5" thickTop="1" x14ac:dyDescent="0.2">
      <c r="B1723" s="58"/>
      <c r="C1723" s="72"/>
      <c r="D1723" s="72"/>
      <c r="E1723" s="72"/>
      <c r="F1723" s="72"/>
      <c r="G1723" s="72"/>
      <c r="H1723" s="72"/>
      <c r="I1723" s="72"/>
      <c r="J1723" s="72"/>
      <c r="M1723" s="57"/>
    </row>
    <row r="1724" spans="1:13" ht="13.5" thickBot="1" x14ac:dyDescent="0.25">
      <c r="B1724" s="65" t="s">
        <v>4059</v>
      </c>
      <c r="C1724" s="77">
        <f t="shared" ref="C1724:J1724" si="241">C1678-C1722</f>
        <v>-369871</v>
      </c>
      <c r="D1724" s="77">
        <f t="shared" si="241"/>
        <v>-834918</v>
      </c>
      <c r="E1724" s="77">
        <f t="shared" si="241"/>
        <v>-834918</v>
      </c>
      <c r="F1724" s="77">
        <f t="shared" si="241"/>
        <v>-432850</v>
      </c>
      <c r="G1724" s="77">
        <f t="shared" si="241"/>
        <v>-519419.99999999994</v>
      </c>
      <c r="H1724" s="77">
        <f t="shared" si="241"/>
        <v>-1139047</v>
      </c>
      <c r="I1724" s="77">
        <f t="shared" si="241"/>
        <v>-1218044</v>
      </c>
      <c r="J1724" s="77">
        <f t="shared" si="241"/>
        <v>-1302530</v>
      </c>
      <c r="M1724" s="57"/>
    </row>
    <row r="1725" spans="1:13" ht="13.5" thickTop="1" x14ac:dyDescent="0.2">
      <c r="B1725" s="58"/>
      <c r="C1725" s="78"/>
      <c r="D1725" s="78"/>
      <c r="E1725" s="78"/>
      <c r="G1725" s="69"/>
      <c r="H1725" s="69"/>
      <c r="I1725" s="78"/>
      <c r="J1725" s="78"/>
      <c r="M1725" s="57"/>
    </row>
    <row r="1726" spans="1:13" x14ac:dyDescent="0.2">
      <c r="G1726" s="69"/>
      <c r="H1726" s="69"/>
      <c r="M1726" s="57"/>
    </row>
    <row r="1727" spans="1:13" x14ac:dyDescent="0.2">
      <c r="G1727" s="69"/>
      <c r="H1727" s="69"/>
      <c r="M1727" s="57"/>
    </row>
    <row r="1728" spans="1:13" x14ac:dyDescent="0.2">
      <c r="G1728" s="69"/>
      <c r="H1728" s="69"/>
      <c r="M1728" s="57"/>
    </row>
    <row r="1729" spans="1:13" x14ac:dyDescent="0.2">
      <c r="G1729" s="69"/>
      <c r="H1729" s="69"/>
      <c r="M1729" s="57"/>
    </row>
    <row r="1730" spans="1:13" x14ac:dyDescent="0.2">
      <c r="G1730" s="69"/>
      <c r="H1730" s="69"/>
      <c r="M1730" s="57"/>
    </row>
    <row r="1731" spans="1:13" x14ac:dyDescent="0.2">
      <c r="G1731" s="69"/>
      <c r="H1731" s="69"/>
      <c r="M1731" s="57"/>
    </row>
    <row r="1732" spans="1:13" x14ac:dyDescent="0.2">
      <c r="G1732" s="69"/>
      <c r="H1732" s="69"/>
      <c r="M1732" s="57"/>
    </row>
    <row r="1733" spans="1:13" x14ac:dyDescent="0.2">
      <c r="G1733" s="69"/>
      <c r="H1733" s="69"/>
      <c r="M1733" s="57"/>
    </row>
    <row r="1734" spans="1:13" x14ac:dyDescent="0.2">
      <c r="G1734" s="69"/>
      <c r="H1734" s="69"/>
      <c r="M1734" s="57"/>
    </row>
    <row r="1735" spans="1:13" x14ac:dyDescent="0.2">
      <c r="G1735" s="69"/>
      <c r="H1735" s="69"/>
      <c r="M1735" s="57"/>
    </row>
    <row r="1736" spans="1:13" x14ac:dyDescent="0.2">
      <c r="G1736" s="69"/>
      <c r="H1736" s="69"/>
      <c r="M1736" s="57"/>
    </row>
    <row r="1737" spans="1:13" x14ac:dyDescent="0.2">
      <c r="G1737" s="69"/>
      <c r="H1737" s="69"/>
      <c r="M1737" s="57"/>
    </row>
    <row r="1738" spans="1:13" x14ac:dyDescent="0.2">
      <c r="G1738" s="69"/>
      <c r="H1738" s="69"/>
      <c r="M1738" s="57"/>
    </row>
    <row r="1739" spans="1:13" x14ac:dyDescent="0.2">
      <c r="G1739" s="69"/>
      <c r="H1739" s="69"/>
      <c r="M1739" s="57"/>
    </row>
    <row r="1740" spans="1:13" x14ac:dyDescent="0.2">
      <c r="G1740" s="69"/>
      <c r="H1740" s="69"/>
      <c r="M1740" s="57"/>
    </row>
    <row r="1741" spans="1:13" x14ac:dyDescent="0.2">
      <c r="A1741" s="6"/>
      <c r="B1741" s="6"/>
      <c r="C1741" s="6"/>
      <c r="D1741" s="6"/>
      <c r="E1741" s="6"/>
      <c r="G1741" s="69"/>
      <c r="H1741" s="69"/>
      <c r="I1741" s="6"/>
      <c r="J1741" s="6"/>
      <c r="M1741" s="57"/>
    </row>
    <row r="1742" spans="1:13" x14ac:dyDescent="0.2">
      <c r="A1742" s="6"/>
      <c r="B1742" s="6"/>
      <c r="C1742" s="6"/>
      <c r="D1742" s="6"/>
      <c r="E1742" s="6"/>
      <c r="G1742" s="69"/>
      <c r="H1742" s="69"/>
      <c r="I1742" s="6"/>
      <c r="J1742" s="6"/>
      <c r="M1742" s="57"/>
    </row>
    <row r="1743" spans="1:13" x14ac:dyDescent="0.2">
      <c r="A1743" s="6"/>
      <c r="B1743" s="6"/>
      <c r="C1743" s="6"/>
      <c r="D1743" s="6"/>
      <c r="E1743" s="6"/>
      <c r="G1743" s="69"/>
      <c r="H1743" s="69"/>
      <c r="I1743" s="6"/>
      <c r="J1743" s="6"/>
      <c r="M1743" s="57"/>
    </row>
    <row r="1744" spans="1:13" x14ac:dyDescent="0.2">
      <c r="A1744" s="6"/>
      <c r="B1744" s="6"/>
      <c r="C1744" s="6"/>
      <c r="D1744" s="6"/>
      <c r="E1744" s="6"/>
      <c r="G1744" s="69"/>
      <c r="H1744" s="69"/>
      <c r="I1744" s="6"/>
      <c r="J1744" s="6"/>
      <c r="M1744" s="57"/>
    </row>
    <row r="1745" spans="1:13" x14ac:dyDescent="0.2">
      <c r="A1745" s="6"/>
      <c r="B1745" s="6"/>
      <c r="C1745" s="6"/>
      <c r="D1745" s="6"/>
      <c r="E1745" s="6"/>
      <c r="G1745" s="69"/>
      <c r="H1745" s="69"/>
      <c r="I1745" s="6"/>
      <c r="J1745" s="6"/>
      <c r="M1745" s="57"/>
    </row>
    <row r="1746" spans="1:13" ht="15" x14ac:dyDescent="0.25">
      <c r="A1746" s="91">
        <v>1440</v>
      </c>
      <c r="B1746" s="48" t="s">
        <v>32</v>
      </c>
      <c r="C1746" s="48"/>
      <c r="D1746" s="48"/>
      <c r="E1746" s="48"/>
      <c r="G1746" s="69"/>
      <c r="H1746" s="69"/>
      <c r="M1746" s="57"/>
    </row>
    <row r="1747" spans="1:13" ht="15" x14ac:dyDescent="0.25">
      <c r="B1747" s="48"/>
      <c r="C1747" s="48"/>
      <c r="D1747" s="48"/>
      <c r="E1747" s="48"/>
      <c r="G1747" s="69"/>
      <c r="H1747" s="69"/>
      <c r="M1747" s="57"/>
    </row>
    <row r="1748" spans="1:13" x14ac:dyDescent="0.2">
      <c r="B1748" s="50" t="s">
        <v>61</v>
      </c>
      <c r="C1748" s="50"/>
      <c r="D1748" s="50"/>
      <c r="E1748" s="50"/>
      <c r="G1748" s="69"/>
      <c r="H1748" s="69"/>
      <c r="M1748" s="57"/>
    </row>
    <row r="1749" spans="1:13" x14ac:dyDescent="0.2">
      <c r="B1749" s="50"/>
      <c r="C1749" s="50"/>
      <c r="D1749" s="50"/>
      <c r="E1749" s="50"/>
      <c r="G1749" s="69"/>
      <c r="H1749" s="69"/>
      <c r="M1749" s="57"/>
    </row>
    <row r="1750" spans="1:13" x14ac:dyDescent="0.2">
      <c r="B1750" s="58" t="s">
        <v>423</v>
      </c>
      <c r="C1750" s="99"/>
      <c r="D1750" s="99"/>
      <c r="E1750" s="99"/>
      <c r="G1750" s="69"/>
      <c r="H1750" s="69"/>
      <c r="M1750" s="57"/>
    </row>
    <row r="1751" spans="1:13" x14ac:dyDescent="0.2">
      <c r="A1751" s="75">
        <v>5803</v>
      </c>
      <c r="B1751" s="71" t="s">
        <v>2409</v>
      </c>
      <c r="C1751" s="56">
        <v>40933</v>
      </c>
      <c r="D1751" s="56">
        <v>50863</v>
      </c>
      <c r="E1751" s="56">
        <v>50863</v>
      </c>
      <c r="F1751" s="56">
        <v>38750</v>
      </c>
      <c r="G1751" s="56">
        <f>F1751/$F$11*$G$11</f>
        <v>46500</v>
      </c>
      <c r="H1751" s="56">
        <f>ROUND(G1751*1.1,0)</f>
        <v>51150</v>
      </c>
      <c r="I1751" s="56">
        <f>ROUND(H1751*1.06,0)</f>
        <v>54219</v>
      </c>
      <c r="J1751" s="56">
        <f>ROUND(I1751*1.06,0)</f>
        <v>57472</v>
      </c>
      <c r="M1751" s="57"/>
    </row>
    <row r="1752" spans="1:13" x14ac:dyDescent="0.2">
      <c r="B1752" s="58" t="s">
        <v>424</v>
      </c>
      <c r="C1752" s="100">
        <f t="shared" ref="C1752:J1752" si="242">SUM(C1751:C1751)</f>
        <v>40933</v>
      </c>
      <c r="D1752" s="100">
        <f t="shared" si="242"/>
        <v>50863</v>
      </c>
      <c r="E1752" s="100">
        <f t="shared" si="242"/>
        <v>50863</v>
      </c>
      <c r="F1752" s="100">
        <f t="shared" si="242"/>
        <v>38750</v>
      </c>
      <c r="G1752" s="100">
        <f t="shared" si="242"/>
        <v>46500</v>
      </c>
      <c r="H1752" s="100">
        <f t="shared" si="242"/>
        <v>51150</v>
      </c>
      <c r="I1752" s="100">
        <f t="shared" si="242"/>
        <v>54219</v>
      </c>
      <c r="J1752" s="100">
        <f t="shared" si="242"/>
        <v>57472</v>
      </c>
      <c r="M1752" s="57"/>
    </row>
    <row r="1753" spans="1:13" x14ac:dyDescent="0.2">
      <c r="B1753" s="58"/>
      <c r="C1753" s="99"/>
      <c r="D1753" s="99"/>
      <c r="E1753" s="99"/>
      <c r="F1753" s="99"/>
      <c r="G1753" s="99"/>
      <c r="H1753" s="99"/>
      <c r="I1753" s="99"/>
      <c r="J1753" s="99"/>
      <c r="M1753" s="57"/>
    </row>
    <row r="1754" spans="1:13" ht="13.5" thickBot="1" x14ac:dyDescent="0.25">
      <c r="B1754" s="65" t="s">
        <v>4043</v>
      </c>
      <c r="C1754" s="66">
        <f t="shared" ref="C1754:J1754" si="243">+C1752</f>
        <v>40933</v>
      </c>
      <c r="D1754" s="66">
        <f t="shared" si="243"/>
        <v>50863</v>
      </c>
      <c r="E1754" s="66">
        <f t="shared" si="243"/>
        <v>50863</v>
      </c>
      <c r="F1754" s="66">
        <f t="shared" si="243"/>
        <v>38750</v>
      </c>
      <c r="G1754" s="66">
        <f t="shared" si="243"/>
        <v>46500</v>
      </c>
      <c r="H1754" s="66">
        <f t="shared" si="243"/>
        <v>51150</v>
      </c>
      <c r="I1754" s="66">
        <f t="shared" si="243"/>
        <v>54219</v>
      </c>
      <c r="J1754" s="66">
        <f t="shared" si="243"/>
        <v>57472</v>
      </c>
      <c r="M1754" s="57"/>
    </row>
    <row r="1755" spans="1:13" ht="13.5" thickTop="1" x14ac:dyDescent="0.2">
      <c r="B1755" s="68"/>
      <c r="C1755" s="68"/>
      <c r="D1755" s="68"/>
      <c r="E1755" s="68"/>
      <c r="G1755" s="69"/>
      <c r="H1755" s="69"/>
      <c r="I1755" s="68"/>
      <c r="J1755" s="68"/>
      <c r="M1755" s="57"/>
    </row>
    <row r="1756" spans="1:13" x14ac:dyDescent="0.2">
      <c r="B1756" s="50" t="s">
        <v>4018</v>
      </c>
      <c r="C1756" s="50"/>
      <c r="D1756" s="50"/>
      <c r="E1756" s="50"/>
      <c r="G1756" s="69"/>
      <c r="H1756" s="69"/>
      <c r="I1756" s="50"/>
      <c r="J1756" s="50"/>
      <c r="M1756" s="57"/>
    </row>
    <row r="1757" spans="1:13" x14ac:dyDescent="0.2">
      <c r="B1757" s="50"/>
      <c r="C1757" s="50"/>
      <c r="D1757" s="50"/>
      <c r="E1757" s="50"/>
      <c r="G1757" s="69"/>
      <c r="H1757" s="69"/>
      <c r="I1757" s="50"/>
      <c r="J1757" s="50"/>
      <c r="M1757" s="57"/>
    </row>
    <row r="1758" spans="1:13" x14ac:dyDescent="0.2">
      <c r="B1758" s="58" t="s">
        <v>4019</v>
      </c>
      <c r="C1758" s="69"/>
      <c r="D1758" s="69"/>
      <c r="E1758" s="69"/>
      <c r="G1758" s="69"/>
      <c r="H1758" s="69"/>
      <c r="I1758" s="69"/>
      <c r="J1758" s="69"/>
      <c r="M1758" s="57"/>
    </row>
    <row r="1759" spans="1:13" x14ac:dyDescent="0.2">
      <c r="A1759" s="101">
        <v>1182</v>
      </c>
      <c r="B1759" s="70" t="s">
        <v>1065</v>
      </c>
      <c r="C1759" s="69">
        <v>213</v>
      </c>
      <c r="D1759" s="69">
        <v>0</v>
      </c>
      <c r="E1759" s="69">
        <v>0</v>
      </c>
      <c r="F1759" s="69">
        <v>0</v>
      </c>
      <c r="G1759" s="69">
        <f>F1759/$F$11*$G$11</f>
        <v>0</v>
      </c>
      <c r="H1759" s="69">
        <v>0</v>
      </c>
      <c r="I1759" s="69">
        <f>ROUND(H1759*1.08,0)</f>
        <v>0</v>
      </c>
      <c r="J1759" s="69">
        <f>ROUND(I1759*1.08,0)</f>
        <v>0</v>
      </c>
      <c r="M1759" s="57"/>
    </row>
    <row r="1760" spans="1:13" x14ac:dyDescent="0.2">
      <c r="A1760" s="75">
        <v>1020</v>
      </c>
      <c r="B1760" s="71" t="s">
        <v>242</v>
      </c>
      <c r="C1760" s="56">
        <v>0</v>
      </c>
      <c r="D1760" s="56">
        <v>0</v>
      </c>
      <c r="E1760" s="56">
        <v>0</v>
      </c>
      <c r="F1760" s="56">
        <v>0</v>
      </c>
      <c r="G1760" s="56">
        <f>F1760/$F$11*$G$11</f>
        <v>0</v>
      </c>
      <c r="H1760" s="56">
        <f>ROUND(G1760*1.05,0)</f>
        <v>0</v>
      </c>
      <c r="I1760" s="56">
        <f>ROUND(H1760*1.05,0)</f>
        <v>0</v>
      </c>
      <c r="J1760" s="56">
        <f>ROUND(I1760*1.05,0)</f>
        <v>0</v>
      </c>
      <c r="M1760" s="57"/>
    </row>
    <row r="1761" spans="1:13" x14ac:dyDescent="0.2">
      <c r="B1761" s="58" t="s">
        <v>416</v>
      </c>
      <c r="C1761" s="72">
        <f t="shared" ref="C1761:J1761" si="244">SUM(C1759:C1760)</f>
        <v>213</v>
      </c>
      <c r="D1761" s="72">
        <f t="shared" si="244"/>
        <v>0</v>
      </c>
      <c r="E1761" s="72">
        <f t="shared" si="244"/>
        <v>0</v>
      </c>
      <c r="F1761" s="72">
        <f t="shared" si="244"/>
        <v>0</v>
      </c>
      <c r="G1761" s="72">
        <f t="shared" si="244"/>
        <v>0</v>
      </c>
      <c r="H1761" s="72">
        <f t="shared" si="244"/>
        <v>0</v>
      </c>
      <c r="I1761" s="72">
        <f t="shared" si="244"/>
        <v>0</v>
      </c>
      <c r="J1761" s="72">
        <f t="shared" si="244"/>
        <v>0</v>
      </c>
      <c r="M1761" s="57"/>
    </row>
    <row r="1762" spans="1:13" x14ac:dyDescent="0.2">
      <c r="B1762" s="58"/>
      <c r="C1762" s="69"/>
      <c r="D1762" s="69"/>
      <c r="E1762" s="69"/>
      <c r="G1762" s="69"/>
      <c r="H1762" s="69"/>
      <c r="I1762" s="69"/>
      <c r="J1762" s="69"/>
      <c r="M1762" s="57"/>
    </row>
    <row r="1763" spans="1:13" x14ac:dyDescent="0.2">
      <c r="B1763" s="58" t="s">
        <v>4021</v>
      </c>
      <c r="C1763" s="69"/>
      <c r="D1763" s="69"/>
      <c r="E1763" s="69"/>
      <c r="G1763" s="69"/>
      <c r="H1763" s="69"/>
      <c r="I1763" s="69"/>
      <c r="J1763" s="69"/>
      <c r="M1763" s="57"/>
    </row>
    <row r="1764" spans="1:13" x14ac:dyDescent="0.2">
      <c r="A1764" s="75">
        <v>3208</v>
      </c>
      <c r="B1764" s="70" t="s">
        <v>33</v>
      </c>
      <c r="C1764" s="69">
        <v>0</v>
      </c>
      <c r="D1764" s="69">
        <v>500000</v>
      </c>
      <c r="E1764" s="69">
        <f>500000-300000</f>
        <v>200000</v>
      </c>
      <c r="F1764" s="69">
        <v>0</v>
      </c>
      <c r="G1764" s="69">
        <f>F1764/$F$11*$G$11</f>
        <v>0</v>
      </c>
      <c r="H1764" s="69">
        <f>ROUND(E1764*1.05,0)</f>
        <v>210000</v>
      </c>
      <c r="I1764" s="69">
        <f>ROUND(H1764*1.06,0)</f>
        <v>222600</v>
      </c>
      <c r="J1764" s="69">
        <f>ROUND(I1764*1.06,0)</f>
        <v>235956</v>
      </c>
      <c r="M1764" s="57"/>
    </row>
    <row r="1765" spans="1:13" x14ac:dyDescent="0.2">
      <c r="A1765" s="75">
        <v>3339</v>
      </c>
      <c r="B1765" s="71" t="s">
        <v>2411</v>
      </c>
      <c r="C1765" s="56">
        <v>0</v>
      </c>
      <c r="D1765" s="56">
        <v>500000</v>
      </c>
      <c r="E1765" s="56">
        <f>500000-300000</f>
        <v>200000</v>
      </c>
      <c r="F1765" s="56">
        <v>1433</v>
      </c>
      <c r="G1765" s="56">
        <f>F1765/$F$11*$G$11</f>
        <v>1719.6000000000001</v>
      </c>
      <c r="H1765" s="56">
        <f>ROUND(E1765*1.05,0)</f>
        <v>210000</v>
      </c>
      <c r="I1765" s="56">
        <f>ROUND(H1765*1.06,0)</f>
        <v>222600</v>
      </c>
      <c r="J1765" s="56">
        <f>ROUND(I1765*1.06,0)</f>
        <v>235956</v>
      </c>
      <c r="M1765" s="57"/>
    </row>
    <row r="1766" spans="1:13" x14ac:dyDescent="0.2">
      <c r="B1766" s="58" t="s">
        <v>417</v>
      </c>
      <c r="C1766" s="72">
        <f>SUM(C1764:C1765)</f>
        <v>0</v>
      </c>
      <c r="D1766" s="72">
        <f t="shared" ref="D1766:J1766" si="245">SUM(D1764:D1765)</f>
        <v>1000000</v>
      </c>
      <c r="E1766" s="72">
        <f t="shared" si="245"/>
        <v>400000</v>
      </c>
      <c r="F1766" s="72">
        <f t="shared" si="245"/>
        <v>1433</v>
      </c>
      <c r="G1766" s="72">
        <f t="shared" si="245"/>
        <v>1719.6000000000001</v>
      </c>
      <c r="H1766" s="72">
        <f t="shared" si="245"/>
        <v>420000</v>
      </c>
      <c r="I1766" s="72">
        <f t="shared" si="245"/>
        <v>445200</v>
      </c>
      <c r="J1766" s="72">
        <f t="shared" si="245"/>
        <v>471912</v>
      </c>
      <c r="M1766" s="57"/>
    </row>
    <row r="1767" spans="1:13" x14ac:dyDescent="0.2">
      <c r="B1767" s="58"/>
      <c r="C1767" s="69"/>
      <c r="D1767" s="69"/>
      <c r="E1767" s="69"/>
      <c r="G1767" s="69"/>
      <c r="H1767" s="69"/>
      <c r="I1767" s="69"/>
      <c r="J1767" s="69"/>
      <c r="M1767" s="57"/>
    </row>
    <row r="1768" spans="1:13" x14ac:dyDescent="0.2">
      <c r="B1768" s="58" t="s">
        <v>435</v>
      </c>
      <c r="C1768" s="69"/>
      <c r="D1768" s="69"/>
      <c r="E1768" s="69"/>
      <c r="G1768" s="69"/>
      <c r="H1768" s="69"/>
      <c r="I1768" s="69"/>
      <c r="J1768" s="69"/>
      <c r="M1768" s="57"/>
    </row>
    <row r="1769" spans="1:13" x14ac:dyDescent="0.2">
      <c r="A1769" s="75">
        <v>2205</v>
      </c>
      <c r="B1769" s="71" t="s">
        <v>243</v>
      </c>
      <c r="C1769" s="56">
        <v>4991</v>
      </c>
      <c r="D1769" s="56">
        <v>50000</v>
      </c>
      <c r="E1769" s="56">
        <v>50000</v>
      </c>
      <c r="F1769" s="56">
        <f>13865+2400</f>
        <v>16265</v>
      </c>
      <c r="G1769" s="56">
        <f>F1769/$F$11*$G$11</f>
        <v>19518</v>
      </c>
      <c r="H1769" s="56">
        <f>ROUND(G1769*1.05,0)</f>
        <v>20494</v>
      </c>
      <c r="I1769" s="56">
        <f>ROUND(H1769*1.06,0)</f>
        <v>21724</v>
      </c>
      <c r="J1769" s="56">
        <f>ROUND(I1769*1.06,0)</f>
        <v>23027</v>
      </c>
      <c r="M1769" s="57"/>
    </row>
    <row r="1770" spans="1:13" x14ac:dyDescent="0.2">
      <c r="B1770" s="58" t="s">
        <v>436</v>
      </c>
      <c r="C1770" s="72">
        <f t="shared" ref="C1770:J1770" si="246">SUM(C1769)</f>
        <v>4991</v>
      </c>
      <c r="D1770" s="72">
        <f t="shared" si="246"/>
        <v>50000</v>
      </c>
      <c r="E1770" s="72">
        <f t="shared" si="246"/>
        <v>50000</v>
      </c>
      <c r="F1770" s="72">
        <f t="shared" si="246"/>
        <v>16265</v>
      </c>
      <c r="G1770" s="72">
        <f t="shared" si="246"/>
        <v>19518</v>
      </c>
      <c r="H1770" s="72">
        <f t="shared" si="246"/>
        <v>20494</v>
      </c>
      <c r="I1770" s="72">
        <f t="shared" si="246"/>
        <v>21724</v>
      </c>
      <c r="J1770" s="72">
        <f t="shared" si="246"/>
        <v>23027</v>
      </c>
      <c r="M1770" s="57"/>
    </row>
    <row r="1771" spans="1:13" x14ac:dyDescent="0.2">
      <c r="B1771" s="61"/>
      <c r="C1771" s="97"/>
      <c r="D1771" s="97"/>
      <c r="E1771" s="97"/>
      <c r="F1771" s="97"/>
      <c r="G1771" s="97"/>
      <c r="H1771" s="97"/>
      <c r="I1771" s="97"/>
      <c r="J1771" s="97"/>
      <c r="M1771" s="57"/>
    </row>
    <row r="1772" spans="1:13" x14ac:dyDescent="0.2">
      <c r="B1772" s="58" t="s">
        <v>4055</v>
      </c>
      <c r="C1772" s="73">
        <f t="shared" ref="C1772:J1772" si="247">C1761+C1766+C1770</f>
        <v>5204</v>
      </c>
      <c r="D1772" s="73">
        <f t="shared" si="247"/>
        <v>1050000</v>
      </c>
      <c r="E1772" s="73">
        <f t="shared" si="247"/>
        <v>450000</v>
      </c>
      <c r="F1772" s="73">
        <f t="shared" si="247"/>
        <v>17698</v>
      </c>
      <c r="G1772" s="73">
        <f t="shared" si="247"/>
        <v>21237.599999999999</v>
      </c>
      <c r="H1772" s="73">
        <f t="shared" si="247"/>
        <v>440494</v>
      </c>
      <c r="I1772" s="73">
        <f t="shared" si="247"/>
        <v>466924</v>
      </c>
      <c r="J1772" s="73">
        <f t="shared" si="247"/>
        <v>494939</v>
      </c>
      <c r="M1772" s="57"/>
    </row>
    <row r="1773" spans="1:13" x14ac:dyDescent="0.2">
      <c r="B1773" s="58"/>
      <c r="C1773" s="96"/>
      <c r="D1773" s="96"/>
      <c r="E1773" s="96"/>
      <c r="F1773" s="96"/>
      <c r="G1773" s="96"/>
      <c r="H1773" s="96"/>
      <c r="I1773" s="96"/>
      <c r="J1773" s="96"/>
      <c r="M1773" s="57"/>
    </row>
    <row r="1774" spans="1:13" x14ac:dyDescent="0.2">
      <c r="B1774" s="58" t="s">
        <v>418</v>
      </c>
      <c r="C1774" s="96"/>
      <c r="D1774" s="96"/>
      <c r="E1774" s="96"/>
      <c r="F1774" s="96"/>
      <c r="G1774" s="96"/>
      <c r="H1774" s="96"/>
      <c r="I1774" s="96"/>
      <c r="J1774" s="96"/>
      <c r="M1774" s="57"/>
    </row>
    <row r="1775" spans="1:13" x14ac:dyDescent="0.2">
      <c r="A1775" s="101">
        <v>4209</v>
      </c>
      <c r="B1775" s="71" t="s">
        <v>1066</v>
      </c>
      <c r="C1775" s="56">
        <v>359</v>
      </c>
      <c r="D1775" s="56">
        <v>0</v>
      </c>
      <c r="E1775" s="56">
        <v>0</v>
      </c>
      <c r="F1775" s="56">
        <v>0</v>
      </c>
      <c r="G1775" s="56">
        <v>0</v>
      </c>
      <c r="H1775" s="56">
        <v>0</v>
      </c>
      <c r="I1775" s="56">
        <v>0</v>
      </c>
      <c r="J1775" s="56">
        <v>0</v>
      </c>
      <c r="M1775" s="57"/>
    </row>
    <row r="1776" spans="1:13" x14ac:dyDescent="0.2">
      <c r="B1776" s="58" t="s">
        <v>419</v>
      </c>
      <c r="C1776" s="73">
        <f t="shared" ref="C1776:J1776" si="248">SUM(C1775)</f>
        <v>359</v>
      </c>
      <c r="D1776" s="73">
        <f t="shared" si="248"/>
        <v>0</v>
      </c>
      <c r="E1776" s="73">
        <f t="shared" si="248"/>
        <v>0</v>
      </c>
      <c r="F1776" s="73">
        <f t="shared" si="248"/>
        <v>0</v>
      </c>
      <c r="G1776" s="73">
        <f t="shared" si="248"/>
        <v>0</v>
      </c>
      <c r="H1776" s="73">
        <f t="shared" si="248"/>
        <v>0</v>
      </c>
      <c r="I1776" s="73">
        <f t="shared" si="248"/>
        <v>0</v>
      </c>
      <c r="J1776" s="73">
        <f t="shared" si="248"/>
        <v>0</v>
      </c>
      <c r="M1776" s="57"/>
    </row>
    <row r="1777" spans="2:13" x14ac:dyDescent="0.2">
      <c r="B1777" s="58"/>
      <c r="C1777" s="96"/>
      <c r="D1777" s="96"/>
      <c r="E1777" s="96"/>
      <c r="F1777" s="96"/>
      <c r="G1777" s="96"/>
      <c r="H1777" s="96"/>
      <c r="I1777" s="96"/>
      <c r="J1777" s="96"/>
      <c r="M1777" s="57"/>
    </row>
    <row r="1778" spans="2:13" ht="13.5" thickBot="1" x14ac:dyDescent="0.25">
      <c r="B1778" s="65" t="s">
        <v>4033</v>
      </c>
      <c r="C1778" s="76">
        <f t="shared" ref="C1778:J1778" si="249">C1772+C1776</f>
        <v>5563</v>
      </c>
      <c r="D1778" s="76">
        <f t="shared" si="249"/>
        <v>1050000</v>
      </c>
      <c r="E1778" s="76">
        <f t="shared" si="249"/>
        <v>450000</v>
      </c>
      <c r="F1778" s="76">
        <f t="shared" si="249"/>
        <v>17698</v>
      </c>
      <c r="G1778" s="76">
        <f t="shared" si="249"/>
        <v>21237.599999999999</v>
      </c>
      <c r="H1778" s="76">
        <f t="shared" si="249"/>
        <v>440494</v>
      </c>
      <c r="I1778" s="76">
        <f t="shared" si="249"/>
        <v>466924</v>
      </c>
      <c r="J1778" s="76">
        <f t="shared" si="249"/>
        <v>494939</v>
      </c>
      <c r="M1778" s="57"/>
    </row>
    <row r="1779" spans="2:13" ht="13.5" thickTop="1" x14ac:dyDescent="0.2">
      <c r="B1779" s="58"/>
      <c r="C1779" s="72"/>
      <c r="D1779" s="72"/>
      <c r="E1779" s="72"/>
      <c r="F1779" s="72"/>
      <c r="G1779" s="72"/>
      <c r="H1779" s="72"/>
      <c r="I1779" s="72"/>
      <c r="J1779" s="72"/>
      <c r="M1779" s="57"/>
    </row>
    <row r="1780" spans="2:13" ht="13.5" thickBot="1" x14ac:dyDescent="0.25">
      <c r="B1780" s="65" t="s">
        <v>4059</v>
      </c>
      <c r="C1780" s="77">
        <f t="shared" ref="C1780:J1780" si="250">C1754-C1778</f>
        <v>35370</v>
      </c>
      <c r="D1780" s="77">
        <f t="shared" si="250"/>
        <v>-999137</v>
      </c>
      <c r="E1780" s="77">
        <f t="shared" si="250"/>
        <v>-399137</v>
      </c>
      <c r="F1780" s="77">
        <f t="shared" si="250"/>
        <v>21052</v>
      </c>
      <c r="G1780" s="77">
        <f t="shared" si="250"/>
        <v>25262.400000000001</v>
      </c>
      <c r="H1780" s="77">
        <f t="shared" si="250"/>
        <v>-389344</v>
      </c>
      <c r="I1780" s="77">
        <f t="shared" si="250"/>
        <v>-412705</v>
      </c>
      <c r="J1780" s="77">
        <f t="shared" si="250"/>
        <v>-437467</v>
      </c>
      <c r="M1780" s="57"/>
    </row>
    <row r="1781" spans="2:13" ht="13.5" thickTop="1" x14ac:dyDescent="0.2">
      <c r="B1781" s="58"/>
      <c r="C1781" s="78"/>
      <c r="D1781" s="78"/>
      <c r="E1781" s="78"/>
      <c r="G1781" s="69"/>
      <c r="H1781" s="69"/>
      <c r="I1781" s="78"/>
      <c r="J1781" s="78"/>
      <c r="M1781" s="57"/>
    </row>
    <row r="1782" spans="2:13" x14ac:dyDescent="0.2">
      <c r="G1782" s="69"/>
      <c r="H1782" s="69"/>
      <c r="M1782" s="57"/>
    </row>
    <row r="1783" spans="2:13" x14ac:dyDescent="0.2">
      <c r="G1783" s="69"/>
      <c r="H1783" s="69"/>
      <c r="M1783" s="57"/>
    </row>
    <row r="1784" spans="2:13" x14ac:dyDescent="0.2">
      <c r="G1784" s="69"/>
      <c r="H1784" s="69"/>
      <c r="M1784" s="57"/>
    </row>
    <row r="1785" spans="2:13" x14ac:dyDescent="0.2">
      <c r="G1785" s="69"/>
      <c r="H1785" s="69"/>
      <c r="M1785" s="57"/>
    </row>
    <row r="1786" spans="2:13" x14ac:dyDescent="0.2">
      <c r="G1786" s="69"/>
      <c r="H1786" s="69"/>
      <c r="M1786" s="57"/>
    </row>
    <row r="1787" spans="2:13" x14ac:dyDescent="0.2">
      <c r="G1787" s="69"/>
      <c r="H1787" s="69"/>
      <c r="M1787" s="57"/>
    </row>
    <row r="1788" spans="2:13" x14ac:dyDescent="0.2">
      <c r="G1788" s="69"/>
      <c r="H1788" s="69"/>
      <c r="M1788" s="57"/>
    </row>
    <row r="1789" spans="2:13" x14ac:dyDescent="0.2">
      <c r="G1789" s="69"/>
      <c r="H1789" s="69"/>
      <c r="M1789" s="57"/>
    </row>
    <row r="1790" spans="2:13" x14ac:dyDescent="0.2">
      <c r="G1790" s="69"/>
      <c r="H1790" s="69"/>
      <c r="M1790" s="57"/>
    </row>
    <row r="1791" spans="2:13" x14ac:dyDescent="0.2">
      <c r="G1791" s="69"/>
      <c r="H1791" s="69"/>
      <c r="M1791" s="57"/>
    </row>
    <row r="1792" spans="2:13" x14ac:dyDescent="0.2">
      <c r="G1792" s="69"/>
      <c r="H1792" s="69"/>
      <c r="M1792" s="57"/>
    </row>
    <row r="1793" spans="7:13" x14ac:dyDescent="0.2">
      <c r="G1793" s="69"/>
      <c r="H1793" s="69"/>
      <c r="M1793" s="57"/>
    </row>
    <row r="1794" spans="7:13" x14ac:dyDescent="0.2">
      <c r="G1794" s="69"/>
      <c r="H1794" s="69"/>
      <c r="M1794" s="57"/>
    </row>
    <row r="1795" spans="7:13" x14ac:dyDescent="0.2">
      <c r="G1795" s="69"/>
      <c r="H1795" s="69"/>
      <c r="M1795" s="57"/>
    </row>
    <row r="1796" spans="7:13" x14ac:dyDescent="0.2">
      <c r="G1796" s="69"/>
      <c r="H1796" s="69"/>
      <c r="M1796" s="57"/>
    </row>
    <row r="1797" spans="7:13" x14ac:dyDescent="0.2">
      <c r="G1797" s="69"/>
      <c r="H1797" s="69"/>
      <c r="M1797" s="57"/>
    </row>
    <row r="1798" spans="7:13" x14ac:dyDescent="0.2">
      <c r="G1798" s="69"/>
      <c r="H1798" s="69"/>
      <c r="M1798" s="57"/>
    </row>
    <row r="1799" spans="7:13" x14ac:dyDescent="0.2">
      <c r="G1799" s="69"/>
      <c r="H1799" s="69"/>
      <c r="M1799" s="57"/>
    </row>
    <row r="1800" spans="7:13" x14ac:dyDescent="0.2">
      <c r="G1800" s="69"/>
      <c r="H1800" s="69"/>
      <c r="M1800" s="57"/>
    </row>
    <row r="1801" spans="7:13" x14ac:dyDescent="0.2">
      <c r="G1801" s="69"/>
      <c r="H1801" s="69"/>
      <c r="M1801" s="57"/>
    </row>
    <row r="1802" spans="7:13" x14ac:dyDescent="0.2">
      <c r="G1802" s="69"/>
      <c r="H1802" s="69"/>
      <c r="M1802" s="57"/>
    </row>
    <row r="1803" spans="7:13" x14ac:dyDescent="0.2">
      <c r="G1803" s="69"/>
      <c r="H1803" s="69"/>
      <c r="M1803" s="57"/>
    </row>
    <row r="1804" spans="7:13" x14ac:dyDescent="0.2">
      <c r="G1804" s="69"/>
      <c r="H1804" s="69"/>
      <c r="M1804" s="57"/>
    </row>
    <row r="1805" spans="7:13" x14ac:dyDescent="0.2">
      <c r="G1805" s="69"/>
      <c r="H1805" s="69"/>
      <c r="M1805" s="57"/>
    </row>
    <row r="1806" spans="7:13" x14ac:dyDescent="0.2">
      <c r="G1806" s="69"/>
      <c r="H1806" s="69"/>
      <c r="M1806" s="57"/>
    </row>
    <row r="1807" spans="7:13" x14ac:dyDescent="0.2">
      <c r="G1807" s="69"/>
      <c r="H1807" s="69"/>
      <c r="M1807" s="57"/>
    </row>
    <row r="1808" spans="7:13" x14ac:dyDescent="0.2">
      <c r="G1808" s="69"/>
      <c r="H1808" s="69"/>
      <c r="M1808" s="57"/>
    </row>
    <row r="1809" spans="1:13" x14ac:dyDescent="0.2">
      <c r="G1809" s="69"/>
      <c r="H1809" s="69"/>
      <c r="M1809" s="57"/>
    </row>
    <row r="1810" spans="1:13" x14ac:dyDescent="0.2">
      <c r="G1810" s="69"/>
      <c r="H1810" s="69"/>
      <c r="M1810" s="57"/>
    </row>
    <row r="1811" spans="1:13" x14ac:dyDescent="0.2">
      <c r="G1811" s="69"/>
      <c r="H1811" s="69"/>
      <c r="M1811" s="57"/>
    </row>
    <row r="1812" spans="1:13" x14ac:dyDescent="0.2">
      <c r="G1812" s="69"/>
      <c r="H1812" s="69"/>
      <c r="M1812" s="57"/>
    </row>
    <row r="1813" spans="1:13" x14ac:dyDescent="0.2">
      <c r="G1813" s="69"/>
      <c r="H1813" s="69"/>
      <c r="M1813" s="57"/>
    </row>
    <row r="1814" spans="1:13" x14ac:dyDescent="0.2">
      <c r="G1814" s="69"/>
      <c r="H1814" s="69"/>
      <c r="M1814" s="57"/>
    </row>
    <row r="1815" spans="1:13" x14ac:dyDescent="0.2">
      <c r="G1815" s="69"/>
      <c r="H1815" s="69"/>
      <c r="M1815" s="57"/>
    </row>
    <row r="1816" spans="1:13" x14ac:dyDescent="0.2">
      <c r="G1816" s="69"/>
      <c r="H1816" s="69"/>
      <c r="M1816" s="57"/>
    </row>
    <row r="1817" spans="1:13" x14ac:dyDescent="0.2">
      <c r="G1817" s="69"/>
      <c r="H1817" s="69"/>
      <c r="M1817" s="57"/>
    </row>
    <row r="1818" spans="1:13" x14ac:dyDescent="0.2">
      <c r="G1818" s="69"/>
      <c r="H1818" s="69"/>
      <c r="M1818" s="57"/>
    </row>
    <row r="1819" spans="1:13" x14ac:dyDescent="0.2">
      <c r="G1819" s="69"/>
      <c r="H1819" s="69"/>
      <c r="M1819" s="57"/>
    </row>
    <row r="1820" spans="1:13" x14ac:dyDescent="0.2">
      <c r="A1820" s="6"/>
      <c r="B1820" s="6"/>
      <c r="C1820" s="6"/>
      <c r="D1820" s="6"/>
      <c r="E1820" s="6"/>
      <c r="G1820" s="69"/>
      <c r="H1820" s="69"/>
      <c r="I1820" s="6"/>
      <c r="J1820" s="6"/>
      <c r="M1820" s="57"/>
    </row>
    <row r="1821" spans="1:13" x14ac:dyDescent="0.2">
      <c r="A1821" s="6"/>
      <c r="B1821" s="6"/>
      <c r="C1821" s="6"/>
      <c r="D1821" s="6"/>
      <c r="E1821" s="6"/>
      <c r="G1821" s="69"/>
      <c r="H1821" s="69"/>
      <c r="I1821" s="6"/>
      <c r="J1821" s="6"/>
      <c r="M1821" s="57"/>
    </row>
    <row r="1822" spans="1:13" x14ac:dyDescent="0.2">
      <c r="A1822" s="6"/>
      <c r="B1822" s="6"/>
      <c r="C1822" s="6"/>
      <c r="D1822" s="6"/>
      <c r="E1822" s="6"/>
      <c r="G1822" s="69"/>
      <c r="H1822" s="69"/>
      <c r="I1822" s="6"/>
      <c r="J1822" s="6"/>
      <c r="M1822" s="57"/>
    </row>
    <row r="1823" spans="1:13" x14ac:dyDescent="0.2">
      <c r="A1823" s="6"/>
      <c r="B1823" s="6"/>
      <c r="C1823" s="6"/>
      <c r="D1823" s="6"/>
      <c r="E1823" s="6"/>
      <c r="G1823" s="69"/>
      <c r="H1823" s="69"/>
      <c r="I1823" s="6"/>
      <c r="J1823" s="6"/>
      <c r="M1823" s="57"/>
    </row>
    <row r="1824" spans="1:13" x14ac:dyDescent="0.2">
      <c r="A1824" s="6"/>
      <c r="B1824" s="6"/>
      <c r="C1824" s="6"/>
      <c r="D1824" s="6"/>
      <c r="E1824" s="6"/>
      <c r="G1824" s="69"/>
      <c r="H1824" s="69"/>
      <c r="I1824" s="6"/>
      <c r="J1824" s="6"/>
      <c r="M1824" s="57"/>
    </row>
    <row r="1825" spans="1:13" s="9" customFormat="1" ht="15.75" x14ac:dyDescent="0.25">
      <c r="A1825" s="98">
        <v>1500</v>
      </c>
      <c r="B1825" s="118" t="s">
        <v>244</v>
      </c>
      <c r="C1825" s="39"/>
      <c r="D1825" s="39"/>
      <c r="E1825" s="39"/>
      <c r="F1825" s="2"/>
      <c r="G1825" s="69"/>
      <c r="H1825" s="69"/>
      <c r="I1825" s="39"/>
      <c r="J1825" s="39"/>
      <c r="M1825" s="57"/>
    </row>
    <row r="1826" spans="1:13" ht="15" x14ac:dyDescent="0.25">
      <c r="A1826" s="91">
        <v>1510</v>
      </c>
      <c r="B1826" s="92" t="s">
        <v>34</v>
      </c>
      <c r="G1826" s="69"/>
      <c r="H1826" s="69"/>
      <c r="M1826" s="57"/>
    </row>
    <row r="1827" spans="1:13" ht="15" x14ac:dyDescent="0.25">
      <c r="A1827" s="91"/>
      <c r="B1827" s="92"/>
      <c r="G1827" s="69"/>
      <c r="H1827" s="69"/>
      <c r="M1827" s="57"/>
    </row>
    <row r="1828" spans="1:13" x14ac:dyDescent="0.2">
      <c r="B1828" s="50" t="s">
        <v>61</v>
      </c>
      <c r="C1828" s="50"/>
      <c r="D1828" s="50"/>
      <c r="E1828" s="50"/>
      <c r="G1828" s="69"/>
      <c r="H1828" s="69"/>
      <c r="M1828" s="57"/>
    </row>
    <row r="1829" spans="1:13" s="9" customFormat="1" x14ac:dyDescent="0.2">
      <c r="A1829" s="37"/>
      <c r="B1829" s="58"/>
      <c r="C1829" s="99"/>
      <c r="D1829" s="99"/>
      <c r="E1829" s="99"/>
      <c r="F1829" s="2"/>
      <c r="G1829" s="69"/>
      <c r="H1829" s="69"/>
      <c r="I1829" s="39"/>
      <c r="J1829" s="39"/>
      <c r="M1829" s="57"/>
    </row>
    <row r="1830" spans="1:13" x14ac:dyDescent="0.2">
      <c r="B1830" s="58" t="s">
        <v>66</v>
      </c>
      <c r="C1830" s="99"/>
      <c r="D1830" s="99"/>
      <c r="E1830" s="99"/>
      <c r="G1830" s="69"/>
      <c r="H1830" s="69"/>
      <c r="M1830" s="57"/>
    </row>
    <row r="1831" spans="1:13" x14ac:dyDescent="0.2">
      <c r="A1831" s="101">
        <v>5624</v>
      </c>
      <c r="B1831" s="71" t="s">
        <v>245</v>
      </c>
      <c r="C1831" s="56">
        <v>197209</v>
      </c>
      <c r="D1831" s="56">
        <f>198000*1.116</f>
        <v>220968.00000000003</v>
      </c>
      <c r="E1831" s="56">
        <v>220968</v>
      </c>
      <c r="F1831" s="56">
        <v>210213</v>
      </c>
      <c r="G1831" s="56">
        <f>F1831/$F$11*$G$11</f>
        <v>252255.59999999998</v>
      </c>
      <c r="H1831" s="56">
        <f>ROUND(G1831*1.1,0)</f>
        <v>277481</v>
      </c>
      <c r="I1831" s="56">
        <f>ROUND(H1831*1.06,0)</f>
        <v>294130</v>
      </c>
      <c r="J1831" s="56">
        <f>ROUND(I1831*1.06,0)</f>
        <v>311778</v>
      </c>
      <c r="M1831" s="57"/>
    </row>
    <row r="1832" spans="1:13" x14ac:dyDescent="0.2">
      <c r="A1832" s="111"/>
      <c r="B1832" s="58" t="s">
        <v>434</v>
      </c>
      <c r="C1832" s="100">
        <f t="shared" ref="C1832:J1832" si="251">SUM(C1831)</f>
        <v>197209</v>
      </c>
      <c r="D1832" s="100">
        <f t="shared" si="251"/>
        <v>220968.00000000003</v>
      </c>
      <c r="E1832" s="100">
        <f t="shared" si="251"/>
        <v>220968</v>
      </c>
      <c r="F1832" s="100">
        <f t="shared" si="251"/>
        <v>210213</v>
      </c>
      <c r="G1832" s="100">
        <f t="shared" si="251"/>
        <v>252255.59999999998</v>
      </c>
      <c r="H1832" s="100">
        <f t="shared" si="251"/>
        <v>277481</v>
      </c>
      <c r="I1832" s="100">
        <f t="shared" si="251"/>
        <v>294130</v>
      </c>
      <c r="J1832" s="100">
        <f t="shared" si="251"/>
        <v>311778</v>
      </c>
      <c r="M1832" s="57"/>
    </row>
    <row r="1833" spans="1:13" x14ac:dyDescent="0.2">
      <c r="B1833" s="58"/>
      <c r="C1833" s="99"/>
      <c r="D1833" s="99"/>
      <c r="E1833" s="99"/>
      <c r="F1833" s="24"/>
      <c r="G1833" s="69"/>
      <c r="H1833" s="69"/>
      <c r="M1833" s="57"/>
    </row>
    <row r="1834" spans="1:13" x14ac:dyDescent="0.2">
      <c r="B1834" s="58" t="s">
        <v>423</v>
      </c>
      <c r="C1834" s="100"/>
      <c r="D1834" s="100"/>
      <c r="E1834" s="100"/>
      <c r="G1834" s="69"/>
      <c r="H1834" s="69"/>
      <c r="I1834" s="100"/>
      <c r="J1834" s="100"/>
      <c r="M1834" s="57"/>
    </row>
    <row r="1835" spans="1:13" x14ac:dyDescent="0.2">
      <c r="A1835" s="101">
        <v>5622</v>
      </c>
      <c r="B1835" s="70" t="s">
        <v>1072</v>
      </c>
      <c r="C1835" s="99">
        <v>250</v>
      </c>
      <c r="D1835" s="99">
        <v>0</v>
      </c>
      <c r="E1835" s="99">
        <v>0</v>
      </c>
      <c r="F1835" s="99">
        <v>100</v>
      </c>
      <c r="G1835" s="69">
        <f>F1835/$F$11*$G$11</f>
        <v>120</v>
      </c>
      <c r="H1835" s="69">
        <f>ROUND(G1835*1.1,0)</f>
        <v>132</v>
      </c>
      <c r="I1835" s="69">
        <f>ROUND(H1835*1.06,0)</f>
        <v>140</v>
      </c>
      <c r="J1835" s="69">
        <f>ROUND(I1835*1.06,0)</f>
        <v>148</v>
      </c>
      <c r="M1835" s="57"/>
    </row>
    <row r="1836" spans="1:13" x14ac:dyDescent="0.2">
      <c r="A1836" s="101">
        <v>5805</v>
      </c>
      <c r="B1836" s="71" t="s">
        <v>246</v>
      </c>
      <c r="C1836" s="56">
        <v>298</v>
      </c>
      <c r="D1836" s="56">
        <v>16500</v>
      </c>
      <c r="E1836" s="56">
        <v>16500</v>
      </c>
      <c r="F1836" s="56">
        <v>829</v>
      </c>
      <c r="G1836" s="56">
        <f>F1836/$F$11*$G$11</f>
        <v>994.80000000000007</v>
      </c>
      <c r="H1836" s="56">
        <f>ROUND(E1836*1.1,0)</f>
        <v>18150</v>
      </c>
      <c r="I1836" s="56">
        <f>ROUND(H1836*1.06,0)</f>
        <v>19239</v>
      </c>
      <c r="J1836" s="56">
        <f>ROUND(I1836*1.06,0)</f>
        <v>20393</v>
      </c>
      <c r="M1836" s="57"/>
    </row>
    <row r="1837" spans="1:13" x14ac:dyDescent="0.2">
      <c r="B1837" s="58" t="s">
        <v>424</v>
      </c>
      <c r="C1837" s="100">
        <f>SUM(C1835:C1836)</f>
        <v>548</v>
      </c>
      <c r="D1837" s="100">
        <f t="shared" ref="D1837:J1837" si="252">SUM(D1835:D1836)</f>
        <v>16500</v>
      </c>
      <c r="E1837" s="100">
        <f t="shared" si="252"/>
        <v>16500</v>
      </c>
      <c r="F1837" s="100">
        <f t="shared" si="252"/>
        <v>929</v>
      </c>
      <c r="G1837" s="100">
        <f t="shared" si="252"/>
        <v>1114.8000000000002</v>
      </c>
      <c r="H1837" s="100">
        <f t="shared" si="252"/>
        <v>18282</v>
      </c>
      <c r="I1837" s="100">
        <f t="shared" si="252"/>
        <v>19379</v>
      </c>
      <c r="J1837" s="100">
        <f t="shared" si="252"/>
        <v>20541</v>
      </c>
      <c r="M1837" s="57"/>
    </row>
    <row r="1838" spans="1:13" x14ac:dyDescent="0.2">
      <c r="B1838" s="58"/>
      <c r="C1838" s="99"/>
      <c r="D1838" s="99"/>
      <c r="E1838" s="99"/>
      <c r="F1838" s="99"/>
      <c r="G1838" s="99"/>
      <c r="H1838" s="99"/>
      <c r="I1838" s="99"/>
      <c r="J1838" s="99"/>
      <c r="M1838" s="57"/>
    </row>
    <row r="1839" spans="1:13" ht="13.5" thickBot="1" x14ac:dyDescent="0.25">
      <c r="B1839" s="65" t="s">
        <v>4043</v>
      </c>
      <c r="C1839" s="66">
        <f>+C1832+C1837</f>
        <v>197757</v>
      </c>
      <c r="D1839" s="66">
        <f t="shared" ref="D1839:J1839" si="253">+D1832+D1837</f>
        <v>237468.00000000003</v>
      </c>
      <c r="E1839" s="66">
        <f t="shared" si="253"/>
        <v>237468</v>
      </c>
      <c r="F1839" s="66">
        <f t="shared" si="253"/>
        <v>211142</v>
      </c>
      <c r="G1839" s="66">
        <f t="shared" si="253"/>
        <v>253370.39999999997</v>
      </c>
      <c r="H1839" s="66">
        <f t="shared" si="253"/>
        <v>295763</v>
      </c>
      <c r="I1839" s="66">
        <f t="shared" si="253"/>
        <v>313509</v>
      </c>
      <c r="J1839" s="66">
        <f t="shared" si="253"/>
        <v>332319</v>
      </c>
      <c r="M1839" s="57"/>
    </row>
    <row r="1840" spans="1:13" ht="13.5" thickTop="1" x14ac:dyDescent="0.2">
      <c r="B1840" s="68"/>
      <c r="C1840" s="68"/>
      <c r="D1840" s="68"/>
      <c r="E1840" s="68"/>
      <c r="G1840" s="69"/>
      <c r="H1840" s="69"/>
      <c r="I1840" s="68"/>
      <c r="J1840" s="68"/>
      <c r="M1840" s="57"/>
    </row>
    <row r="1841" spans="1:13" x14ac:dyDescent="0.2">
      <c r="B1841" s="50" t="s">
        <v>4018</v>
      </c>
      <c r="C1841" s="50"/>
      <c r="D1841" s="50"/>
      <c r="E1841" s="50"/>
      <c r="G1841" s="69"/>
      <c r="H1841" s="69"/>
      <c r="I1841" s="50"/>
      <c r="J1841" s="50"/>
      <c r="M1841" s="57"/>
    </row>
    <row r="1842" spans="1:13" x14ac:dyDescent="0.2">
      <c r="B1842" s="50"/>
      <c r="C1842" s="50"/>
      <c r="D1842" s="50"/>
      <c r="E1842" s="50"/>
      <c r="G1842" s="69"/>
      <c r="H1842" s="69"/>
      <c r="I1842" s="50"/>
      <c r="J1842" s="50"/>
      <c r="M1842" s="57"/>
    </row>
    <row r="1843" spans="1:13" x14ac:dyDescent="0.2">
      <c r="B1843" s="58" t="s">
        <v>4019</v>
      </c>
      <c r="C1843" s="69"/>
      <c r="D1843" s="69"/>
      <c r="E1843" s="69"/>
      <c r="G1843" s="69"/>
      <c r="H1843" s="69"/>
      <c r="I1843" s="69"/>
      <c r="J1843" s="69"/>
      <c r="M1843" s="57"/>
    </row>
    <row r="1844" spans="1:13" x14ac:dyDescent="0.2">
      <c r="A1844" s="60">
        <v>1001</v>
      </c>
      <c r="B1844" s="70" t="s">
        <v>472</v>
      </c>
      <c r="C1844" s="69">
        <v>320618</v>
      </c>
      <c r="D1844" s="69">
        <v>386971</v>
      </c>
      <c r="E1844" s="69">
        <v>368925</v>
      </c>
      <c r="F1844" s="69">
        <v>243172</v>
      </c>
      <c r="G1844" s="69">
        <f t="shared" ref="G1844:G1856" si="254">F1844/$F$11*$G$11</f>
        <v>291806.40000000002</v>
      </c>
      <c r="H1844" s="69">
        <f>[3]Salary_Bdgt!$H$243</f>
        <v>494257</v>
      </c>
      <c r="I1844" s="69">
        <f t="shared" ref="I1844:J1856" si="255">ROUND(H1844*1.08,0)</f>
        <v>533798</v>
      </c>
      <c r="J1844" s="69">
        <f t="shared" si="255"/>
        <v>576502</v>
      </c>
      <c r="M1844" s="57"/>
    </row>
    <row r="1845" spans="1:13" x14ac:dyDescent="0.2">
      <c r="A1845" s="75">
        <v>1005</v>
      </c>
      <c r="B1845" s="70" t="s">
        <v>473</v>
      </c>
      <c r="C1845" s="69">
        <v>20216</v>
      </c>
      <c r="D1845" s="69">
        <v>12498</v>
      </c>
      <c r="E1845" s="69">
        <f>+D1845+7835</f>
        <v>20333</v>
      </c>
      <c r="F1845" s="69">
        <v>21432</v>
      </c>
      <c r="G1845" s="69">
        <f t="shared" si="254"/>
        <v>25718.399999999998</v>
      </c>
      <c r="H1845" s="69">
        <f>+[3]Salary_Bdgt!$L$243</f>
        <v>22486</v>
      </c>
      <c r="I1845" s="69">
        <f t="shared" si="255"/>
        <v>24285</v>
      </c>
      <c r="J1845" s="69">
        <f t="shared" si="255"/>
        <v>26228</v>
      </c>
      <c r="M1845" s="57"/>
    </row>
    <row r="1846" spans="1:13" x14ac:dyDescent="0.2">
      <c r="A1846" s="75">
        <v>1006</v>
      </c>
      <c r="B1846" s="70" t="s">
        <v>474</v>
      </c>
      <c r="C1846" s="69">
        <v>51536</v>
      </c>
      <c r="D1846" s="69">
        <v>27433</v>
      </c>
      <c r="E1846" s="69">
        <f>+D1846+10211</f>
        <v>37644</v>
      </c>
      <c r="F1846" s="69">
        <v>37287</v>
      </c>
      <c r="G1846" s="69">
        <f t="shared" si="254"/>
        <v>44744.399999999994</v>
      </c>
      <c r="H1846" s="69">
        <f>+[3]Salary_Bdgt!$N$243</f>
        <v>74562</v>
      </c>
      <c r="I1846" s="69">
        <f t="shared" si="255"/>
        <v>80527</v>
      </c>
      <c r="J1846" s="69">
        <f t="shared" si="255"/>
        <v>86969</v>
      </c>
      <c r="M1846" s="57"/>
    </row>
    <row r="1847" spans="1:13" x14ac:dyDescent="0.2">
      <c r="A1847" s="60">
        <v>1007</v>
      </c>
      <c r="B1847" s="70" t="s">
        <v>481</v>
      </c>
      <c r="C1847" s="69">
        <v>3505</v>
      </c>
      <c r="D1847" s="69">
        <v>5604</v>
      </c>
      <c r="E1847" s="69">
        <f>+D1847</f>
        <v>5604</v>
      </c>
      <c r="F1847" s="69">
        <v>2518</v>
      </c>
      <c r="G1847" s="69">
        <f t="shared" si="254"/>
        <v>3021.6000000000004</v>
      </c>
      <c r="H1847" s="69">
        <f>+[3]Salary_Bdgt!$I$243</f>
        <v>7062</v>
      </c>
      <c r="I1847" s="69">
        <f t="shared" si="255"/>
        <v>7627</v>
      </c>
      <c r="J1847" s="69">
        <f t="shared" si="255"/>
        <v>8237</v>
      </c>
      <c r="M1847" s="57"/>
    </row>
    <row r="1848" spans="1:13" x14ac:dyDescent="0.2">
      <c r="A1848" s="60">
        <v>1009</v>
      </c>
      <c r="B1848" s="70" t="s">
        <v>482</v>
      </c>
      <c r="C1848" s="69">
        <v>166</v>
      </c>
      <c r="D1848" s="69">
        <f>[2]Sal_RIA!$M$186</f>
        <v>154</v>
      </c>
      <c r="E1848" s="69">
        <f>+D1848</f>
        <v>154</v>
      </c>
      <c r="F1848" s="69">
        <v>116</v>
      </c>
      <c r="G1848" s="69">
        <f t="shared" si="254"/>
        <v>139.19999999999999</v>
      </c>
      <c r="H1848" s="69">
        <f>+[3]Salary_Bdgt!$M$243</f>
        <v>225</v>
      </c>
      <c r="I1848" s="69">
        <f t="shared" si="255"/>
        <v>243</v>
      </c>
      <c r="J1848" s="69">
        <f t="shared" si="255"/>
        <v>262</v>
      </c>
      <c r="M1848" s="57"/>
    </row>
    <row r="1849" spans="1:13" x14ac:dyDescent="0.2">
      <c r="A1849" s="75">
        <v>1010</v>
      </c>
      <c r="B1849" s="70" t="s">
        <v>28</v>
      </c>
      <c r="C1849" s="69">
        <v>24957</v>
      </c>
      <c r="D1849" s="69">
        <v>32248</v>
      </c>
      <c r="E1849" s="69">
        <f>+D1849</f>
        <v>32248</v>
      </c>
      <c r="F1849" s="69">
        <v>23277</v>
      </c>
      <c r="G1849" s="69">
        <f t="shared" si="254"/>
        <v>27932.399999999998</v>
      </c>
      <c r="H1849" s="69">
        <f>+[3]Salary_Bdgt!$Q$243</f>
        <v>41188</v>
      </c>
      <c r="I1849" s="69">
        <f t="shared" si="255"/>
        <v>44483</v>
      </c>
      <c r="J1849" s="69">
        <f t="shared" si="255"/>
        <v>48042</v>
      </c>
      <c r="M1849" s="57"/>
    </row>
    <row r="1850" spans="1:13" x14ac:dyDescent="0.2">
      <c r="A1850" s="75">
        <v>1011</v>
      </c>
      <c r="B1850" s="70" t="s">
        <v>4045</v>
      </c>
      <c r="C1850" s="69">
        <v>0</v>
      </c>
      <c r="D1850" s="69">
        <v>0</v>
      </c>
      <c r="E1850" s="69">
        <v>0</v>
      </c>
      <c r="F1850" s="69">
        <v>0</v>
      </c>
      <c r="G1850" s="69">
        <f t="shared" si="254"/>
        <v>0</v>
      </c>
      <c r="H1850" s="69">
        <f>+[3]Salary_Bdgt!$U$243</f>
        <v>0</v>
      </c>
      <c r="I1850" s="69">
        <f t="shared" si="255"/>
        <v>0</v>
      </c>
      <c r="J1850" s="69">
        <f t="shared" si="255"/>
        <v>0</v>
      </c>
      <c r="M1850" s="57"/>
    </row>
    <row r="1851" spans="1:13" x14ac:dyDescent="0.2">
      <c r="A1851" s="75">
        <v>1014</v>
      </c>
      <c r="B1851" s="70" t="s">
        <v>36</v>
      </c>
      <c r="C1851" s="69">
        <v>0</v>
      </c>
      <c r="D1851" s="69">
        <v>0</v>
      </c>
      <c r="E1851" s="69">
        <v>0</v>
      </c>
      <c r="F1851" s="69">
        <v>0</v>
      </c>
      <c r="G1851" s="69">
        <f t="shared" si="254"/>
        <v>0</v>
      </c>
      <c r="H1851" s="69">
        <f>+[3]Salary_Bdgt!$S$243</f>
        <v>0</v>
      </c>
      <c r="I1851" s="69">
        <f t="shared" si="255"/>
        <v>0</v>
      </c>
      <c r="J1851" s="69">
        <f t="shared" si="255"/>
        <v>0</v>
      </c>
      <c r="M1851" s="57"/>
    </row>
    <row r="1852" spans="1:13" x14ac:dyDescent="0.2">
      <c r="A1852" s="75">
        <v>1015</v>
      </c>
      <c r="B1852" s="70" t="s">
        <v>445</v>
      </c>
      <c r="C1852" s="69">
        <v>0</v>
      </c>
      <c r="D1852" s="69">
        <v>0</v>
      </c>
      <c r="E1852" s="69">
        <v>0</v>
      </c>
      <c r="F1852" s="69">
        <v>0</v>
      </c>
      <c r="G1852" s="69">
        <f t="shared" si="254"/>
        <v>0</v>
      </c>
      <c r="H1852" s="69">
        <f>+[3]Salary_Bdgt!$O$243+[3]Salary_Bdgt!$P$243+[3]Salary_Bdgt!$W$243</f>
        <v>0</v>
      </c>
      <c r="I1852" s="69">
        <f t="shared" si="255"/>
        <v>0</v>
      </c>
      <c r="J1852" s="69">
        <f t="shared" si="255"/>
        <v>0</v>
      </c>
      <c r="M1852" s="57"/>
    </row>
    <row r="1853" spans="1:13" x14ac:dyDescent="0.2">
      <c r="A1853" s="75">
        <v>1016</v>
      </c>
      <c r="B1853" s="70" t="s">
        <v>475</v>
      </c>
      <c r="C1853" s="69">
        <v>0</v>
      </c>
      <c r="D1853" s="69">
        <v>0</v>
      </c>
      <c r="E1853" s="69">
        <v>0</v>
      </c>
      <c r="F1853" s="69">
        <v>2107</v>
      </c>
      <c r="G1853" s="69">
        <f t="shared" si="254"/>
        <v>2528.3999999999996</v>
      </c>
      <c r="H1853" s="69">
        <f>+[3]Salary_Bdgt!$T$243+[3]Salary_Bdgt!$V$243</f>
        <v>138944</v>
      </c>
      <c r="I1853" s="69">
        <f t="shared" si="255"/>
        <v>150060</v>
      </c>
      <c r="J1853" s="69">
        <f t="shared" si="255"/>
        <v>162065</v>
      </c>
      <c r="M1853" s="57"/>
    </row>
    <row r="1854" spans="1:13" x14ac:dyDescent="0.2">
      <c r="A1854" s="75">
        <v>1017</v>
      </c>
      <c r="B1854" s="70" t="s">
        <v>4044</v>
      </c>
      <c r="C1854" s="69">
        <v>4065</v>
      </c>
      <c r="D1854" s="69">
        <v>8069</v>
      </c>
      <c r="E1854" s="69">
        <f>+D1854</f>
        <v>8069</v>
      </c>
      <c r="F1854" s="69">
        <v>1834</v>
      </c>
      <c r="G1854" s="69">
        <f t="shared" si="254"/>
        <v>2200.8000000000002</v>
      </c>
      <c r="H1854" s="69">
        <f>+[3]Salary_Bdgt!$J$243</f>
        <v>10305</v>
      </c>
      <c r="I1854" s="69">
        <f t="shared" si="255"/>
        <v>11129</v>
      </c>
      <c r="J1854" s="69">
        <f t="shared" si="255"/>
        <v>12019</v>
      </c>
      <c r="M1854" s="57"/>
    </row>
    <row r="1855" spans="1:13" x14ac:dyDescent="0.2">
      <c r="A1855" s="60">
        <v>1046</v>
      </c>
      <c r="B1855" s="70" t="s">
        <v>491</v>
      </c>
      <c r="C1855" s="69">
        <v>30000</v>
      </c>
      <c r="D1855" s="69">
        <v>33000</v>
      </c>
      <c r="E1855" s="69">
        <f>+D1855</f>
        <v>33000</v>
      </c>
      <c r="F1855" s="69">
        <v>25000</v>
      </c>
      <c r="G1855" s="69">
        <f t="shared" si="254"/>
        <v>30000</v>
      </c>
      <c r="H1855" s="69">
        <f>+[3]Salary_Bdgt!$R$243</f>
        <v>32400</v>
      </c>
      <c r="I1855" s="69">
        <f t="shared" si="255"/>
        <v>34992</v>
      </c>
      <c r="J1855" s="69">
        <f t="shared" si="255"/>
        <v>37791</v>
      </c>
      <c r="M1855" s="57"/>
    </row>
    <row r="1856" spans="1:13" x14ac:dyDescent="0.2">
      <c r="A1856" s="75">
        <v>1182</v>
      </c>
      <c r="B1856" s="71" t="s">
        <v>1065</v>
      </c>
      <c r="C1856" s="56">
        <v>3244</v>
      </c>
      <c r="D1856" s="56">
        <v>7505</v>
      </c>
      <c r="E1856" s="56">
        <f>+D1856</f>
        <v>7505</v>
      </c>
      <c r="F1856" s="56">
        <v>0</v>
      </c>
      <c r="G1856" s="56">
        <f t="shared" si="254"/>
        <v>0</v>
      </c>
      <c r="H1856" s="56">
        <f>+[3]Salary_Bdgt!$K$243</f>
        <v>9584</v>
      </c>
      <c r="I1856" s="56">
        <f t="shared" si="255"/>
        <v>10351</v>
      </c>
      <c r="J1856" s="56">
        <f t="shared" si="255"/>
        <v>11179</v>
      </c>
      <c r="M1856" s="57"/>
    </row>
    <row r="1857" spans="1:13" x14ac:dyDescent="0.2">
      <c r="B1857" s="58" t="s">
        <v>416</v>
      </c>
      <c r="C1857" s="72">
        <f t="shared" ref="C1857:J1857" si="256">SUM(C1844:C1856)</f>
        <v>458307</v>
      </c>
      <c r="D1857" s="72">
        <f t="shared" si="256"/>
        <v>513482</v>
      </c>
      <c r="E1857" s="72">
        <f t="shared" si="256"/>
        <v>513482</v>
      </c>
      <c r="F1857" s="72">
        <f t="shared" si="256"/>
        <v>356743</v>
      </c>
      <c r="G1857" s="72">
        <f t="shared" si="256"/>
        <v>428091.60000000009</v>
      </c>
      <c r="H1857" s="72">
        <f t="shared" si="256"/>
        <v>831013</v>
      </c>
      <c r="I1857" s="72">
        <f t="shared" si="256"/>
        <v>897495</v>
      </c>
      <c r="J1857" s="72">
        <f t="shared" si="256"/>
        <v>969294</v>
      </c>
      <c r="M1857" s="57"/>
    </row>
    <row r="1858" spans="1:13" x14ac:dyDescent="0.2">
      <c r="B1858" s="58"/>
      <c r="C1858" s="69"/>
      <c r="D1858" s="69"/>
      <c r="E1858" s="69"/>
      <c r="F1858" s="24"/>
      <c r="G1858" s="69"/>
      <c r="H1858" s="69"/>
      <c r="I1858" s="69"/>
      <c r="J1858" s="69"/>
      <c r="M1858" s="57"/>
    </row>
    <row r="1859" spans="1:13" x14ac:dyDescent="0.2">
      <c r="B1859" s="58" t="s">
        <v>4021</v>
      </c>
      <c r="C1859" s="69"/>
      <c r="D1859" s="69"/>
      <c r="E1859" s="69"/>
      <c r="G1859" s="69"/>
      <c r="H1859" s="69"/>
      <c r="I1859" s="69"/>
      <c r="J1859" s="69"/>
      <c r="M1859" s="57"/>
    </row>
    <row r="1860" spans="1:13" x14ac:dyDescent="0.2">
      <c r="A1860" s="75">
        <v>3207</v>
      </c>
      <c r="B1860" s="71" t="s">
        <v>4046</v>
      </c>
      <c r="C1860" s="56">
        <v>0</v>
      </c>
      <c r="D1860" s="56">
        <v>1050</v>
      </c>
      <c r="E1860" s="56">
        <v>1050</v>
      </c>
      <c r="F1860" s="56">
        <v>0</v>
      </c>
      <c r="G1860" s="56">
        <f>F1860/$F$11*$G$11</f>
        <v>0</v>
      </c>
      <c r="H1860" s="56">
        <f>ROUND(E1860*1.05,0)</f>
        <v>1103</v>
      </c>
      <c r="I1860" s="56">
        <f>ROUND(H1860*1.06,0)</f>
        <v>1169</v>
      </c>
      <c r="J1860" s="56">
        <f>ROUND(I1860*1.06,0)</f>
        <v>1239</v>
      </c>
      <c r="M1860" s="57"/>
    </row>
    <row r="1861" spans="1:13" x14ac:dyDescent="0.2">
      <c r="B1861" s="58" t="s">
        <v>417</v>
      </c>
      <c r="C1861" s="72">
        <f>SUM(C1860:C1860)</f>
        <v>0</v>
      </c>
      <c r="D1861" s="72">
        <f t="shared" ref="D1861:J1861" si="257">SUM(D1860:D1860)</f>
        <v>1050</v>
      </c>
      <c r="E1861" s="72">
        <f t="shared" si="257"/>
        <v>1050</v>
      </c>
      <c r="F1861" s="72">
        <f t="shared" si="257"/>
        <v>0</v>
      </c>
      <c r="G1861" s="72">
        <f t="shared" si="257"/>
        <v>0</v>
      </c>
      <c r="H1861" s="72">
        <f t="shared" si="257"/>
        <v>1103</v>
      </c>
      <c r="I1861" s="72">
        <f t="shared" si="257"/>
        <v>1169</v>
      </c>
      <c r="J1861" s="72">
        <f t="shared" si="257"/>
        <v>1239</v>
      </c>
      <c r="M1861" s="57"/>
    </row>
    <row r="1862" spans="1:13" x14ac:dyDescent="0.2">
      <c r="B1862" s="58"/>
      <c r="C1862" s="69"/>
      <c r="D1862" s="69"/>
      <c r="E1862" s="69"/>
      <c r="G1862" s="69"/>
      <c r="H1862" s="69"/>
      <c r="I1862" s="69"/>
      <c r="J1862" s="69"/>
      <c r="M1862" s="57"/>
    </row>
    <row r="1863" spans="1:13" x14ac:dyDescent="0.2">
      <c r="B1863" s="58" t="s">
        <v>435</v>
      </c>
      <c r="C1863" s="69"/>
      <c r="D1863" s="69"/>
      <c r="E1863" s="69"/>
      <c r="G1863" s="69"/>
      <c r="H1863" s="69"/>
      <c r="I1863" s="69"/>
      <c r="J1863" s="69"/>
      <c r="M1863" s="57"/>
    </row>
    <row r="1864" spans="1:13" x14ac:dyDescent="0.2">
      <c r="A1864" s="60">
        <v>2113</v>
      </c>
      <c r="B1864" s="70" t="s">
        <v>21</v>
      </c>
      <c r="C1864" s="69">
        <v>0</v>
      </c>
      <c r="D1864" s="69">
        <v>5250</v>
      </c>
      <c r="E1864" s="69">
        <f>5250</f>
        <v>5250</v>
      </c>
      <c r="F1864" s="69">
        <v>193</v>
      </c>
      <c r="G1864" s="69">
        <f t="shared" ref="G1864:G1871" si="258">F1864/$F$11*$G$11</f>
        <v>231.60000000000002</v>
      </c>
      <c r="H1864" s="69">
        <f>ROUND(E1864*1.05,0)</f>
        <v>5513</v>
      </c>
      <c r="I1864" s="69">
        <f t="shared" ref="I1864:J1871" si="259">ROUND(H1864*1.06,0)</f>
        <v>5844</v>
      </c>
      <c r="J1864" s="69">
        <f t="shared" si="259"/>
        <v>6195</v>
      </c>
      <c r="M1864" s="57"/>
    </row>
    <row r="1865" spans="1:13" x14ac:dyDescent="0.2">
      <c r="A1865" s="60">
        <v>2104</v>
      </c>
      <c r="B1865" s="70" t="s">
        <v>2414</v>
      </c>
      <c r="C1865" s="69">
        <v>6400</v>
      </c>
      <c r="D1865" s="69">
        <v>0</v>
      </c>
      <c r="E1865" s="69">
        <v>0</v>
      </c>
      <c r="F1865" s="69"/>
      <c r="G1865" s="69">
        <f t="shared" si="258"/>
        <v>0</v>
      </c>
      <c r="H1865" s="69">
        <f>ROUND(E1865*1.05,0)</f>
        <v>0</v>
      </c>
      <c r="I1865" s="69">
        <f t="shared" si="259"/>
        <v>0</v>
      </c>
      <c r="J1865" s="69">
        <f t="shared" si="259"/>
        <v>0</v>
      </c>
      <c r="M1865" s="57"/>
    </row>
    <row r="1866" spans="1:13" x14ac:dyDescent="0.2">
      <c r="A1866" s="60">
        <v>2212</v>
      </c>
      <c r="B1866" s="70" t="s">
        <v>488</v>
      </c>
      <c r="C1866" s="69">
        <v>0</v>
      </c>
      <c r="D1866" s="69">
        <v>1050</v>
      </c>
      <c r="E1866" s="69">
        <f>1050-1050</f>
        <v>0</v>
      </c>
      <c r="F1866" s="69">
        <v>0</v>
      </c>
      <c r="G1866" s="69">
        <f t="shared" si="258"/>
        <v>0</v>
      </c>
      <c r="H1866" s="69">
        <f>ROUND(E1866*1.05,0)</f>
        <v>0</v>
      </c>
      <c r="I1866" s="69">
        <f t="shared" si="259"/>
        <v>0</v>
      </c>
      <c r="J1866" s="69">
        <f t="shared" si="259"/>
        <v>0</v>
      </c>
      <c r="M1866" s="57"/>
    </row>
    <row r="1867" spans="1:13" x14ac:dyDescent="0.2">
      <c r="A1867" s="75">
        <v>2227</v>
      </c>
      <c r="B1867" s="70" t="s">
        <v>448</v>
      </c>
      <c r="C1867" s="69">
        <v>953</v>
      </c>
      <c r="D1867" s="69">
        <v>525</v>
      </c>
      <c r="E1867" s="69">
        <v>525</v>
      </c>
      <c r="F1867" s="69">
        <v>0</v>
      </c>
      <c r="G1867" s="69">
        <f t="shared" si="258"/>
        <v>0</v>
      </c>
      <c r="H1867" s="69">
        <f>ROUND(E1867*1.05,0)</f>
        <v>551</v>
      </c>
      <c r="I1867" s="69">
        <f t="shared" si="259"/>
        <v>584</v>
      </c>
      <c r="J1867" s="69">
        <f t="shared" si="259"/>
        <v>619</v>
      </c>
      <c r="M1867" s="57"/>
    </row>
    <row r="1868" spans="1:13" x14ac:dyDescent="0.2">
      <c r="A1868" s="60">
        <v>2233</v>
      </c>
      <c r="B1868" s="70" t="s">
        <v>497</v>
      </c>
      <c r="C1868" s="69">
        <v>200</v>
      </c>
      <c r="D1868" s="69">
        <v>5250</v>
      </c>
      <c r="E1868" s="69">
        <v>5250</v>
      </c>
      <c r="F1868" s="69">
        <v>0</v>
      </c>
      <c r="G1868" s="69">
        <f t="shared" si="258"/>
        <v>0</v>
      </c>
      <c r="H1868" s="69">
        <v>0</v>
      </c>
      <c r="I1868" s="69">
        <f t="shared" si="259"/>
        <v>0</v>
      </c>
      <c r="J1868" s="69">
        <f t="shared" si="259"/>
        <v>0</v>
      </c>
      <c r="M1868" s="57"/>
    </row>
    <row r="1869" spans="1:13" x14ac:dyDescent="0.2">
      <c r="A1869" s="60">
        <v>2238</v>
      </c>
      <c r="B1869" s="70" t="s">
        <v>479</v>
      </c>
      <c r="C1869" s="69">
        <v>3615</v>
      </c>
      <c r="D1869" s="69">
        <v>2100</v>
      </c>
      <c r="E1869" s="69">
        <v>2100</v>
      </c>
      <c r="F1869" s="69">
        <v>0</v>
      </c>
      <c r="G1869" s="69">
        <f t="shared" si="258"/>
        <v>0</v>
      </c>
      <c r="H1869" s="69">
        <f>ROUND(E1869*1.05,0)</f>
        <v>2205</v>
      </c>
      <c r="I1869" s="69">
        <f t="shared" si="259"/>
        <v>2337</v>
      </c>
      <c r="J1869" s="69">
        <f t="shared" si="259"/>
        <v>2477</v>
      </c>
      <c r="M1869" s="57"/>
    </row>
    <row r="1870" spans="1:13" s="9" customFormat="1" x14ac:dyDescent="0.2">
      <c r="A1870" s="60">
        <v>2246</v>
      </c>
      <c r="B1870" s="70" t="s">
        <v>2422</v>
      </c>
      <c r="C1870" s="69">
        <v>5597</v>
      </c>
      <c r="D1870" s="69">
        <v>5250</v>
      </c>
      <c r="E1870" s="69">
        <f>5250+1050+4315</f>
        <v>10615</v>
      </c>
      <c r="F1870" s="69">
        <v>21837</v>
      </c>
      <c r="G1870" s="69">
        <f t="shared" si="258"/>
        <v>26204.399999999998</v>
      </c>
      <c r="H1870" s="69">
        <f>ROUND(E1870*1.05,0)</f>
        <v>11146</v>
      </c>
      <c r="I1870" s="69">
        <f t="shared" si="259"/>
        <v>11815</v>
      </c>
      <c r="J1870" s="69">
        <f t="shared" si="259"/>
        <v>12524</v>
      </c>
      <c r="M1870" s="57"/>
    </row>
    <row r="1871" spans="1:13" s="9" customFormat="1" x14ac:dyDescent="0.2">
      <c r="A1871" s="75">
        <v>2305</v>
      </c>
      <c r="B1871" s="71" t="s">
        <v>31</v>
      </c>
      <c r="C1871" s="56">
        <v>84</v>
      </c>
      <c r="D1871" s="56">
        <v>1050</v>
      </c>
      <c r="E1871" s="56">
        <v>1050</v>
      </c>
      <c r="F1871" s="56">
        <v>31</v>
      </c>
      <c r="G1871" s="56">
        <f t="shared" si="258"/>
        <v>37.200000000000003</v>
      </c>
      <c r="H1871" s="56">
        <f>ROUND(E1871*1.05,0)</f>
        <v>1103</v>
      </c>
      <c r="I1871" s="56">
        <f t="shared" si="259"/>
        <v>1169</v>
      </c>
      <c r="J1871" s="56">
        <f t="shared" si="259"/>
        <v>1239</v>
      </c>
      <c r="M1871" s="57"/>
    </row>
    <row r="1872" spans="1:13" s="9" customFormat="1" x14ac:dyDescent="0.2">
      <c r="A1872" s="37"/>
      <c r="B1872" s="58" t="s">
        <v>436</v>
      </c>
      <c r="C1872" s="72">
        <f t="shared" ref="C1872:J1872" si="260">SUM(C1864:C1871)</f>
        <v>16849</v>
      </c>
      <c r="D1872" s="72">
        <f t="shared" si="260"/>
        <v>20475</v>
      </c>
      <c r="E1872" s="72">
        <f t="shared" si="260"/>
        <v>24790</v>
      </c>
      <c r="F1872" s="72">
        <f t="shared" si="260"/>
        <v>22061</v>
      </c>
      <c r="G1872" s="72">
        <f t="shared" si="260"/>
        <v>26473.199999999997</v>
      </c>
      <c r="H1872" s="72">
        <f t="shared" si="260"/>
        <v>20518</v>
      </c>
      <c r="I1872" s="72">
        <f t="shared" si="260"/>
        <v>21749</v>
      </c>
      <c r="J1872" s="72">
        <f t="shared" si="260"/>
        <v>23054</v>
      </c>
      <c r="M1872" s="57"/>
    </row>
    <row r="1873" spans="1:13" s="9" customFormat="1" x14ac:dyDescent="0.2">
      <c r="A1873" s="37"/>
      <c r="B1873" s="61"/>
      <c r="C1873" s="97"/>
      <c r="D1873" s="97"/>
      <c r="E1873" s="97"/>
      <c r="F1873" s="97"/>
      <c r="G1873" s="97"/>
      <c r="H1873" s="97"/>
      <c r="I1873" s="97"/>
      <c r="J1873" s="97"/>
      <c r="M1873" s="57"/>
    </row>
    <row r="1874" spans="1:13" x14ac:dyDescent="0.2">
      <c r="B1874" s="58" t="s">
        <v>4055</v>
      </c>
      <c r="C1874" s="73">
        <f t="shared" ref="C1874:J1874" si="261">C1857+C1861+C1872</f>
        <v>475156</v>
      </c>
      <c r="D1874" s="73">
        <f t="shared" si="261"/>
        <v>535007</v>
      </c>
      <c r="E1874" s="73">
        <f t="shared" si="261"/>
        <v>539322</v>
      </c>
      <c r="F1874" s="73">
        <f t="shared" si="261"/>
        <v>378804</v>
      </c>
      <c r="G1874" s="73">
        <f t="shared" si="261"/>
        <v>454564.8000000001</v>
      </c>
      <c r="H1874" s="73">
        <f t="shared" si="261"/>
        <v>852634</v>
      </c>
      <c r="I1874" s="73">
        <f t="shared" si="261"/>
        <v>920413</v>
      </c>
      <c r="J1874" s="73">
        <f t="shared" si="261"/>
        <v>993587</v>
      </c>
      <c r="M1874" s="57"/>
    </row>
    <row r="1875" spans="1:13" x14ac:dyDescent="0.2">
      <c r="B1875" s="58"/>
      <c r="C1875" s="73"/>
      <c r="D1875" s="73"/>
      <c r="E1875" s="73"/>
      <c r="G1875" s="69"/>
      <c r="H1875" s="69"/>
      <c r="I1875" s="73"/>
      <c r="J1875" s="73"/>
      <c r="M1875" s="57"/>
    </row>
    <row r="1876" spans="1:13" x14ac:dyDescent="0.2">
      <c r="B1876" s="58" t="s">
        <v>418</v>
      </c>
      <c r="C1876" s="96"/>
      <c r="D1876" s="96"/>
      <c r="E1876" s="96"/>
      <c r="G1876" s="69"/>
      <c r="H1876" s="69"/>
      <c r="I1876" s="96"/>
      <c r="J1876" s="96"/>
      <c r="M1876" s="57"/>
    </row>
    <row r="1877" spans="1:13" x14ac:dyDescent="0.2">
      <c r="A1877" s="101">
        <v>4204</v>
      </c>
      <c r="B1877" s="70" t="s">
        <v>4058</v>
      </c>
      <c r="C1877" s="96">
        <v>14219</v>
      </c>
      <c r="D1877" s="69">
        <v>7515</v>
      </c>
      <c r="E1877" s="69">
        <v>7515</v>
      </c>
      <c r="F1877" s="69">
        <f>4502-4502</f>
        <v>0</v>
      </c>
      <c r="G1877" s="69">
        <f>F1877/$F$11*$G$11</f>
        <v>0</v>
      </c>
      <c r="H1877" s="69">
        <f>ROUND(E1877*1.08,0)</f>
        <v>8116</v>
      </c>
      <c r="I1877" s="69">
        <f>ROUND(H1877*1.08,0)</f>
        <v>8765</v>
      </c>
      <c r="J1877" s="69">
        <f>ROUND(I1877*1.08,0)</f>
        <v>9466</v>
      </c>
      <c r="M1877" s="57"/>
    </row>
    <row r="1878" spans="1:13" x14ac:dyDescent="0.2">
      <c r="A1878" s="101">
        <v>4202</v>
      </c>
      <c r="B1878" s="70" t="s">
        <v>2401</v>
      </c>
      <c r="C1878" s="96">
        <v>32043</v>
      </c>
      <c r="D1878" s="69">
        <v>0</v>
      </c>
      <c r="E1878" s="69">
        <v>0</v>
      </c>
      <c r="F1878" s="69">
        <v>0</v>
      </c>
      <c r="G1878" s="69">
        <f>F1878/$F$11*$G$11</f>
        <v>0</v>
      </c>
      <c r="H1878" s="69">
        <f>ROUND(E1878*1.05,0)</f>
        <v>0</v>
      </c>
      <c r="I1878" s="69">
        <f>ROUND(H1878*1.05,0)</f>
        <v>0</v>
      </c>
      <c r="J1878" s="69">
        <f>ROUND(I1878*1.05,0)</f>
        <v>0</v>
      </c>
      <c r="M1878" s="57"/>
    </row>
    <row r="1879" spans="1:13" x14ac:dyDescent="0.2">
      <c r="A1879" s="101">
        <v>4209</v>
      </c>
      <c r="B1879" s="70" t="s">
        <v>237</v>
      </c>
      <c r="C1879" s="96">
        <v>1978</v>
      </c>
      <c r="D1879" s="69">
        <v>0</v>
      </c>
      <c r="E1879" s="69">
        <v>0</v>
      </c>
      <c r="F1879" s="69">
        <v>0</v>
      </c>
      <c r="G1879" s="69">
        <f>F1879/$F$11*$G$11</f>
        <v>0</v>
      </c>
      <c r="H1879" s="69">
        <f>ROUND(E1879*1.05,0)</f>
        <v>0</v>
      </c>
      <c r="I1879" s="69">
        <f>ROUND(H1879*1.05,0)</f>
        <v>0</v>
      </c>
      <c r="J1879" s="69">
        <f>ROUND(I1879*1.05,0)</f>
        <v>0</v>
      </c>
      <c r="M1879" s="57"/>
    </row>
    <row r="1880" spans="1:13" x14ac:dyDescent="0.2">
      <c r="A1880" s="101">
        <v>4207</v>
      </c>
      <c r="B1880" s="71" t="s">
        <v>222</v>
      </c>
      <c r="C1880" s="105">
        <v>15063</v>
      </c>
      <c r="D1880" s="56">
        <v>3928</v>
      </c>
      <c r="E1880" s="56">
        <v>3928</v>
      </c>
      <c r="F1880" s="56">
        <v>0</v>
      </c>
      <c r="G1880" s="56">
        <f>F1880/$F$11*$G$11</f>
        <v>0</v>
      </c>
      <c r="H1880" s="56">
        <f>ROUND(E1880*1.08,0)</f>
        <v>4242</v>
      </c>
      <c r="I1880" s="56">
        <f>ROUND(H1880*1.08,0)</f>
        <v>4581</v>
      </c>
      <c r="J1880" s="56">
        <f>ROUND(I1880*1.08,0)</f>
        <v>4947</v>
      </c>
      <c r="M1880" s="57"/>
    </row>
    <row r="1881" spans="1:13" x14ac:dyDescent="0.2">
      <c r="B1881" s="58" t="s">
        <v>419</v>
      </c>
      <c r="C1881" s="72">
        <f t="shared" ref="C1881:J1881" si="262">SUM(C1877:C1880)</f>
        <v>63303</v>
      </c>
      <c r="D1881" s="72">
        <f t="shared" si="262"/>
        <v>11443</v>
      </c>
      <c r="E1881" s="72">
        <f t="shared" si="262"/>
        <v>11443</v>
      </c>
      <c r="F1881" s="72">
        <f t="shared" si="262"/>
        <v>0</v>
      </c>
      <c r="G1881" s="72">
        <f t="shared" si="262"/>
        <v>0</v>
      </c>
      <c r="H1881" s="72">
        <f t="shared" si="262"/>
        <v>12358</v>
      </c>
      <c r="I1881" s="72">
        <f t="shared" si="262"/>
        <v>13346</v>
      </c>
      <c r="J1881" s="72">
        <f t="shared" si="262"/>
        <v>14413</v>
      </c>
      <c r="M1881" s="57"/>
    </row>
    <row r="1882" spans="1:13" x14ac:dyDescent="0.2">
      <c r="B1882" s="58"/>
      <c r="C1882" s="96"/>
      <c r="D1882" s="96"/>
      <c r="E1882" s="96"/>
      <c r="F1882" s="96"/>
      <c r="G1882" s="96"/>
      <c r="H1882" s="96"/>
      <c r="I1882" s="96"/>
      <c r="J1882" s="96"/>
      <c r="M1882" s="57"/>
    </row>
    <row r="1883" spans="1:13" ht="13.5" thickBot="1" x14ac:dyDescent="0.25">
      <c r="B1883" s="65" t="s">
        <v>4033</v>
      </c>
      <c r="C1883" s="76">
        <f t="shared" ref="C1883:J1883" si="263">C1874+C1881</f>
        <v>538459</v>
      </c>
      <c r="D1883" s="76">
        <f t="shared" si="263"/>
        <v>546450</v>
      </c>
      <c r="E1883" s="76">
        <f t="shared" si="263"/>
        <v>550765</v>
      </c>
      <c r="F1883" s="76">
        <f t="shared" si="263"/>
        <v>378804</v>
      </c>
      <c r="G1883" s="76">
        <f t="shared" si="263"/>
        <v>454564.8000000001</v>
      </c>
      <c r="H1883" s="76">
        <f t="shared" si="263"/>
        <v>864992</v>
      </c>
      <c r="I1883" s="76">
        <f t="shared" si="263"/>
        <v>933759</v>
      </c>
      <c r="J1883" s="76">
        <f t="shared" si="263"/>
        <v>1008000</v>
      </c>
      <c r="M1883" s="57"/>
    </row>
    <row r="1884" spans="1:13" ht="13.5" thickTop="1" x14ac:dyDescent="0.2">
      <c r="B1884" s="58"/>
      <c r="C1884" s="72"/>
      <c r="D1884" s="72"/>
      <c r="E1884" s="72"/>
      <c r="F1884" s="72"/>
      <c r="G1884" s="72"/>
      <c r="H1884" s="72"/>
      <c r="I1884" s="72"/>
      <c r="J1884" s="72"/>
      <c r="M1884" s="57"/>
    </row>
    <row r="1885" spans="1:13" ht="13.5" thickBot="1" x14ac:dyDescent="0.25">
      <c r="B1885" s="65" t="s">
        <v>4059</v>
      </c>
      <c r="C1885" s="77">
        <f t="shared" ref="C1885:J1885" si="264">C1839-C1883</f>
        <v>-340702</v>
      </c>
      <c r="D1885" s="77">
        <f t="shared" si="264"/>
        <v>-308982</v>
      </c>
      <c r="E1885" s="77">
        <f t="shared" si="264"/>
        <v>-313297</v>
      </c>
      <c r="F1885" s="77">
        <f t="shared" si="264"/>
        <v>-167662</v>
      </c>
      <c r="G1885" s="77">
        <f t="shared" si="264"/>
        <v>-201194.40000000014</v>
      </c>
      <c r="H1885" s="77">
        <f t="shared" si="264"/>
        <v>-569229</v>
      </c>
      <c r="I1885" s="77">
        <f t="shared" si="264"/>
        <v>-620250</v>
      </c>
      <c r="J1885" s="77">
        <f t="shared" si="264"/>
        <v>-675681</v>
      </c>
      <c r="M1885" s="57"/>
    </row>
    <row r="1886" spans="1:13" ht="13.5" thickTop="1" x14ac:dyDescent="0.2">
      <c r="B1886" s="58"/>
      <c r="C1886" s="78"/>
      <c r="D1886" s="78"/>
      <c r="E1886" s="78"/>
      <c r="G1886" s="69"/>
      <c r="H1886" s="69"/>
      <c r="I1886" s="78"/>
      <c r="J1886" s="78"/>
      <c r="M1886" s="57"/>
    </row>
    <row r="1887" spans="1:13" x14ac:dyDescent="0.2">
      <c r="C1887" s="117"/>
      <c r="G1887" s="69"/>
      <c r="H1887" s="69"/>
      <c r="M1887" s="57"/>
    </row>
    <row r="1888" spans="1:13" x14ac:dyDescent="0.2">
      <c r="C1888" s="117"/>
      <c r="G1888" s="69"/>
      <c r="H1888" s="69"/>
      <c r="M1888" s="57"/>
    </row>
    <row r="1889" spans="1:13" x14ac:dyDescent="0.2">
      <c r="C1889" s="117"/>
      <c r="G1889" s="69"/>
      <c r="H1889" s="69"/>
      <c r="M1889" s="57"/>
    </row>
    <row r="1890" spans="1:13" x14ac:dyDescent="0.2">
      <c r="C1890" s="117"/>
      <c r="G1890" s="69"/>
      <c r="H1890" s="69"/>
      <c r="M1890" s="57"/>
    </row>
    <row r="1891" spans="1:13" x14ac:dyDescent="0.2">
      <c r="C1891" s="117"/>
      <c r="G1891" s="69"/>
      <c r="H1891" s="69"/>
      <c r="M1891" s="57"/>
    </row>
    <row r="1892" spans="1:13" x14ac:dyDescent="0.2">
      <c r="C1892" s="117"/>
      <c r="G1892" s="69"/>
      <c r="H1892" s="69"/>
      <c r="M1892" s="57"/>
    </row>
    <row r="1893" spans="1:13" x14ac:dyDescent="0.2">
      <c r="C1893" s="117"/>
      <c r="G1893" s="69"/>
      <c r="H1893" s="69"/>
      <c r="M1893" s="57"/>
    </row>
    <row r="1894" spans="1:13" x14ac:dyDescent="0.2">
      <c r="C1894" s="117"/>
      <c r="G1894" s="69"/>
      <c r="H1894" s="69"/>
      <c r="M1894" s="57"/>
    </row>
    <row r="1895" spans="1:13" x14ac:dyDescent="0.2">
      <c r="C1895" s="117"/>
      <c r="G1895" s="69"/>
      <c r="H1895" s="69"/>
      <c r="M1895" s="57"/>
    </row>
    <row r="1896" spans="1:13" x14ac:dyDescent="0.2">
      <c r="C1896" s="117"/>
      <c r="G1896" s="69"/>
      <c r="H1896" s="69"/>
      <c r="M1896" s="57"/>
    </row>
    <row r="1897" spans="1:13" x14ac:dyDescent="0.2">
      <c r="C1897" s="117"/>
      <c r="G1897" s="69"/>
      <c r="H1897" s="69"/>
      <c r="M1897" s="57"/>
    </row>
    <row r="1898" spans="1:13" x14ac:dyDescent="0.2">
      <c r="G1898" s="69"/>
      <c r="H1898" s="69"/>
      <c r="M1898" s="57"/>
    </row>
    <row r="1899" spans="1:13" x14ac:dyDescent="0.2">
      <c r="A1899" s="6"/>
      <c r="B1899" s="6"/>
      <c r="C1899" s="6"/>
      <c r="D1899" s="6"/>
      <c r="E1899" s="6"/>
      <c r="G1899" s="69"/>
      <c r="H1899" s="69"/>
      <c r="I1899" s="6"/>
      <c r="J1899" s="6"/>
      <c r="M1899" s="57"/>
    </row>
    <row r="1900" spans="1:13" x14ac:dyDescent="0.2">
      <c r="A1900" s="6"/>
      <c r="B1900" s="6"/>
      <c r="C1900" s="6"/>
      <c r="D1900" s="6"/>
      <c r="E1900" s="6"/>
      <c r="G1900" s="69"/>
      <c r="H1900" s="69"/>
      <c r="I1900" s="6"/>
      <c r="J1900" s="6"/>
      <c r="M1900" s="57"/>
    </row>
    <row r="1901" spans="1:13" x14ac:dyDescent="0.2">
      <c r="A1901" s="6"/>
      <c r="B1901" s="6"/>
      <c r="C1901" s="6"/>
      <c r="D1901" s="6"/>
      <c r="E1901" s="6"/>
      <c r="G1901" s="69"/>
      <c r="H1901" s="69"/>
      <c r="I1901" s="6"/>
      <c r="J1901" s="6"/>
      <c r="M1901" s="57"/>
    </row>
    <row r="1902" spans="1:13" x14ac:dyDescent="0.2">
      <c r="A1902" s="6"/>
      <c r="B1902" s="6"/>
      <c r="C1902" s="6"/>
      <c r="D1902" s="6"/>
      <c r="E1902" s="6"/>
      <c r="G1902" s="69"/>
      <c r="H1902" s="69"/>
      <c r="I1902" s="6"/>
      <c r="J1902" s="6"/>
      <c r="M1902" s="57"/>
    </row>
    <row r="1903" spans="1:13" x14ac:dyDescent="0.2">
      <c r="A1903" s="6"/>
      <c r="B1903" s="6"/>
      <c r="C1903" s="6"/>
      <c r="D1903" s="6"/>
      <c r="E1903" s="6"/>
      <c r="G1903" s="69"/>
      <c r="H1903" s="69"/>
      <c r="I1903" s="6"/>
      <c r="J1903" s="6"/>
      <c r="M1903" s="57"/>
    </row>
    <row r="1904" spans="1:13" ht="15.75" x14ac:dyDescent="0.25">
      <c r="A1904" s="98">
        <v>1600</v>
      </c>
      <c r="B1904" s="118" t="s">
        <v>247</v>
      </c>
      <c r="G1904" s="69"/>
      <c r="H1904" s="69"/>
      <c r="M1904" s="57"/>
    </row>
    <row r="1905" spans="1:13" ht="15" x14ac:dyDescent="0.25">
      <c r="A1905" s="91">
        <v>1610</v>
      </c>
      <c r="B1905" s="48" t="s">
        <v>35</v>
      </c>
      <c r="C1905" s="48"/>
      <c r="D1905" s="48"/>
      <c r="E1905" s="48"/>
      <c r="F1905" s="24"/>
      <c r="G1905" s="69"/>
      <c r="H1905" s="69"/>
      <c r="M1905" s="57"/>
    </row>
    <row r="1906" spans="1:13" ht="15" x14ac:dyDescent="0.25">
      <c r="B1906" s="48"/>
      <c r="C1906" s="48"/>
      <c r="D1906" s="48"/>
      <c r="E1906" s="48"/>
      <c r="F1906" s="24"/>
      <c r="G1906" s="69"/>
      <c r="H1906" s="69"/>
      <c r="M1906" s="57"/>
    </row>
    <row r="1907" spans="1:13" x14ac:dyDescent="0.2">
      <c r="B1907" s="50" t="s">
        <v>61</v>
      </c>
      <c r="C1907" s="50"/>
      <c r="D1907" s="50"/>
      <c r="E1907" s="50"/>
      <c r="G1907" s="69"/>
      <c r="H1907" s="69"/>
      <c r="M1907" s="57"/>
    </row>
    <row r="1908" spans="1:13" x14ac:dyDescent="0.2">
      <c r="B1908" s="46"/>
      <c r="C1908" s="46"/>
      <c r="D1908" s="121"/>
      <c r="E1908" s="121"/>
      <c r="G1908" s="69"/>
      <c r="H1908" s="69"/>
      <c r="M1908" s="57"/>
    </row>
    <row r="1909" spans="1:13" x14ac:dyDescent="0.2">
      <c r="B1909" s="58" t="s">
        <v>4007</v>
      </c>
      <c r="C1909" s="99"/>
      <c r="D1909" s="99"/>
      <c r="E1909" s="99"/>
      <c r="G1909" s="69"/>
      <c r="H1909" s="69"/>
      <c r="I1909" s="99"/>
      <c r="J1909" s="99"/>
      <c r="M1909" s="57"/>
    </row>
    <row r="1910" spans="1:13" x14ac:dyDescent="0.2">
      <c r="A1910" s="75">
        <v>5600</v>
      </c>
      <c r="B1910" s="71" t="s">
        <v>248</v>
      </c>
      <c r="C1910" s="56">
        <v>1033949</v>
      </c>
      <c r="D1910" s="56">
        <v>1360360</v>
      </c>
      <c r="E1910" s="56">
        <v>1360360</v>
      </c>
      <c r="F1910" s="56">
        <v>901572</v>
      </c>
      <c r="G1910" s="56">
        <f>F1910/$F$11*$G$11</f>
        <v>1081886.3999999999</v>
      </c>
      <c r="H1910" s="56">
        <v>1100000</v>
      </c>
      <c r="I1910" s="56">
        <f>ROUND(H1910*1.06,0)</f>
        <v>1166000</v>
      </c>
      <c r="J1910" s="56">
        <f>ROUND(I1910*1.06,0)</f>
        <v>1235960</v>
      </c>
      <c r="M1910" s="57"/>
    </row>
    <row r="1911" spans="1:13" x14ac:dyDescent="0.2">
      <c r="B1911" s="58" t="s">
        <v>437</v>
      </c>
      <c r="C1911" s="100">
        <f t="shared" ref="C1911:J1911" si="265">SUM(C1910)</f>
        <v>1033949</v>
      </c>
      <c r="D1911" s="100">
        <f t="shared" si="265"/>
        <v>1360360</v>
      </c>
      <c r="E1911" s="100">
        <f t="shared" si="265"/>
        <v>1360360</v>
      </c>
      <c r="F1911" s="100">
        <f t="shared" si="265"/>
        <v>901572</v>
      </c>
      <c r="G1911" s="100">
        <f t="shared" si="265"/>
        <v>1081886.3999999999</v>
      </c>
      <c r="H1911" s="100">
        <f t="shared" si="265"/>
        <v>1100000</v>
      </c>
      <c r="I1911" s="100">
        <f t="shared" si="265"/>
        <v>1166000</v>
      </c>
      <c r="J1911" s="100">
        <f t="shared" si="265"/>
        <v>1235960</v>
      </c>
      <c r="M1911" s="57"/>
    </row>
    <row r="1912" spans="1:13" x14ac:dyDescent="0.2">
      <c r="B1912" s="58"/>
      <c r="C1912" s="99"/>
      <c r="D1912" s="99"/>
      <c r="E1912" s="99"/>
      <c r="F1912" s="99"/>
      <c r="G1912" s="99"/>
      <c r="H1912" s="99"/>
      <c r="I1912" s="99"/>
      <c r="J1912" s="99"/>
      <c r="M1912" s="57"/>
    </row>
    <row r="1913" spans="1:13" ht="13.5" thickBot="1" x14ac:dyDescent="0.25">
      <c r="B1913" s="65" t="s">
        <v>4043</v>
      </c>
      <c r="C1913" s="66">
        <f t="shared" ref="C1913:J1913" si="266">+C1911</f>
        <v>1033949</v>
      </c>
      <c r="D1913" s="66">
        <f t="shared" si="266"/>
        <v>1360360</v>
      </c>
      <c r="E1913" s="66">
        <f t="shared" si="266"/>
        <v>1360360</v>
      </c>
      <c r="F1913" s="66">
        <f t="shared" si="266"/>
        <v>901572</v>
      </c>
      <c r="G1913" s="66">
        <f t="shared" si="266"/>
        <v>1081886.3999999999</v>
      </c>
      <c r="H1913" s="66">
        <f t="shared" si="266"/>
        <v>1100000</v>
      </c>
      <c r="I1913" s="66">
        <f t="shared" si="266"/>
        <v>1166000</v>
      </c>
      <c r="J1913" s="66">
        <f t="shared" si="266"/>
        <v>1235960</v>
      </c>
      <c r="M1913" s="57"/>
    </row>
    <row r="1914" spans="1:13" ht="13.5" thickTop="1" x14ac:dyDescent="0.2">
      <c r="B1914" s="68"/>
      <c r="C1914" s="68"/>
      <c r="D1914" s="68"/>
      <c r="E1914" s="68"/>
      <c r="G1914" s="69"/>
      <c r="H1914" s="69"/>
      <c r="I1914" s="68"/>
      <c r="J1914" s="68"/>
      <c r="M1914" s="57"/>
    </row>
    <row r="1915" spans="1:13" x14ac:dyDescent="0.2">
      <c r="B1915" s="50" t="s">
        <v>4018</v>
      </c>
      <c r="C1915" s="50"/>
      <c r="D1915" s="50"/>
      <c r="E1915" s="50"/>
      <c r="F1915" s="24"/>
      <c r="G1915" s="69"/>
      <c r="H1915" s="69"/>
      <c r="I1915" s="50"/>
      <c r="J1915" s="50"/>
      <c r="M1915" s="57"/>
    </row>
    <row r="1916" spans="1:13" x14ac:dyDescent="0.2">
      <c r="B1916" s="50"/>
      <c r="C1916" s="50"/>
      <c r="D1916" s="50"/>
      <c r="E1916" s="50"/>
      <c r="F1916" s="24"/>
      <c r="G1916" s="69"/>
      <c r="H1916" s="69"/>
      <c r="I1916" s="50"/>
      <c r="J1916" s="50"/>
      <c r="M1916" s="57"/>
    </row>
    <row r="1917" spans="1:13" x14ac:dyDescent="0.2">
      <c r="B1917" s="58" t="s">
        <v>4019</v>
      </c>
      <c r="C1917" s="69"/>
      <c r="D1917" s="69"/>
      <c r="E1917" s="69"/>
      <c r="F1917" s="24"/>
      <c r="G1917" s="69"/>
      <c r="H1917" s="69"/>
      <c r="I1917" s="69"/>
      <c r="J1917" s="69"/>
      <c r="M1917" s="57"/>
    </row>
    <row r="1918" spans="1:13" x14ac:dyDescent="0.2">
      <c r="A1918" s="60">
        <v>1001</v>
      </c>
      <c r="B1918" s="70" t="s">
        <v>472</v>
      </c>
      <c r="C1918" s="69">
        <v>246104</v>
      </c>
      <c r="D1918" s="69">
        <v>303890</v>
      </c>
      <c r="E1918" s="69">
        <v>295070</v>
      </c>
      <c r="F1918" s="69">
        <v>284957</v>
      </c>
      <c r="G1918" s="69">
        <f t="shared" ref="G1918:G1930" si="267">F1918/$F$11*$G$11</f>
        <v>341948.4</v>
      </c>
      <c r="H1918" s="69">
        <f>[3]Salary_Bdgt!$H$260</f>
        <v>360672</v>
      </c>
      <c r="I1918" s="69">
        <f t="shared" ref="I1918:J1930" si="268">ROUND(H1918*1.08,0)</f>
        <v>389526</v>
      </c>
      <c r="J1918" s="69">
        <f t="shared" si="268"/>
        <v>420688</v>
      </c>
      <c r="M1918" s="57"/>
    </row>
    <row r="1919" spans="1:13" x14ac:dyDescent="0.2">
      <c r="A1919" s="75">
        <v>1005</v>
      </c>
      <c r="B1919" s="70" t="s">
        <v>473</v>
      </c>
      <c r="C1919" s="69">
        <v>38814</v>
      </c>
      <c r="D1919" s="69">
        <v>39188</v>
      </c>
      <c r="E1919" s="69">
        <f>+D1919</f>
        <v>39188</v>
      </c>
      <c r="F1919" s="69">
        <v>39433</v>
      </c>
      <c r="G1919" s="69">
        <f t="shared" si="267"/>
        <v>47319.600000000006</v>
      </c>
      <c r="H1919" s="69">
        <f>+[3]Salary_Bdgt!$L$260</f>
        <v>56923</v>
      </c>
      <c r="I1919" s="69">
        <f t="shared" si="268"/>
        <v>61477</v>
      </c>
      <c r="J1919" s="69">
        <f t="shared" si="268"/>
        <v>66395</v>
      </c>
      <c r="M1919" s="57"/>
    </row>
    <row r="1920" spans="1:13" x14ac:dyDescent="0.2">
      <c r="A1920" s="75">
        <v>1006</v>
      </c>
      <c r="B1920" s="70" t="s">
        <v>474</v>
      </c>
      <c r="C1920" s="69">
        <v>47721</v>
      </c>
      <c r="D1920" s="69">
        <v>45250</v>
      </c>
      <c r="E1920" s="69">
        <f>+D1920+3379</f>
        <v>48629</v>
      </c>
      <c r="F1920" s="69">
        <v>45907</v>
      </c>
      <c r="G1920" s="69">
        <f t="shared" si="267"/>
        <v>55088.399999999994</v>
      </c>
      <c r="H1920" s="69">
        <f>+[3]Salary_Bdgt!$N$260</f>
        <v>34982</v>
      </c>
      <c r="I1920" s="69">
        <f t="shared" si="268"/>
        <v>37781</v>
      </c>
      <c r="J1920" s="69">
        <f t="shared" si="268"/>
        <v>40803</v>
      </c>
      <c r="M1920" s="57"/>
    </row>
    <row r="1921" spans="1:13" x14ac:dyDescent="0.2">
      <c r="A1921" s="60">
        <v>1007</v>
      </c>
      <c r="B1921" s="70" t="s">
        <v>481</v>
      </c>
      <c r="C1921" s="69">
        <v>3306</v>
      </c>
      <c r="D1921" s="69">
        <v>5144</v>
      </c>
      <c r="E1921" s="69">
        <f>+D1921</f>
        <v>5144</v>
      </c>
      <c r="F1921" s="69">
        <v>3883</v>
      </c>
      <c r="G1921" s="69">
        <f t="shared" si="267"/>
        <v>4659.6000000000004</v>
      </c>
      <c r="H1921" s="69">
        <f>+[3]Salary_Bdgt!$I$260</f>
        <v>6025</v>
      </c>
      <c r="I1921" s="69">
        <f t="shared" si="268"/>
        <v>6507</v>
      </c>
      <c r="J1921" s="69">
        <f t="shared" si="268"/>
        <v>7028</v>
      </c>
      <c r="M1921" s="57"/>
    </row>
    <row r="1922" spans="1:13" x14ac:dyDescent="0.2">
      <c r="A1922" s="60">
        <v>1009</v>
      </c>
      <c r="B1922" s="70" t="s">
        <v>482</v>
      </c>
      <c r="C1922" s="69">
        <v>159</v>
      </c>
      <c r="D1922" s="69">
        <f>[2]Sal_RIA!$M$196</f>
        <v>154</v>
      </c>
      <c r="E1922" s="69">
        <f>+D1922</f>
        <v>154</v>
      </c>
      <c r="F1922" s="69">
        <v>169</v>
      </c>
      <c r="G1922" s="69">
        <f t="shared" si="267"/>
        <v>202.79999999999998</v>
      </c>
      <c r="H1922" s="69">
        <f>+[3]Salary_Bdgt!$M$260</f>
        <v>180</v>
      </c>
      <c r="I1922" s="69">
        <f t="shared" si="268"/>
        <v>194</v>
      </c>
      <c r="J1922" s="69">
        <f t="shared" si="268"/>
        <v>210</v>
      </c>
      <c r="M1922" s="57"/>
    </row>
    <row r="1923" spans="1:13" x14ac:dyDescent="0.2">
      <c r="A1923" s="75">
        <v>1010</v>
      </c>
      <c r="B1923" s="70" t="s">
        <v>28</v>
      </c>
      <c r="C1923" s="69">
        <v>22506</v>
      </c>
      <c r="D1923" s="69">
        <v>25324</v>
      </c>
      <c r="E1923" s="69">
        <f>+D1923</f>
        <v>25324</v>
      </c>
      <c r="F1923" s="69">
        <v>26929</v>
      </c>
      <c r="G1923" s="69">
        <f t="shared" si="267"/>
        <v>32314.800000000003</v>
      </c>
      <c r="H1923" s="69">
        <f>+[3]Salary_Bdgt!$Q$260</f>
        <v>30056</v>
      </c>
      <c r="I1923" s="69">
        <f t="shared" si="268"/>
        <v>32460</v>
      </c>
      <c r="J1923" s="69">
        <f t="shared" si="268"/>
        <v>35057</v>
      </c>
      <c r="M1923" s="57"/>
    </row>
    <row r="1924" spans="1:13" x14ac:dyDescent="0.2">
      <c r="A1924" s="75">
        <v>1011</v>
      </c>
      <c r="B1924" s="70" t="s">
        <v>4045</v>
      </c>
      <c r="C1924" s="69">
        <v>2160</v>
      </c>
      <c r="D1924" s="69">
        <v>0</v>
      </c>
      <c r="E1924" s="69">
        <v>0</v>
      </c>
      <c r="F1924" s="69">
        <v>0</v>
      </c>
      <c r="G1924" s="69">
        <f t="shared" si="267"/>
        <v>0</v>
      </c>
      <c r="H1924" s="69">
        <f>+[3]Salary_Bdgt!$U$260</f>
        <v>0</v>
      </c>
      <c r="I1924" s="69">
        <f t="shared" si="268"/>
        <v>0</v>
      </c>
      <c r="J1924" s="69">
        <f t="shared" si="268"/>
        <v>0</v>
      </c>
      <c r="M1924" s="57"/>
    </row>
    <row r="1925" spans="1:13" x14ac:dyDescent="0.2">
      <c r="A1925" s="75">
        <v>1014</v>
      </c>
      <c r="B1925" s="70" t="s">
        <v>36</v>
      </c>
      <c r="C1925" s="69">
        <v>4773</v>
      </c>
      <c r="D1925" s="69">
        <v>0</v>
      </c>
      <c r="E1925" s="69">
        <v>3240</v>
      </c>
      <c r="F1925" s="69">
        <v>2871</v>
      </c>
      <c r="G1925" s="69">
        <f t="shared" si="267"/>
        <v>3445.2000000000003</v>
      </c>
      <c r="H1925" s="69">
        <f>+[3]Salary_Bdgt!$S$260</f>
        <v>2946</v>
      </c>
      <c r="I1925" s="69">
        <f t="shared" si="268"/>
        <v>3182</v>
      </c>
      <c r="J1925" s="69">
        <f t="shared" si="268"/>
        <v>3437</v>
      </c>
      <c r="M1925" s="57"/>
    </row>
    <row r="1926" spans="1:13" x14ac:dyDescent="0.2">
      <c r="A1926" s="60">
        <v>1015</v>
      </c>
      <c r="B1926" s="70" t="s">
        <v>445</v>
      </c>
      <c r="C1926" s="69">
        <v>32360</v>
      </c>
      <c r="D1926" s="69">
        <v>51157</v>
      </c>
      <c r="E1926" s="69">
        <f>+D1926</f>
        <v>51157</v>
      </c>
      <c r="F1926" s="69">
        <v>72449</v>
      </c>
      <c r="G1926" s="69">
        <f t="shared" si="267"/>
        <v>86938.799999999988</v>
      </c>
      <c r="H1926" s="69">
        <f>+[3]Salary_Bdgt!$O$260+[3]Salary_Bdgt!$P$260+[3]Salary_Bdgt!$W$260</f>
        <v>162958</v>
      </c>
      <c r="I1926" s="69">
        <f t="shared" si="268"/>
        <v>175995</v>
      </c>
      <c r="J1926" s="69">
        <f t="shared" si="268"/>
        <v>190075</v>
      </c>
      <c r="M1926" s="57"/>
    </row>
    <row r="1927" spans="1:13" x14ac:dyDescent="0.2">
      <c r="A1927" s="75">
        <v>1016</v>
      </c>
      <c r="B1927" s="70" t="s">
        <v>475</v>
      </c>
      <c r="C1927" s="69">
        <v>0</v>
      </c>
      <c r="D1927" s="69">
        <v>2376</v>
      </c>
      <c r="E1927" s="69">
        <f>+D1927+2201</f>
        <v>4577</v>
      </c>
      <c r="F1927" s="69">
        <f>180+4264</f>
        <v>4444</v>
      </c>
      <c r="G1927" s="69">
        <f t="shared" si="267"/>
        <v>5332.7999999999993</v>
      </c>
      <c r="H1927" s="69">
        <f>+[3]Salary_Bdgt!$T$260+[3]Salary_Bdgt!$V$260</f>
        <v>3862</v>
      </c>
      <c r="I1927" s="69">
        <f t="shared" si="268"/>
        <v>4171</v>
      </c>
      <c r="J1927" s="69">
        <f t="shared" si="268"/>
        <v>4505</v>
      </c>
      <c r="M1927" s="57"/>
    </row>
    <row r="1928" spans="1:13" x14ac:dyDescent="0.2">
      <c r="A1928" s="75">
        <v>1017</v>
      </c>
      <c r="B1928" s="70" t="s">
        <v>4044</v>
      </c>
      <c r="C1928" s="69">
        <v>3834</v>
      </c>
      <c r="D1928" s="69">
        <v>7112</v>
      </c>
      <c r="E1928" s="69">
        <f>+D1928</f>
        <v>7112</v>
      </c>
      <c r="F1928" s="69">
        <v>2643</v>
      </c>
      <c r="G1928" s="69">
        <f t="shared" si="267"/>
        <v>3171.6000000000004</v>
      </c>
      <c r="H1928" s="69">
        <f>+[3]Salary_Bdgt!$J$260</f>
        <v>7929</v>
      </c>
      <c r="I1928" s="69">
        <f t="shared" si="268"/>
        <v>8563</v>
      </c>
      <c r="J1928" s="69">
        <f t="shared" si="268"/>
        <v>9248</v>
      </c>
      <c r="M1928" s="57"/>
    </row>
    <row r="1929" spans="1:13" x14ac:dyDescent="0.2">
      <c r="A1929" s="75">
        <v>1046</v>
      </c>
      <c r="B1929" s="70" t="s">
        <v>491</v>
      </c>
      <c r="C1929" s="69">
        <v>67200</v>
      </c>
      <c r="D1929" s="69">
        <v>73920</v>
      </c>
      <c r="E1929" s="69">
        <f>+D1929</f>
        <v>73920</v>
      </c>
      <c r="F1929" s="69">
        <v>42000</v>
      </c>
      <c r="G1929" s="69">
        <f t="shared" si="267"/>
        <v>50400</v>
      </c>
      <c r="H1929" s="69">
        <f>+[3]Salary_Bdgt!$R$260</f>
        <v>36288</v>
      </c>
      <c r="I1929" s="69">
        <f t="shared" si="268"/>
        <v>39191</v>
      </c>
      <c r="J1929" s="69">
        <f t="shared" si="268"/>
        <v>42326</v>
      </c>
      <c r="M1929" s="57"/>
    </row>
    <row r="1930" spans="1:13" x14ac:dyDescent="0.2">
      <c r="A1930" s="75">
        <v>1182</v>
      </c>
      <c r="B1930" s="71" t="s">
        <v>1065</v>
      </c>
      <c r="C1930" s="56">
        <v>3311</v>
      </c>
      <c r="D1930" s="56">
        <v>6614</v>
      </c>
      <c r="E1930" s="56">
        <f>+D1930</f>
        <v>6614</v>
      </c>
      <c r="F1930" s="56">
        <v>0</v>
      </c>
      <c r="G1930" s="56">
        <f t="shared" si="267"/>
        <v>0</v>
      </c>
      <c r="H1930" s="56">
        <f>+[3]Salary_Bdgt!$K$260</f>
        <v>7374</v>
      </c>
      <c r="I1930" s="56">
        <f t="shared" si="268"/>
        <v>7964</v>
      </c>
      <c r="J1930" s="56">
        <f t="shared" si="268"/>
        <v>8601</v>
      </c>
      <c r="M1930" s="57"/>
    </row>
    <row r="1931" spans="1:13" x14ac:dyDescent="0.2">
      <c r="B1931" s="58" t="s">
        <v>416</v>
      </c>
      <c r="C1931" s="72">
        <f t="shared" ref="C1931:J1931" si="269">SUM(C1918:C1930)</f>
        <v>472248</v>
      </c>
      <c r="D1931" s="72">
        <f t="shared" si="269"/>
        <v>560129</v>
      </c>
      <c r="E1931" s="72">
        <f t="shared" si="269"/>
        <v>560129</v>
      </c>
      <c r="F1931" s="72">
        <f t="shared" si="269"/>
        <v>525685</v>
      </c>
      <c r="G1931" s="72">
        <f t="shared" si="269"/>
        <v>630822</v>
      </c>
      <c r="H1931" s="72">
        <f t="shared" si="269"/>
        <v>710195</v>
      </c>
      <c r="I1931" s="72">
        <f t="shared" si="269"/>
        <v>767011</v>
      </c>
      <c r="J1931" s="72">
        <f t="shared" si="269"/>
        <v>828373</v>
      </c>
      <c r="M1931" s="57"/>
    </row>
    <row r="1932" spans="1:13" x14ac:dyDescent="0.2">
      <c r="B1932" s="58"/>
      <c r="C1932" s="69"/>
      <c r="D1932" s="69"/>
      <c r="E1932" s="69"/>
      <c r="G1932" s="69"/>
      <c r="H1932" s="69"/>
      <c r="I1932" s="69"/>
      <c r="J1932" s="69"/>
      <c r="M1932" s="57"/>
    </row>
    <row r="1933" spans="1:13" x14ac:dyDescent="0.2">
      <c r="B1933" s="58" t="s">
        <v>4021</v>
      </c>
      <c r="C1933" s="69"/>
      <c r="D1933" s="69"/>
      <c r="E1933" s="69"/>
      <c r="F1933" s="24"/>
      <c r="G1933" s="69"/>
      <c r="H1933" s="69"/>
      <c r="I1933" s="69"/>
      <c r="J1933" s="69"/>
      <c r="M1933" s="57"/>
    </row>
    <row r="1934" spans="1:13" x14ac:dyDescent="0.2">
      <c r="A1934" s="75">
        <v>3206</v>
      </c>
      <c r="B1934" s="70" t="s">
        <v>39</v>
      </c>
      <c r="C1934" s="69">
        <v>5934</v>
      </c>
      <c r="D1934" s="69">
        <v>31500</v>
      </c>
      <c r="E1934" s="69">
        <v>31500</v>
      </c>
      <c r="F1934" s="69">
        <v>0</v>
      </c>
      <c r="G1934" s="69">
        <f>F1934/$F$11*$G$11</f>
        <v>0</v>
      </c>
      <c r="H1934" s="69">
        <f>ROUND(E1934*1.05,0)</f>
        <v>33075</v>
      </c>
      <c r="I1934" s="69">
        <f>ROUND(H1934*1.06,0)</f>
        <v>35060</v>
      </c>
      <c r="J1934" s="69">
        <f>ROUND(I1934*1.06,0)</f>
        <v>37164</v>
      </c>
      <c r="M1934" s="57"/>
    </row>
    <row r="1935" spans="1:13" x14ac:dyDescent="0.2">
      <c r="A1935" s="75">
        <v>3275</v>
      </c>
      <c r="B1935" s="71" t="s">
        <v>37</v>
      </c>
      <c r="C1935" s="56">
        <v>3730</v>
      </c>
      <c r="D1935" s="56">
        <v>200000</v>
      </c>
      <c r="E1935" s="56">
        <f>200000-50000</f>
        <v>150000</v>
      </c>
      <c r="F1935" s="56">
        <v>219298</v>
      </c>
      <c r="G1935" s="56">
        <f>F1935/$F$11*$G$11</f>
        <v>263157.59999999998</v>
      </c>
      <c r="H1935" s="56">
        <f>ROUND(E1935*1.05,0)</f>
        <v>157500</v>
      </c>
      <c r="I1935" s="56">
        <f>ROUND(H1935*1.06,0)</f>
        <v>166950</v>
      </c>
      <c r="J1935" s="56">
        <f>ROUND(I1935*1.06,0)</f>
        <v>176967</v>
      </c>
      <c r="M1935" s="57"/>
    </row>
    <row r="1936" spans="1:13" x14ac:dyDescent="0.2">
      <c r="B1936" s="58" t="s">
        <v>417</v>
      </c>
      <c r="C1936" s="72">
        <f>SUM(C1934:C1935)</f>
        <v>9664</v>
      </c>
      <c r="D1936" s="72">
        <f t="shared" ref="D1936:J1936" si="270">SUM(D1934:D1935)</f>
        <v>231500</v>
      </c>
      <c r="E1936" s="72">
        <f t="shared" si="270"/>
        <v>181500</v>
      </c>
      <c r="F1936" s="72">
        <f t="shared" si="270"/>
        <v>219298</v>
      </c>
      <c r="G1936" s="72">
        <f t="shared" si="270"/>
        <v>263157.59999999998</v>
      </c>
      <c r="H1936" s="72">
        <f t="shared" si="270"/>
        <v>190575</v>
      </c>
      <c r="I1936" s="72">
        <f t="shared" si="270"/>
        <v>202010</v>
      </c>
      <c r="J1936" s="72">
        <f t="shared" si="270"/>
        <v>214131</v>
      </c>
      <c r="M1936" s="57"/>
    </row>
    <row r="1937" spans="1:13" x14ac:dyDescent="0.2">
      <c r="B1937" s="58"/>
      <c r="C1937" s="69"/>
      <c r="D1937" s="69"/>
      <c r="E1937" s="69"/>
      <c r="G1937" s="69"/>
      <c r="H1937" s="69"/>
      <c r="I1937" s="69"/>
      <c r="J1937" s="69"/>
      <c r="M1937" s="57"/>
    </row>
    <row r="1938" spans="1:13" x14ac:dyDescent="0.2">
      <c r="B1938" s="58" t="s">
        <v>435</v>
      </c>
      <c r="C1938" s="69"/>
      <c r="D1938" s="69"/>
      <c r="E1938" s="69"/>
      <c r="G1938" s="69"/>
      <c r="H1938" s="69"/>
      <c r="I1938" s="69"/>
      <c r="J1938" s="69"/>
      <c r="M1938" s="57"/>
    </row>
    <row r="1939" spans="1:13" x14ac:dyDescent="0.2">
      <c r="A1939" s="75">
        <v>2104</v>
      </c>
      <c r="B1939" s="70" t="s">
        <v>2403</v>
      </c>
      <c r="C1939" s="69">
        <v>2154582</v>
      </c>
      <c r="D1939" s="69">
        <v>951300</v>
      </c>
      <c r="E1939" s="69">
        <v>951300</v>
      </c>
      <c r="F1939" s="69">
        <v>4431365</v>
      </c>
      <c r="G1939" s="69">
        <f t="shared" ref="G1939:G1952" si="271">F1939/$F$11*$G$11</f>
        <v>5317638</v>
      </c>
      <c r="H1939" s="69">
        <f t="shared" ref="H1939:H1945" si="272">ROUND(E1939*1.05,0)</f>
        <v>998865</v>
      </c>
      <c r="I1939" s="69">
        <f t="shared" ref="I1939:J1952" si="273">ROUND(H1939*1.06,0)</f>
        <v>1058797</v>
      </c>
      <c r="J1939" s="69">
        <f t="shared" si="273"/>
        <v>1122325</v>
      </c>
      <c r="M1939" s="57"/>
    </row>
    <row r="1940" spans="1:13" x14ac:dyDescent="0.2">
      <c r="A1940" s="75">
        <v>2113</v>
      </c>
      <c r="B1940" s="70" t="s">
        <v>21</v>
      </c>
      <c r="C1940" s="69">
        <v>6484</v>
      </c>
      <c r="D1940" s="69">
        <v>15750</v>
      </c>
      <c r="E1940" s="69">
        <v>15750</v>
      </c>
      <c r="F1940" s="69">
        <v>6066</v>
      </c>
      <c r="G1940" s="69">
        <f t="shared" si="271"/>
        <v>7279.2000000000007</v>
      </c>
      <c r="H1940" s="69">
        <f t="shared" si="272"/>
        <v>16538</v>
      </c>
      <c r="I1940" s="69">
        <f t="shared" si="273"/>
        <v>17530</v>
      </c>
      <c r="J1940" s="69">
        <f t="shared" si="273"/>
        <v>18582</v>
      </c>
      <c r="M1940" s="57"/>
    </row>
    <row r="1941" spans="1:13" x14ac:dyDescent="0.2">
      <c r="A1941" s="60">
        <v>2212</v>
      </c>
      <c r="B1941" s="70" t="s">
        <v>488</v>
      </c>
      <c r="C1941" s="69">
        <v>0</v>
      </c>
      <c r="D1941" s="69">
        <v>1050</v>
      </c>
      <c r="E1941" s="69">
        <v>1050</v>
      </c>
      <c r="F1941" s="69">
        <v>0</v>
      </c>
      <c r="G1941" s="69">
        <f t="shared" si="271"/>
        <v>0</v>
      </c>
      <c r="H1941" s="69">
        <f t="shared" si="272"/>
        <v>1103</v>
      </c>
      <c r="I1941" s="69">
        <f t="shared" si="273"/>
        <v>1169</v>
      </c>
      <c r="J1941" s="69">
        <f t="shared" si="273"/>
        <v>1239</v>
      </c>
      <c r="M1941" s="57"/>
    </row>
    <row r="1942" spans="1:13" x14ac:dyDescent="0.2">
      <c r="A1942" s="75">
        <v>2218</v>
      </c>
      <c r="B1942" s="70" t="s">
        <v>249</v>
      </c>
      <c r="C1942" s="69">
        <v>0</v>
      </c>
      <c r="D1942" s="69">
        <v>47250</v>
      </c>
      <c r="E1942" s="69">
        <v>47250</v>
      </c>
      <c r="F1942" s="69">
        <v>0</v>
      </c>
      <c r="G1942" s="69">
        <f t="shared" si="271"/>
        <v>0</v>
      </c>
      <c r="H1942" s="69">
        <f t="shared" si="272"/>
        <v>49613</v>
      </c>
      <c r="I1942" s="69">
        <f t="shared" si="273"/>
        <v>52590</v>
      </c>
      <c r="J1942" s="69">
        <f t="shared" si="273"/>
        <v>55745</v>
      </c>
      <c r="M1942" s="57"/>
    </row>
    <row r="1943" spans="1:13" x14ac:dyDescent="0.2">
      <c r="A1943" s="75">
        <v>2226</v>
      </c>
      <c r="B1943" s="70" t="s">
        <v>4051</v>
      </c>
      <c r="C1943" s="69">
        <v>3000</v>
      </c>
      <c r="D1943" s="69">
        <v>5000</v>
      </c>
      <c r="E1943" s="69">
        <v>5000</v>
      </c>
      <c r="F1943" s="69">
        <v>0</v>
      </c>
      <c r="G1943" s="69">
        <f t="shared" si="271"/>
        <v>0</v>
      </c>
      <c r="H1943" s="69">
        <f t="shared" si="272"/>
        <v>5250</v>
      </c>
      <c r="I1943" s="69">
        <f t="shared" si="273"/>
        <v>5565</v>
      </c>
      <c r="J1943" s="69">
        <f t="shared" si="273"/>
        <v>5899</v>
      </c>
      <c r="M1943" s="57"/>
    </row>
    <row r="1944" spans="1:13" x14ac:dyDescent="0.2">
      <c r="A1944" s="75">
        <v>2227</v>
      </c>
      <c r="B1944" s="70" t="s">
        <v>2413</v>
      </c>
      <c r="C1944" s="69">
        <v>316</v>
      </c>
      <c r="D1944" s="69">
        <v>0</v>
      </c>
      <c r="E1944" s="69">
        <v>0</v>
      </c>
      <c r="F1944" s="69">
        <v>0</v>
      </c>
      <c r="G1944" s="69">
        <f t="shared" si="271"/>
        <v>0</v>
      </c>
      <c r="H1944" s="69">
        <f t="shared" si="272"/>
        <v>0</v>
      </c>
      <c r="I1944" s="69">
        <f t="shared" si="273"/>
        <v>0</v>
      </c>
      <c r="J1944" s="69">
        <f t="shared" si="273"/>
        <v>0</v>
      </c>
      <c r="M1944" s="57"/>
    </row>
    <row r="1945" spans="1:13" x14ac:dyDescent="0.2">
      <c r="A1945" s="75">
        <v>2231</v>
      </c>
      <c r="B1945" s="70" t="s">
        <v>478</v>
      </c>
      <c r="C1945" s="69">
        <v>0</v>
      </c>
      <c r="D1945" s="69">
        <v>5250</v>
      </c>
      <c r="E1945" s="69">
        <v>5250</v>
      </c>
      <c r="F1945" s="69">
        <v>0</v>
      </c>
      <c r="G1945" s="69">
        <f t="shared" si="271"/>
        <v>0</v>
      </c>
      <c r="H1945" s="69">
        <f t="shared" si="272"/>
        <v>5513</v>
      </c>
      <c r="I1945" s="69">
        <f t="shared" si="273"/>
        <v>5844</v>
      </c>
      <c r="J1945" s="69">
        <f t="shared" si="273"/>
        <v>6195</v>
      </c>
      <c r="M1945" s="57"/>
    </row>
    <row r="1946" spans="1:13" x14ac:dyDescent="0.2">
      <c r="A1946" s="60">
        <v>2233</v>
      </c>
      <c r="B1946" s="70" t="s">
        <v>497</v>
      </c>
      <c r="C1946" s="69">
        <v>1280</v>
      </c>
      <c r="D1946" s="69">
        <v>10000</v>
      </c>
      <c r="E1946" s="69">
        <v>10000</v>
      </c>
      <c r="F1946" s="69">
        <v>0</v>
      </c>
      <c r="G1946" s="69">
        <f t="shared" si="271"/>
        <v>0</v>
      </c>
      <c r="H1946" s="69">
        <v>0</v>
      </c>
      <c r="I1946" s="69">
        <f t="shared" si="273"/>
        <v>0</v>
      </c>
      <c r="J1946" s="69">
        <f t="shared" si="273"/>
        <v>0</v>
      </c>
      <c r="M1946" s="57"/>
    </row>
    <row r="1947" spans="1:13" x14ac:dyDescent="0.2">
      <c r="A1947" s="75">
        <v>2238</v>
      </c>
      <c r="B1947" s="70" t="s">
        <v>479</v>
      </c>
      <c r="C1947" s="69">
        <v>5425</v>
      </c>
      <c r="D1947" s="69">
        <v>11000</v>
      </c>
      <c r="E1947" s="69">
        <v>11000</v>
      </c>
      <c r="F1947" s="69">
        <v>7869</v>
      </c>
      <c r="G1947" s="69">
        <f t="shared" si="271"/>
        <v>9442.7999999999993</v>
      </c>
      <c r="H1947" s="69">
        <f t="shared" ref="H1947:H1952" si="274">ROUND(E1947*1.05,0)</f>
        <v>11550</v>
      </c>
      <c r="I1947" s="69">
        <f t="shared" si="273"/>
        <v>12243</v>
      </c>
      <c r="J1947" s="69">
        <f t="shared" si="273"/>
        <v>12978</v>
      </c>
      <c r="M1947" s="57"/>
    </row>
    <row r="1948" spans="1:13" x14ac:dyDescent="0.2">
      <c r="A1948" s="75">
        <v>2240</v>
      </c>
      <c r="B1948" s="70" t="s">
        <v>210</v>
      </c>
      <c r="C1948" s="69">
        <v>0</v>
      </c>
      <c r="D1948" s="69">
        <v>31500</v>
      </c>
      <c r="E1948" s="69">
        <v>31500</v>
      </c>
      <c r="F1948" s="69">
        <v>0</v>
      </c>
      <c r="G1948" s="69">
        <f t="shared" si="271"/>
        <v>0</v>
      </c>
      <c r="H1948" s="69">
        <f t="shared" si="274"/>
        <v>33075</v>
      </c>
      <c r="I1948" s="69">
        <f t="shared" si="273"/>
        <v>35060</v>
      </c>
      <c r="J1948" s="69">
        <f t="shared" si="273"/>
        <v>37164</v>
      </c>
      <c r="M1948" s="57"/>
    </row>
    <row r="1949" spans="1:13" x14ac:dyDescent="0.2">
      <c r="A1949" s="60">
        <v>2246</v>
      </c>
      <c r="B1949" s="70" t="s">
        <v>2422</v>
      </c>
      <c r="C1949" s="69">
        <v>857</v>
      </c>
      <c r="D1949" s="69">
        <v>22575</v>
      </c>
      <c r="E1949" s="69">
        <v>22575</v>
      </c>
      <c r="F1949" s="69">
        <v>0</v>
      </c>
      <c r="G1949" s="69">
        <f t="shared" si="271"/>
        <v>0</v>
      </c>
      <c r="H1949" s="69">
        <f t="shared" si="274"/>
        <v>23704</v>
      </c>
      <c r="I1949" s="69">
        <f t="shared" si="273"/>
        <v>25126</v>
      </c>
      <c r="J1949" s="69">
        <f t="shared" si="273"/>
        <v>26634</v>
      </c>
      <c r="M1949" s="57"/>
    </row>
    <row r="1950" spans="1:13" x14ac:dyDescent="0.2">
      <c r="A1950" s="75">
        <v>2249</v>
      </c>
      <c r="B1950" s="70" t="s">
        <v>2955</v>
      </c>
      <c r="C1950" s="69">
        <v>12525</v>
      </c>
      <c r="D1950" s="69">
        <v>31500</v>
      </c>
      <c r="E1950" s="69">
        <v>31500</v>
      </c>
      <c r="F1950" s="69">
        <v>8954</v>
      </c>
      <c r="G1950" s="69">
        <f t="shared" si="271"/>
        <v>10744.8</v>
      </c>
      <c r="H1950" s="69">
        <f t="shared" si="274"/>
        <v>33075</v>
      </c>
      <c r="I1950" s="69">
        <f t="shared" si="273"/>
        <v>35060</v>
      </c>
      <c r="J1950" s="69">
        <f t="shared" si="273"/>
        <v>37164</v>
      </c>
      <c r="M1950" s="57"/>
    </row>
    <row r="1951" spans="1:13" s="9" customFormat="1" x14ac:dyDescent="0.2">
      <c r="A1951" s="60">
        <v>2256</v>
      </c>
      <c r="B1951" s="70" t="s">
        <v>4054</v>
      </c>
      <c r="C1951" s="69">
        <v>1026</v>
      </c>
      <c r="D1951" s="69">
        <v>27300</v>
      </c>
      <c r="E1951" s="69">
        <v>27300</v>
      </c>
      <c r="F1951" s="69">
        <v>0</v>
      </c>
      <c r="G1951" s="69">
        <f t="shared" si="271"/>
        <v>0</v>
      </c>
      <c r="H1951" s="69">
        <f t="shared" si="274"/>
        <v>28665</v>
      </c>
      <c r="I1951" s="69">
        <f t="shared" si="273"/>
        <v>30385</v>
      </c>
      <c r="J1951" s="69">
        <f t="shared" si="273"/>
        <v>32208</v>
      </c>
      <c r="M1951" s="57"/>
    </row>
    <row r="1952" spans="1:13" s="9" customFormat="1" x14ac:dyDescent="0.2">
      <c r="A1952" s="75">
        <v>2305</v>
      </c>
      <c r="B1952" s="71" t="s">
        <v>31</v>
      </c>
      <c r="C1952" s="56">
        <v>0</v>
      </c>
      <c r="D1952" s="56">
        <v>5250</v>
      </c>
      <c r="E1952" s="56">
        <v>5250</v>
      </c>
      <c r="F1952" s="56">
        <v>0</v>
      </c>
      <c r="G1952" s="56">
        <f t="shared" si="271"/>
        <v>0</v>
      </c>
      <c r="H1952" s="56">
        <f t="shared" si="274"/>
        <v>5513</v>
      </c>
      <c r="I1952" s="56">
        <f t="shared" si="273"/>
        <v>5844</v>
      </c>
      <c r="J1952" s="56">
        <f t="shared" si="273"/>
        <v>6195</v>
      </c>
      <c r="M1952" s="57"/>
    </row>
    <row r="1953" spans="1:13" s="9" customFormat="1" x14ac:dyDescent="0.2">
      <c r="A1953" s="37"/>
      <c r="B1953" s="58" t="s">
        <v>436</v>
      </c>
      <c r="C1953" s="72">
        <f t="shared" ref="C1953:J1953" si="275">SUM(C1939:C1952)</f>
        <v>2185495</v>
      </c>
      <c r="D1953" s="72">
        <f t="shared" si="275"/>
        <v>1164725</v>
      </c>
      <c r="E1953" s="72">
        <f t="shared" si="275"/>
        <v>1164725</v>
      </c>
      <c r="F1953" s="72">
        <f t="shared" si="275"/>
        <v>4454254</v>
      </c>
      <c r="G1953" s="72">
        <f t="shared" si="275"/>
        <v>5345104.8</v>
      </c>
      <c r="H1953" s="72">
        <f t="shared" si="275"/>
        <v>1212464</v>
      </c>
      <c r="I1953" s="72">
        <f t="shared" si="275"/>
        <v>1285213</v>
      </c>
      <c r="J1953" s="72">
        <f t="shared" si="275"/>
        <v>1362328</v>
      </c>
      <c r="M1953" s="57"/>
    </row>
    <row r="1954" spans="1:13" x14ac:dyDescent="0.2">
      <c r="B1954" s="61"/>
      <c r="C1954" s="97"/>
      <c r="D1954" s="97"/>
      <c r="E1954" s="97"/>
      <c r="F1954" s="97"/>
      <c r="G1954" s="97"/>
      <c r="H1954" s="97"/>
      <c r="I1954" s="97"/>
      <c r="J1954" s="97"/>
      <c r="M1954" s="57"/>
    </row>
    <row r="1955" spans="1:13" x14ac:dyDescent="0.2">
      <c r="B1955" s="58" t="s">
        <v>4055</v>
      </c>
      <c r="C1955" s="73">
        <f t="shared" ref="C1955:J1955" si="276">C1931+C1936+C1953</f>
        <v>2667407</v>
      </c>
      <c r="D1955" s="73">
        <f t="shared" si="276"/>
        <v>1956354</v>
      </c>
      <c r="E1955" s="73">
        <f t="shared" si="276"/>
        <v>1906354</v>
      </c>
      <c r="F1955" s="73">
        <f t="shared" si="276"/>
        <v>5199237</v>
      </c>
      <c r="G1955" s="73">
        <f t="shared" si="276"/>
        <v>6239084.3999999994</v>
      </c>
      <c r="H1955" s="73">
        <f t="shared" si="276"/>
        <v>2113234</v>
      </c>
      <c r="I1955" s="73">
        <f t="shared" si="276"/>
        <v>2254234</v>
      </c>
      <c r="J1955" s="73">
        <f t="shared" si="276"/>
        <v>2404832</v>
      </c>
      <c r="M1955" s="57"/>
    </row>
    <row r="1956" spans="1:13" x14ac:dyDescent="0.2">
      <c r="B1956" s="58"/>
      <c r="C1956" s="96"/>
      <c r="D1956" s="96"/>
      <c r="E1956" s="96"/>
      <c r="G1956" s="69"/>
      <c r="H1956" s="69"/>
      <c r="I1956" s="96"/>
      <c r="J1956" s="96"/>
      <c r="M1956" s="57"/>
    </row>
    <row r="1957" spans="1:13" x14ac:dyDescent="0.2">
      <c r="B1957" s="58" t="s">
        <v>418</v>
      </c>
      <c r="C1957" s="96"/>
      <c r="D1957" s="96"/>
      <c r="E1957" s="96"/>
      <c r="F1957" s="24"/>
      <c r="G1957" s="69"/>
      <c r="H1957" s="69"/>
      <c r="I1957" s="96"/>
      <c r="J1957" s="96"/>
      <c r="M1957" s="57"/>
    </row>
    <row r="1958" spans="1:13" x14ac:dyDescent="0.2">
      <c r="A1958" s="101">
        <v>4204</v>
      </c>
      <c r="B1958" s="70" t="s">
        <v>4058</v>
      </c>
      <c r="C1958" s="96">
        <v>5454</v>
      </c>
      <c r="D1958" s="69">
        <v>12258</v>
      </c>
      <c r="E1958" s="69">
        <v>12258</v>
      </c>
      <c r="F1958" s="69">
        <v>0</v>
      </c>
      <c r="G1958" s="69">
        <f>F1958/$F$11*$G$11</f>
        <v>0</v>
      </c>
      <c r="H1958" s="69">
        <f>ROUND(E1958*1.08,0)</f>
        <v>13239</v>
      </c>
      <c r="I1958" s="69">
        <f>ROUND(H1958*1.08,0)</f>
        <v>14298</v>
      </c>
      <c r="J1958" s="69">
        <f>ROUND(I1958*1.08,0)</f>
        <v>15442</v>
      </c>
      <c r="M1958" s="57"/>
    </row>
    <row r="1959" spans="1:13" x14ac:dyDescent="0.2">
      <c r="A1959" s="101">
        <v>4209</v>
      </c>
      <c r="B1959" s="70" t="s">
        <v>237</v>
      </c>
      <c r="C1959" s="96">
        <v>10339</v>
      </c>
      <c r="D1959" s="69">
        <v>0</v>
      </c>
      <c r="E1959" s="69">
        <v>0</v>
      </c>
      <c r="F1959" s="69">
        <v>0</v>
      </c>
      <c r="G1959" s="69">
        <f>F1959/$F$11*$G$11</f>
        <v>0</v>
      </c>
      <c r="H1959" s="69">
        <v>0</v>
      </c>
      <c r="I1959" s="69">
        <f>ROUND(D1959*1.05,0)</f>
        <v>0</v>
      </c>
      <c r="J1959" s="69">
        <f>ROUND(I1959*1.05,0)</f>
        <v>0</v>
      </c>
      <c r="M1959" s="57"/>
    </row>
    <row r="1960" spans="1:13" x14ac:dyDescent="0.2">
      <c r="A1960" s="101">
        <v>4207</v>
      </c>
      <c r="B1960" s="71" t="s">
        <v>222</v>
      </c>
      <c r="C1960" s="105">
        <v>7214</v>
      </c>
      <c r="D1960" s="56">
        <v>11722</v>
      </c>
      <c r="E1960" s="56">
        <v>11722</v>
      </c>
      <c r="F1960" s="56">
        <v>0</v>
      </c>
      <c r="G1960" s="56">
        <f>F1960/$F$11*$G$11</f>
        <v>0</v>
      </c>
      <c r="H1960" s="56">
        <f>ROUND(E1960*1.08,0)</f>
        <v>12660</v>
      </c>
      <c r="I1960" s="56">
        <f>ROUND(H1960*1.08,0)</f>
        <v>13673</v>
      </c>
      <c r="J1960" s="56">
        <f>ROUND(I1960*1.08,0)</f>
        <v>14767</v>
      </c>
      <c r="M1960" s="57"/>
    </row>
    <row r="1961" spans="1:13" x14ac:dyDescent="0.2">
      <c r="B1961" s="58" t="s">
        <v>419</v>
      </c>
      <c r="C1961" s="72">
        <f t="shared" ref="C1961:J1961" si="277">SUM(C1958:C1960)</f>
        <v>23007</v>
      </c>
      <c r="D1961" s="72">
        <f t="shared" si="277"/>
        <v>23980</v>
      </c>
      <c r="E1961" s="72">
        <f t="shared" si="277"/>
        <v>23980</v>
      </c>
      <c r="F1961" s="72">
        <f t="shared" si="277"/>
        <v>0</v>
      </c>
      <c r="G1961" s="72">
        <f t="shared" si="277"/>
        <v>0</v>
      </c>
      <c r="H1961" s="72">
        <f t="shared" si="277"/>
        <v>25899</v>
      </c>
      <c r="I1961" s="72">
        <f t="shared" si="277"/>
        <v>27971</v>
      </c>
      <c r="J1961" s="72">
        <f t="shared" si="277"/>
        <v>30209</v>
      </c>
      <c r="M1961" s="57"/>
    </row>
    <row r="1962" spans="1:13" x14ac:dyDescent="0.2">
      <c r="B1962" s="58"/>
      <c r="C1962" s="96"/>
      <c r="D1962" s="96"/>
      <c r="E1962" s="96"/>
      <c r="G1962" s="69"/>
      <c r="H1962" s="69"/>
      <c r="I1962" s="96"/>
      <c r="J1962" s="96"/>
      <c r="M1962" s="57"/>
    </row>
    <row r="1963" spans="1:13" ht="13.5" thickBot="1" x14ac:dyDescent="0.25">
      <c r="B1963" s="65" t="s">
        <v>4033</v>
      </c>
      <c r="C1963" s="76">
        <f t="shared" ref="C1963:J1963" si="278">C1955+C1961</f>
        <v>2690414</v>
      </c>
      <c r="D1963" s="76">
        <f t="shared" si="278"/>
        <v>1980334</v>
      </c>
      <c r="E1963" s="76">
        <f t="shared" si="278"/>
        <v>1930334</v>
      </c>
      <c r="F1963" s="76">
        <f t="shared" si="278"/>
        <v>5199237</v>
      </c>
      <c r="G1963" s="76">
        <f t="shared" si="278"/>
        <v>6239084.3999999994</v>
      </c>
      <c r="H1963" s="76">
        <f t="shared" si="278"/>
        <v>2139133</v>
      </c>
      <c r="I1963" s="76">
        <f t="shared" si="278"/>
        <v>2282205</v>
      </c>
      <c r="J1963" s="76">
        <f t="shared" si="278"/>
        <v>2435041</v>
      </c>
      <c r="M1963" s="57"/>
    </row>
    <row r="1964" spans="1:13" ht="13.5" thickTop="1" x14ac:dyDescent="0.2">
      <c r="B1964" s="58"/>
      <c r="C1964" s="72"/>
      <c r="D1964" s="72"/>
      <c r="E1964" s="72"/>
      <c r="F1964" s="72"/>
      <c r="G1964" s="72"/>
      <c r="H1964" s="72"/>
      <c r="I1964" s="72"/>
      <c r="J1964" s="72"/>
      <c r="M1964" s="57"/>
    </row>
    <row r="1965" spans="1:13" ht="13.5" thickBot="1" x14ac:dyDescent="0.25">
      <c r="B1965" s="65" t="s">
        <v>4059</v>
      </c>
      <c r="C1965" s="77">
        <f t="shared" ref="C1965:J1965" si="279">C1913-C1963</f>
        <v>-1656465</v>
      </c>
      <c r="D1965" s="77">
        <f t="shared" si="279"/>
        <v>-619974</v>
      </c>
      <c r="E1965" s="77">
        <f t="shared" si="279"/>
        <v>-569974</v>
      </c>
      <c r="F1965" s="77">
        <f t="shared" si="279"/>
        <v>-4297665</v>
      </c>
      <c r="G1965" s="77">
        <f t="shared" si="279"/>
        <v>-5157198</v>
      </c>
      <c r="H1965" s="77">
        <f t="shared" si="279"/>
        <v>-1039133</v>
      </c>
      <c r="I1965" s="77">
        <f t="shared" si="279"/>
        <v>-1116205</v>
      </c>
      <c r="J1965" s="77">
        <f t="shared" si="279"/>
        <v>-1199081</v>
      </c>
      <c r="M1965" s="57"/>
    </row>
    <row r="1966" spans="1:13" ht="13.5" thickTop="1" x14ac:dyDescent="0.2">
      <c r="B1966" s="58"/>
      <c r="C1966" s="78"/>
      <c r="D1966" s="78"/>
      <c r="E1966" s="78"/>
      <c r="G1966" s="69"/>
      <c r="H1966" s="69"/>
      <c r="I1966" s="78"/>
      <c r="J1966" s="78"/>
      <c r="M1966" s="57"/>
    </row>
    <row r="1967" spans="1:13" x14ac:dyDescent="0.2">
      <c r="G1967" s="69"/>
      <c r="H1967" s="69"/>
      <c r="M1967" s="57"/>
    </row>
    <row r="1968" spans="1:13" x14ac:dyDescent="0.2">
      <c r="G1968" s="69"/>
      <c r="H1968" s="69"/>
      <c r="M1968" s="57"/>
    </row>
    <row r="1969" spans="1:13" x14ac:dyDescent="0.2">
      <c r="G1969" s="69"/>
      <c r="H1969" s="69"/>
      <c r="M1969" s="57"/>
    </row>
    <row r="1970" spans="1:13" x14ac:dyDescent="0.2">
      <c r="G1970" s="69"/>
      <c r="H1970" s="69"/>
      <c r="M1970" s="57"/>
    </row>
    <row r="1971" spans="1:13" x14ac:dyDescent="0.2">
      <c r="G1971" s="69"/>
      <c r="H1971" s="69"/>
      <c r="M1971" s="57"/>
    </row>
    <row r="1972" spans="1:13" x14ac:dyDescent="0.2">
      <c r="G1972" s="69"/>
      <c r="H1972" s="69"/>
      <c r="M1972" s="57"/>
    </row>
    <row r="1973" spans="1:13" x14ac:dyDescent="0.2">
      <c r="G1973" s="69"/>
      <c r="H1973" s="69"/>
      <c r="M1973" s="57"/>
    </row>
    <row r="1974" spans="1:13" x14ac:dyDescent="0.2">
      <c r="G1974" s="69"/>
      <c r="H1974" s="69"/>
      <c r="M1974" s="57"/>
    </row>
    <row r="1975" spans="1:13" x14ac:dyDescent="0.2">
      <c r="A1975" s="6"/>
      <c r="B1975" s="6"/>
      <c r="C1975" s="6"/>
      <c r="D1975" s="6"/>
      <c r="E1975" s="6"/>
      <c r="G1975" s="69"/>
      <c r="H1975" s="69"/>
      <c r="I1975" s="6"/>
      <c r="J1975" s="6"/>
      <c r="M1975" s="57"/>
    </row>
    <row r="1976" spans="1:13" x14ac:dyDescent="0.2">
      <c r="A1976" s="6"/>
      <c r="B1976" s="6"/>
      <c r="C1976" s="6"/>
      <c r="D1976" s="6"/>
      <c r="E1976" s="6"/>
      <c r="G1976" s="69"/>
      <c r="H1976" s="69"/>
      <c r="I1976" s="6"/>
      <c r="J1976" s="6"/>
      <c r="M1976" s="57"/>
    </row>
    <row r="1977" spans="1:13" x14ac:dyDescent="0.2">
      <c r="A1977" s="6"/>
      <c r="B1977" s="6"/>
      <c r="C1977" s="6"/>
      <c r="D1977" s="6"/>
      <c r="E1977" s="6"/>
      <c r="G1977" s="69"/>
      <c r="H1977" s="69"/>
      <c r="I1977" s="6"/>
      <c r="J1977" s="6"/>
      <c r="M1977" s="57"/>
    </row>
    <row r="1978" spans="1:13" x14ac:dyDescent="0.2">
      <c r="A1978" s="6"/>
      <c r="B1978" s="6"/>
      <c r="C1978" s="6"/>
      <c r="D1978" s="6"/>
      <c r="E1978" s="6"/>
      <c r="G1978" s="69"/>
      <c r="H1978" s="69"/>
      <c r="I1978" s="6"/>
      <c r="J1978" s="6"/>
      <c r="M1978" s="57"/>
    </row>
    <row r="1979" spans="1:13" x14ac:dyDescent="0.2">
      <c r="A1979" s="6"/>
      <c r="B1979" s="6"/>
      <c r="C1979" s="6"/>
      <c r="D1979" s="6"/>
      <c r="E1979" s="6"/>
      <c r="G1979" s="69"/>
      <c r="H1979" s="69"/>
      <c r="I1979" s="6"/>
      <c r="J1979" s="6"/>
      <c r="M1979" s="57"/>
    </row>
    <row r="1980" spans="1:13" ht="15" x14ac:dyDescent="0.25">
      <c r="A1980" s="91">
        <v>1620</v>
      </c>
      <c r="B1980" s="48" t="s">
        <v>38</v>
      </c>
      <c r="C1980" s="48" t="s">
        <v>1079</v>
      </c>
      <c r="D1980" s="48"/>
      <c r="E1980" s="48"/>
      <c r="F1980" s="24"/>
      <c r="G1980" s="69"/>
      <c r="H1980" s="69"/>
      <c r="M1980" s="57"/>
    </row>
    <row r="1981" spans="1:13" ht="15" x14ac:dyDescent="0.25">
      <c r="B1981" s="48"/>
      <c r="C1981" s="48"/>
      <c r="D1981" s="48"/>
      <c r="E1981" s="48"/>
      <c r="F1981" s="24"/>
      <c r="G1981" s="69"/>
      <c r="H1981" s="69"/>
      <c r="M1981" s="57"/>
    </row>
    <row r="1982" spans="1:13" x14ac:dyDescent="0.2">
      <c r="B1982" s="50" t="s">
        <v>61</v>
      </c>
      <c r="C1982" s="50"/>
      <c r="D1982" s="50"/>
      <c r="E1982" s="50"/>
      <c r="F1982" s="24"/>
      <c r="G1982" s="69"/>
      <c r="H1982" s="69"/>
      <c r="M1982" s="57"/>
    </row>
    <row r="1983" spans="1:13" x14ac:dyDescent="0.2">
      <c r="B1983" s="46"/>
      <c r="C1983" s="46"/>
      <c r="D1983" s="46"/>
      <c r="E1983" s="46"/>
      <c r="F1983" s="24"/>
      <c r="G1983" s="69"/>
      <c r="H1983" s="69"/>
      <c r="M1983" s="57"/>
    </row>
    <row r="1984" spans="1:13" x14ac:dyDescent="0.2">
      <c r="B1984" s="58" t="s">
        <v>413</v>
      </c>
      <c r="C1984" s="69"/>
      <c r="D1984" s="69"/>
      <c r="E1984" s="69"/>
      <c r="G1984" s="69"/>
      <c r="H1984" s="69"/>
      <c r="I1984" s="69"/>
      <c r="J1984" s="69"/>
      <c r="M1984" s="57"/>
    </row>
    <row r="1985" spans="1:13" x14ac:dyDescent="0.2">
      <c r="A1985" s="75">
        <v>5501</v>
      </c>
      <c r="B1985" s="71" t="s">
        <v>2406</v>
      </c>
      <c r="C1985" s="62">
        <v>17708</v>
      </c>
      <c r="D1985" s="56">
        <f>31500+402000-200000</f>
        <v>233500</v>
      </c>
      <c r="E1985" s="56">
        <f>233500-100000</f>
        <v>133500</v>
      </c>
      <c r="F1985" s="56">
        <f>+F2004</f>
        <v>161473</v>
      </c>
      <c r="G1985" s="56">
        <f>F1985/$F$11*$G$11</f>
        <v>193767.59999999998</v>
      </c>
      <c r="H1985" s="56">
        <f>+H2004</f>
        <v>140175</v>
      </c>
      <c r="I1985" s="56">
        <f>+I2004</f>
        <v>147184</v>
      </c>
      <c r="J1985" s="56">
        <f>+J2004</f>
        <v>154544</v>
      </c>
      <c r="M1985" s="57"/>
    </row>
    <row r="1986" spans="1:13" x14ac:dyDescent="0.2">
      <c r="B1986" s="58" t="s">
        <v>414</v>
      </c>
      <c r="C1986" s="100">
        <f t="shared" ref="C1986:J1986" si="280">SUM(C1985)</f>
        <v>17708</v>
      </c>
      <c r="D1986" s="100">
        <f t="shared" si="280"/>
        <v>233500</v>
      </c>
      <c r="E1986" s="100">
        <f t="shared" si="280"/>
        <v>133500</v>
      </c>
      <c r="F1986" s="100">
        <f t="shared" si="280"/>
        <v>161473</v>
      </c>
      <c r="G1986" s="100">
        <f t="shared" si="280"/>
        <v>193767.59999999998</v>
      </c>
      <c r="H1986" s="100">
        <f t="shared" si="280"/>
        <v>140175</v>
      </c>
      <c r="I1986" s="100">
        <f t="shared" si="280"/>
        <v>147184</v>
      </c>
      <c r="J1986" s="100">
        <f t="shared" si="280"/>
        <v>154544</v>
      </c>
      <c r="M1986" s="57"/>
    </row>
    <row r="1987" spans="1:13" x14ac:dyDescent="0.2">
      <c r="B1987" s="58"/>
      <c r="C1987" s="99"/>
      <c r="D1987" s="99"/>
      <c r="E1987" s="99"/>
      <c r="F1987" s="99"/>
      <c r="G1987" s="99"/>
      <c r="H1987" s="99"/>
      <c r="I1987" s="99"/>
      <c r="J1987" s="99"/>
      <c r="M1987" s="57"/>
    </row>
    <row r="1988" spans="1:13" ht="13.5" thickBot="1" x14ac:dyDescent="0.25">
      <c r="B1988" s="65" t="s">
        <v>4017</v>
      </c>
      <c r="C1988" s="66">
        <f t="shared" ref="C1988:J1988" si="281">+C1986</f>
        <v>17708</v>
      </c>
      <c r="D1988" s="66">
        <f t="shared" si="281"/>
        <v>233500</v>
      </c>
      <c r="E1988" s="66">
        <f t="shared" si="281"/>
        <v>133500</v>
      </c>
      <c r="F1988" s="66">
        <f t="shared" si="281"/>
        <v>161473</v>
      </c>
      <c r="G1988" s="66">
        <f t="shared" si="281"/>
        <v>193767.59999999998</v>
      </c>
      <c r="H1988" s="66">
        <f t="shared" si="281"/>
        <v>140175</v>
      </c>
      <c r="I1988" s="66">
        <f t="shared" si="281"/>
        <v>147184</v>
      </c>
      <c r="J1988" s="66">
        <f t="shared" si="281"/>
        <v>154544</v>
      </c>
      <c r="M1988" s="57"/>
    </row>
    <row r="1989" spans="1:13" ht="13.5" thickTop="1" x14ac:dyDescent="0.2">
      <c r="B1989" s="68"/>
      <c r="C1989" s="68"/>
      <c r="D1989" s="68"/>
      <c r="E1989" s="68"/>
      <c r="G1989" s="69"/>
      <c r="H1989" s="69"/>
      <c r="I1989" s="68"/>
      <c r="J1989" s="68"/>
      <c r="M1989" s="57"/>
    </row>
    <row r="1990" spans="1:13" x14ac:dyDescent="0.2">
      <c r="B1990" s="50" t="s">
        <v>4018</v>
      </c>
      <c r="C1990" s="50"/>
      <c r="D1990" s="50"/>
      <c r="E1990" s="50"/>
      <c r="G1990" s="69"/>
      <c r="H1990" s="69"/>
      <c r="I1990" s="50"/>
      <c r="J1990" s="50"/>
      <c r="M1990" s="57"/>
    </row>
    <row r="1991" spans="1:13" x14ac:dyDescent="0.2">
      <c r="B1991" s="50"/>
      <c r="C1991" s="50"/>
      <c r="D1991" s="50"/>
      <c r="E1991" s="50"/>
      <c r="G1991" s="69"/>
      <c r="H1991" s="69"/>
      <c r="I1991" s="50"/>
      <c r="J1991" s="50"/>
      <c r="M1991" s="57"/>
    </row>
    <row r="1992" spans="1:13" x14ac:dyDescent="0.2">
      <c r="B1992" s="58" t="s">
        <v>4021</v>
      </c>
      <c r="C1992" s="69"/>
      <c r="D1992" s="69"/>
      <c r="E1992" s="69"/>
      <c r="G1992" s="69"/>
      <c r="H1992" s="69"/>
      <c r="I1992" s="69"/>
      <c r="J1992" s="69"/>
      <c r="M1992" s="57"/>
    </row>
    <row r="1993" spans="1:13" x14ac:dyDescent="0.2">
      <c r="A1993" s="75">
        <v>3206</v>
      </c>
      <c r="B1993" s="71" t="s">
        <v>39</v>
      </c>
      <c r="C1993" s="56">
        <v>498</v>
      </c>
      <c r="D1993" s="56">
        <v>200000</v>
      </c>
      <c r="E1993" s="56">
        <f>200000-100000</f>
        <v>100000</v>
      </c>
      <c r="F1993" s="56">
        <v>161082</v>
      </c>
      <c r="G1993" s="56">
        <f>F1993/$F$11*$G$11</f>
        <v>193298.40000000002</v>
      </c>
      <c r="H1993" s="56">
        <f>ROUND(E1993*1.05,0)</f>
        <v>105000</v>
      </c>
      <c r="I1993" s="56">
        <f>ROUND(H1993*1.05,0)</f>
        <v>110250</v>
      </c>
      <c r="J1993" s="56">
        <f>ROUND(I1993*1.05,0)</f>
        <v>115763</v>
      </c>
      <c r="M1993" s="57"/>
    </row>
    <row r="1994" spans="1:13" x14ac:dyDescent="0.2">
      <c r="B1994" s="58" t="s">
        <v>417</v>
      </c>
      <c r="C1994" s="72">
        <f>SUM(C1993:C1993)</f>
        <v>498</v>
      </c>
      <c r="D1994" s="72">
        <f t="shared" ref="D1994:J1994" si="282">SUM(D1993:D1993)</f>
        <v>200000</v>
      </c>
      <c r="E1994" s="72">
        <f t="shared" si="282"/>
        <v>100000</v>
      </c>
      <c r="F1994" s="72">
        <f t="shared" si="282"/>
        <v>161082</v>
      </c>
      <c r="G1994" s="72">
        <f t="shared" si="282"/>
        <v>193298.40000000002</v>
      </c>
      <c r="H1994" s="72">
        <f t="shared" si="282"/>
        <v>105000</v>
      </c>
      <c r="I1994" s="72">
        <f t="shared" si="282"/>
        <v>110250</v>
      </c>
      <c r="J1994" s="72">
        <f t="shared" si="282"/>
        <v>115763</v>
      </c>
      <c r="M1994" s="57"/>
    </row>
    <row r="1995" spans="1:13" x14ac:dyDescent="0.2">
      <c r="B1995" s="58"/>
      <c r="C1995" s="69"/>
      <c r="D1995" s="69"/>
      <c r="E1995" s="69"/>
      <c r="G1995" s="69"/>
      <c r="H1995" s="69"/>
      <c r="I1995" s="69"/>
      <c r="J1995" s="69"/>
      <c r="M1995" s="57"/>
    </row>
    <row r="1996" spans="1:13" x14ac:dyDescent="0.2">
      <c r="B1996" s="58" t="s">
        <v>435</v>
      </c>
      <c r="C1996" s="69"/>
      <c r="D1996" s="69"/>
      <c r="E1996" s="69"/>
      <c r="G1996" s="69"/>
      <c r="H1996" s="69"/>
      <c r="I1996" s="69"/>
      <c r="J1996" s="69"/>
      <c r="M1996" s="57"/>
    </row>
    <row r="1997" spans="1:13" x14ac:dyDescent="0.2">
      <c r="A1997" s="75">
        <v>2227</v>
      </c>
      <c r="B1997" s="70" t="s">
        <v>448</v>
      </c>
      <c r="C1997" s="69">
        <v>0</v>
      </c>
      <c r="D1997" s="69">
        <v>10500</v>
      </c>
      <c r="E1997" s="69">
        <v>10500</v>
      </c>
      <c r="F1997" s="69">
        <v>391</v>
      </c>
      <c r="G1997" s="69">
        <f>F1997/$F$11*$G$11</f>
        <v>469.20000000000005</v>
      </c>
      <c r="H1997" s="69">
        <f>ROUND(E1997*1.05,0)</f>
        <v>11025</v>
      </c>
      <c r="I1997" s="69">
        <f t="shared" ref="I1997:J1999" si="283">ROUND(H1997*1.05,0)</f>
        <v>11576</v>
      </c>
      <c r="J1997" s="69">
        <f t="shared" si="283"/>
        <v>12155</v>
      </c>
      <c r="M1997" s="57"/>
    </row>
    <row r="1998" spans="1:13" x14ac:dyDescent="0.2">
      <c r="A1998" s="75">
        <v>2226</v>
      </c>
      <c r="B1998" s="70" t="s">
        <v>4051</v>
      </c>
      <c r="C1998" s="69">
        <v>0</v>
      </c>
      <c r="D1998" s="69">
        <v>0</v>
      </c>
      <c r="E1998" s="69">
        <v>0</v>
      </c>
      <c r="F1998" s="69">
        <v>0</v>
      </c>
      <c r="G1998" s="69">
        <f>F1998/$F$11*$G$11</f>
        <v>0</v>
      </c>
      <c r="H1998" s="69">
        <f>ROUND(E1998*1.05,0)</f>
        <v>0</v>
      </c>
      <c r="I1998" s="69">
        <f t="shared" si="283"/>
        <v>0</v>
      </c>
      <c r="J1998" s="69">
        <f t="shared" si="283"/>
        <v>0</v>
      </c>
      <c r="M1998" s="57"/>
    </row>
    <row r="1999" spans="1:13" x14ac:dyDescent="0.2">
      <c r="A1999" s="75">
        <v>2249</v>
      </c>
      <c r="B1999" s="71" t="s">
        <v>2955</v>
      </c>
      <c r="C1999" s="56">
        <v>17210</v>
      </c>
      <c r="D1999" s="56">
        <v>23000</v>
      </c>
      <c r="E1999" s="56">
        <v>23000</v>
      </c>
      <c r="F1999" s="56">
        <v>0</v>
      </c>
      <c r="G1999" s="56">
        <f>F1999/$F$11*$G$11</f>
        <v>0</v>
      </c>
      <c r="H1999" s="56">
        <f>ROUND(E1999*1.05,0)</f>
        <v>24150</v>
      </c>
      <c r="I1999" s="56">
        <f t="shared" si="283"/>
        <v>25358</v>
      </c>
      <c r="J1999" s="56">
        <f t="shared" si="283"/>
        <v>26626</v>
      </c>
      <c r="M1999" s="57"/>
    </row>
    <row r="2000" spans="1:13" x14ac:dyDescent="0.2">
      <c r="B2000" s="58" t="s">
        <v>436</v>
      </c>
      <c r="C2000" s="72">
        <f t="shared" ref="C2000:J2000" si="284">SUM(C1997:C1999)</f>
        <v>17210</v>
      </c>
      <c r="D2000" s="72">
        <f t="shared" si="284"/>
        <v>33500</v>
      </c>
      <c r="E2000" s="72">
        <f t="shared" si="284"/>
        <v>33500</v>
      </c>
      <c r="F2000" s="72">
        <f t="shared" si="284"/>
        <v>391</v>
      </c>
      <c r="G2000" s="72">
        <f t="shared" si="284"/>
        <v>469.20000000000005</v>
      </c>
      <c r="H2000" s="72">
        <f t="shared" si="284"/>
        <v>35175</v>
      </c>
      <c r="I2000" s="72">
        <f t="shared" si="284"/>
        <v>36934</v>
      </c>
      <c r="J2000" s="72">
        <f t="shared" si="284"/>
        <v>38781</v>
      </c>
      <c r="M2000" s="57"/>
    </row>
    <row r="2001" spans="2:13" x14ac:dyDescent="0.2">
      <c r="B2001" s="61"/>
      <c r="C2001" s="97"/>
      <c r="D2001" s="97"/>
      <c r="E2001" s="97"/>
      <c r="F2001" s="97"/>
      <c r="G2001" s="97"/>
      <c r="H2001" s="97"/>
      <c r="I2001" s="97"/>
      <c r="J2001" s="97"/>
      <c r="M2001" s="57"/>
    </row>
    <row r="2002" spans="2:13" x14ac:dyDescent="0.2">
      <c r="B2002" s="58" t="s">
        <v>4055</v>
      </c>
      <c r="C2002" s="73">
        <f t="shared" ref="C2002:J2002" si="285">C1994+C2000</f>
        <v>17708</v>
      </c>
      <c r="D2002" s="73">
        <f t="shared" si="285"/>
        <v>233500</v>
      </c>
      <c r="E2002" s="73">
        <f t="shared" si="285"/>
        <v>133500</v>
      </c>
      <c r="F2002" s="73">
        <f t="shared" si="285"/>
        <v>161473</v>
      </c>
      <c r="G2002" s="73">
        <f t="shared" si="285"/>
        <v>193767.60000000003</v>
      </c>
      <c r="H2002" s="73">
        <f t="shared" si="285"/>
        <v>140175</v>
      </c>
      <c r="I2002" s="73">
        <f t="shared" si="285"/>
        <v>147184</v>
      </c>
      <c r="J2002" s="73">
        <f t="shared" si="285"/>
        <v>154544</v>
      </c>
      <c r="M2002" s="57"/>
    </row>
    <row r="2003" spans="2:13" x14ac:dyDescent="0.2">
      <c r="B2003" s="58"/>
      <c r="C2003" s="96"/>
      <c r="D2003" s="96"/>
      <c r="E2003" s="96"/>
      <c r="F2003" s="96"/>
      <c r="G2003" s="96"/>
      <c r="H2003" s="96"/>
      <c r="I2003" s="96"/>
      <c r="J2003" s="96"/>
      <c r="M2003" s="57"/>
    </row>
    <row r="2004" spans="2:13" ht="13.5" thickBot="1" x14ac:dyDescent="0.25">
      <c r="B2004" s="65" t="s">
        <v>4025</v>
      </c>
      <c r="C2004" s="76">
        <f t="shared" ref="C2004:J2004" si="286">C2002</f>
        <v>17708</v>
      </c>
      <c r="D2004" s="76">
        <f t="shared" si="286"/>
        <v>233500</v>
      </c>
      <c r="E2004" s="76">
        <f t="shared" si="286"/>
        <v>133500</v>
      </c>
      <c r="F2004" s="76">
        <f t="shared" si="286"/>
        <v>161473</v>
      </c>
      <c r="G2004" s="76">
        <f t="shared" si="286"/>
        <v>193767.60000000003</v>
      </c>
      <c r="H2004" s="76">
        <f t="shared" si="286"/>
        <v>140175</v>
      </c>
      <c r="I2004" s="76">
        <f t="shared" si="286"/>
        <v>147184</v>
      </c>
      <c r="J2004" s="76">
        <f t="shared" si="286"/>
        <v>154544</v>
      </c>
      <c r="M2004" s="57"/>
    </row>
    <row r="2005" spans="2:13" ht="13.5" thickTop="1" x14ac:dyDescent="0.2">
      <c r="B2005" s="58"/>
      <c r="C2005" s="72"/>
      <c r="D2005" s="72"/>
      <c r="E2005" s="72"/>
      <c r="G2005" s="69"/>
      <c r="H2005" s="69"/>
      <c r="I2005" s="72"/>
      <c r="J2005" s="72"/>
      <c r="M2005" s="57"/>
    </row>
    <row r="2006" spans="2:13" ht="13.5" thickBot="1" x14ac:dyDescent="0.25">
      <c r="B2006" s="65" t="s">
        <v>4059</v>
      </c>
      <c r="C2006" s="77">
        <f t="shared" ref="C2006:J2006" si="287">C1988-C2004</f>
        <v>0</v>
      </c>
      <c r="D2006" s="77">
        <f t="shared" si="287"/>
        <v>0</v>
      </c>
      <c r="E2006" s="77">
        <f t="shared" si="287"/>
        <v>0</v>
      </c>
      <c r="F2006" s="77">
        <f t="shared" si="287"/>
        <v>0</v>
      </c>
      <c r="G2006" s="77">
        <f t="shared" si="287"/>
        <v>0</v>
      </c>
      <c r="H2006" s="77">
        <f t="shared" si="287"/>
        <v>0</v>
      </c>
      <c r="I2006" s="77">
        <f t="shared" si="287"/>
        <v>0</v>
      </c>
      <c r="J2006" s="77">
        <f t="shared" si="287"/>
        <v>0</v>
      </c>
      <c r="M2006" s="57"/>
    </row>
    <row r="2007" spans="2:13" ht="13.5" thickTop="1" x14ac:dyDescent="0.2">
      <c r="B2007" s="58"/>
      <c r="C2007" s="78"/>
      <c r="D2007" s="78"/>
      <c r="E2007" s="78"/>
      <c r="G2007" s="69"/>
      <c r="H2007" s="69"/>
      <c r="I2007" s="78"/>
      <c r="J2007" s="78"/>
      <c r="M2007" s="57"/>
    </row>
    <row r="2008" spans="2:13" x14ac:dyDescent="0.2">
      <c r="G2008" s="69"/>
      <c r="H2008" s="69"/>
      <c r="M2008" s="57"/>
    </row>
    <row r="2009" spans="2:13" x14ac:dyDescent="0.2">
      <c r="G2009" s="69"/>
      <c r="H2009" s="69"/>
      <c r="M2009" s="57"/>
    </row>
    <row r="2010" spans="2:13" x14ac:dyDescent="0.2">
      <c r="G2010" s="69"/>
      <c r="H2010" s="69"/>
      <c r="M2010" s="57"/>
    </row>
    <row r="2011" spans="2:13" x14ac:dyDescent="0.2">
      <c r="G2011" s="69"/>
      <c r="H2011" s="69"/>
      <c r="M2011" s="57"/>
    </row>
    <row r="2012" spans="2:13" x14ac:dyDescent="0.2">
      <c r="G2012" s="69"/>
      <c r="H2012" s="69"/>
      <c r="M2012" s="57"/>
    </row>
    <row r="2013" spans="2:13" x14ac:dyDescent="0.2">
      <c r="G2013" s="69"/>
      <c r="H2013" s="69"/>
      <c r="M2013" s="57"/>
    </row>
    <row r="2014" spans="2:13" x14ac:dyDescent="0.2">
      <c r="G2014" s="69"/>
      <c r="H2014" s="69"/>
      <c r="M2014" s="57"/>
    </row>
    <row r="2015" spans="2:13" x14ac:dyDescent="0.2">
      <c r="G2015" s="69"/>
      <c r="H2015" s="69"/>
      <c r="M2015" s="57"/>
    </row>
    <row r="2016" spans="2:13" x14ac:dyDescent="0.2">
      <c r="G2016" s="69"/>
      <c r="H2016" s="69"/>
      <c r="M2016" s="57"/>
    </row>
    <row r="2017" spans="7:13" x14ac:dyDescent="0.2">
      <c r="G2017" s="69"/>
      <c r="H2017" s="69"/>
      <c r="M2017" s="57"/>
    </row>
    <row r="2018" spans="7:13" x14ac:dyDescent="0.2">
      <c r="G2018" s="69"/>
      <c r="H2018" s="69"/>
      <c r="M2018" s="57"/>
    </row>
    <row r="2019" spans="7:13" x14ac:dyDescent="0.2">
      <c r="G2019" s="69"/>
      <c r="H2019" s="69"/>
      <c r="M2019" s="57"/>
    </row>
    <row r="2020" spans="7:13" x14ac:dyDescent="0.2">
      <c r="G2020" s="69"/>
      <c r="H2020" s="69"/>
      <c r="M2020" s="57"/>
    </row>
    <row r="2021" spans="7:13" x14ac:dyDescent="0.2">
      <c r="G2021" s="69"/>
      <c r="H2021" s="69"/>
      <c r="M2021" s="57"/>
    </row>
    <row r="2022" spans="7:13" x14ac:dyDescent="0.2">
      <c r="G2022" s="69"/>
      <c r="H2022" s="69"/>
      <c r="M2022" s="57"/>
    </row>
    <row r="2023" spans="7:13" x14ac:dyDescent="0.2">
      <c r="G2023" s="69"/>
      <c r="H2023" s="69"/>
      <c r="M2023" s="57"/>
    </row>
    <row r="2024" spans="7:13" x14ac:dyDescent="0.2">
      <c r="G2024" s="69"/>
      <c r="H2024" s="69"/>
      <c r="M2024" s="57"/>
    </row>
    <row r="2025" spans="7:13" x14ac:dyDescent="0.2">
      <c r="G2025" s="69"/>
      <c r="H2025" s="69"/>
      <c r="M2025" s="57"/>
    </row>
    <row r="2026" spans="7:13" x14ac:dyDescent="0.2">
      <c r="G2026" s="69"/>
      <c r="H2026" s="69"/>
      <c r="M2026" s="57"/>
    </row>
    <row r="2027" spans="7:13" x14ac:dyDescent="0.2">
      <c r="G2027" s="69"/>
      <c r="H2027" s="69"/>
      <c r="M2027" s="57"/>
    </row>
    <row r="2028" spans="7:13" x14ac:dyDescent="0.2">
      <c r="G2028" s="69"/>
      <c r="H2028" s="69"/>
      <c r="M2028" s="57"/>
    </row>
    <row r="2029" spans="7:13" x14ac:dyDescent="0.2">
      <c r="G2029" s="69"/>
      <c r="H2029" s="69"/>
      <c r="M2029" s="57"/>
    </row>
    <row r="2030" spans="7:13" x14ac:dyDescent="0.2">
      <c r="G2030" s="69"/>
      <c r="H2030" s="69"/>
      <c r="M2030" s="57"/>
    </row>
    <row r="2031" spans="7:13" x14ac:dyDescent="0.2">
      <c r="G2031" s="69"/>
      <c r="H2031" s="69"/>
      <c r="M2031" s="57"/>
    </row>
    <row r="2032" spans="7:13" x14ac:dyDescent="0.2">
      <c r="G2032" s="69"/>
      <c r="H2032" s="69"/>
      <c r="M2032" s="57"/>
    </row>
    <row r="2033" spans="7:13" x14ac:dyDescent="0.2">
      <c r="G2033" s="69"/>
      <c r="H2033" s="69"/>
      <c r="M2033" s="57"/>
    </row>
    <row r="2034" spans="7:13" x14ac:dyDescent="0.2">
      <c r="G2034" s="69"/>
      <c r="H2034" s="69"/>
      <c r="M2034" s="57"/>
    </row>
    <row r="2035" spans="7:13" x14ac:dyDescent="0.2">
      <c r="G2035" s="69"/>
      <c r="H2035" s="69"/>
      <c r="M2035" s="57"/>
    </row>
    <row r="2036" spans="7:13" x14ac:dyDescent="0.2">
      <c r="G2036" s="69"/>
      <c r="H2036" s="69"/>
      <c r="M2036" s="57"/>
    </row>
    <row r="2037" spans="7:13" x14ac:dyDescent="0.2">
      <c r="G2037" s="69"/>
      <c r="H2037" s="69"/>
      <c r="M2037" s="57"/>
    </row>
    <row r="2038" spans="7:13" x14ac:dyDescent="0.2">
      <c r="G2038" s="69"/>
      <c r="H2038" s="69"/>
      <c r="M2038" s="57"/>
    </row>
    <row r="2039" spans="7:13" x14ac:dyDescent="0.2">
      <c r="G2039" s="69"/>
      <c r="H2039" s="69"/>
      <c r="M2039" s="57"/>
    </row>
    <row r="2040" spans="7:13" x14ac:dyDescent="0.2">
      <c r="G2040" s="69"/>
      <c r="H2040" s="69"/>
      <c r="M2040" s="57"/>
    </row>
    <row r="2041" spans="7:13" x14ac:dyDescent="0.2">
      <c r="G2041" s="69"/>
      <c r="H2041" s="69"/>
      <c r="M2041" s="57"/>
    </row>
    <row r="2042" spans="7:13" x14ac:dyDescent="0.2">
      <c r="G2042" s="69"/>
      <c r="H2042" s="69"/>
      <c r="M2042" s="57"/>
    </row>
    <row r="2043" spans="7:13" x14ac:dyDescent="0.2">
      <c r="G2043" s="69"/>
      <c r="H2043" s="69"/>
      <c r="M2043" s="57"/>
    </row>
    <row r="2044" spans="7:13" x14ac:dyDescent="0.2">
      <c r="G2044" s="69"/>
      <c r="H2044" s="69"/>
      <c r="M2044" s="57"/>
    </row>
    <row r="2045" spans="7:13" x14ac:dyDescent="0.2">
      <c r="G2045" s="69"/>
      <c r="H2045" s="69"/>
      <c r="M2045" s="57"/>
    </row>
    <row r="2046" spans="7:13" x14ac:dyDescent="0.2">
      <c r="G2046" s="69"/>
      <c r="H2046" s="69"/>
      <c r="M2046" s="57"/>
    </row>
    <row r="2047" spans="7:13" x14ac:dyDescent="0.2">
      <c r="G2047" s="69"/>
      <c r="H2047" s="69"/>
      <c r="M2047" s="57"/>
    </row>
    <row r="2048" spans="7:13" x14ac:dyDescent="0.2">
      <c r="G2048" s="69"/>
      <c r="H2048" s="69"/>
      <c r="M2048" s="57"/>
    </row>
    <row r="2049" spans="1:13" x14ac:dyDescent="0.2">
      <c r="A2049" s="6"/>
      <c r="B2049" s="6"/>
      <c r="C2049" s="6"/>
      <c r="D2049" s="6"/>
      <c r="E2049" s="6"/>
      <c r="G2049" s="69"/>
      <c r="H2049" s="69"/>
      <c r="I2049" s="6"/>
      <c r="J2049" s="6"/>
      <c r="M2049" s="57"/>
    </row>
    <row r="2050" spans="1:13" x14ac:dyDescent="0.2">
      <c r="A2050" s="6"/>
      <c r="B2050" s="6"/>
      <c r="C2050" s="6"/>
      <c r="D2050" s="6"/>
      <c r="E2050" s="6"/>
      <c r="G2050" s="69"/>
      <c r="H2050" s="69"/>
      <c r="I2050" s="6"/>
      <c r="J2050" s="6"/>
      <c r="M2050" s="57"/>
    </row>
    <row r="2051" spans="1:13" x14ac:dyDescent="0.2">
      <c r="A2051" s="6"/>
      <c r="B2051" s="6"/>
      <c r="C2051" s="6"/>
      <c r="D2051" s="6"/>
      <c r="E2051" s="6"/>
      <c r="G2051" s="69"/>
      <c r="H2051" s="69"/>
      <c r="I2051" s="6"/>
      <c r="J2051" s="6"/>
      <c r="M2051" s="57"/>
    </row>
    <row r="2052" spans="1:13" x14ac:dyDescent="0.2">
      <c r="A2052" s="6"/>
      <c r="B2052" s="6"/>
      <c r="C2052" s="6"/>
      <c r="D2052" s="6"/>
      <c r="E2052" s="6"/>
      <c r="G2052" s="69"/>
      <c r="H2052" s="69"/>
      <c r="I2052" s="6"/>
      <c r="J2052" s="6"/>
      <c r="M2052" s="57"/>
    </row>
    <row r="2053" spans="1:13" s="9" customFormat="1" x14ac:dyDescent="0.2">
      <c r="A2053" s="6"/>
      <c r="B2053" s="6"/>
      <c r="C2053" s="6"/>
      <c r="D2053" s="6"/>
      <c r="E2053" s="6"/>
      <c r="F2053" s="2"/>
      <c r="G2053" s="69"/>
      <c r="H2053" s="69"/>
      <c r="I2053" s="6"/>
      <c r="J2053" s="6"/>
      <c r="M2053" s="57"/>
    </row>
    <row r="2054" spans="1:13" ht="15" x14ac:dyDescent="0.25">
      <c r="A2054" s="91">
        <v>1630</v>
      </c>
      <c r="B2054" s="92" t="s">
        <v>40</v>
      </c>
      <c r="G2054" s="69"/>
      <c r="H2054" s="69"/>
      <c r="M2054" s="57"/>
    </row>
    <row r="2055" spans="1:13" ht="15" x14ac:dyDescent="0.25">
      <c r="A2055" s="91"/>
      <c r="B2055" s="92"/>
      <c r="G2055" s="69"/>
      <c r="H2055" s="69"/>
      <c r="M2055" s="122"/>
    </row>
    <row r="2056" spans="1:13" x14ac:dyDescent="0.2">
      <c r="B2056" s="50" t="s">
        <v>61</v>
      </c>
      <c r="C2056" s="50"/>
      <c r="D2056" s="50"/>
      <c r="E2056" s="50"/>
      <c r="G2056" s="69"/>
      <c r="H2056" s="69"/>
      <c r="M2056" s="57"/>
    </row>
    <row r="2057" spans="1:13" x14ac:dyDescent="0.2">
      <c r="B2057" s="46"/>
      <c r="C2057" s="46"/>
      <c r="D2057" s="46"/>
      <c r="E2057" s="46"/>
      <c r="G2057" s="69"/>
      <c r="H2057" s="69"/>
      <c r="M2057" s="57"/>
    </row>
    <row r="2058" spans="1:13" x14ac:dyDescent="0.2">
      <c r="B2058" s="58" t="s">
        <v>423</v>
      </c>
      <c r="C2058" s="99"/>
      <c r="D2058" s="99"/>
      <c r="E2058" s="99"/>
      <c r="G2058" s="69"/>
      <c r="H2058" s="69"/>
      <c r="I2058" s="99"/>
      <c r="J2058" s="99"/>
      <c r="M2058" s="57"/>
    </row>
    <row r="2059" spans="1:13" x14ac:dyDescent="0.2">
      <c r="A2059" s="101">
        <v>5638</v>
      </c>
      <c r="B2059" s="70" t="s">
        <v>250</v>
      </c>
      <c r="C2059" s="99">
        <v>8500</v>
      </c>
      <c r="D2059" s="69">
        <v>12467</v>
      </c>
      <c r="E2059" s="69">
        <v>12467</v>
      </c>
      <c r="F2059" s="69">
        <v>0</v>
      </c>
      <c r="G2059" s="69">
        <f>F2059/$F$11*$G$11</f>
        <v>0</v>
      </c>
      <c r="H2059" s="69">
        <v>0</v>
      </c>
      <c r="I2059" s="69">
        <v>0</v>
      </c>
      <c r="J2059" s="69">
        <f>ROUND(I2059*1.05,0)</f>
        <v>0</v>
      </c>
      <c r="M2059" s="57"/>
    </row>
    <row r="2060" spans="1:13" x14ac:dyDescent="0.2">
      <c r="A2060" s="101">
        <v>5816</v>
      </c>
      <c r="B2060" s="71" t="s">
        <v>251</v>
      </c>
      <c r="C2060" s="56">
        <v>7344</v>
      </c>
      <c r="D2060" s="56">
        <v>10541</v>
      </c>
      <c r="E2060" s="56">
        <v>10541</v>
      </c>
      <c r="F2060" s="56">
        <v>6896</v>
      </c>
      <c r="G2060" s="56">
        <f>F2060/$F$11*$G$11</f>
        <v>8275.2000000000007</v>
      </c>
      <c r="H2060" s="56">
        <f>ROUND(G2060*1.1,0)</f>
        <v>9103</v>
      </c>
      <c r="I2060" s="56">
        <f>ROUND(H2060*1.06,0)</f>
        <v>9649</v>
      </c>
      <c r="J2060" s="56">
        <f>ROUND(I2060*1.06,0)</f>
        <v>10228</v>
      </c>
      <c r="M2060" s="57"/>
    </row>
    <row r="2061" spans="1:13" x14ac:dyDescent="0.2">
      <c r="B2061" s="58" t="s">
        <v>424</v>
      </c>
      <c r="C2061" s="100">
        <f t="shared" ref="C2061:J2061" si="288">SUM(C2059:C2060)</f>
        <v>15844</v>
      </c>
      <c r="D2061" s="100">
        <f t="shared" si="288"/>
        <v>23008</v>
      </c>
      <c r="E2061" s="100">
        <f t="shared" si="288"/>
        <v>23008</v>
      </c>
      <c r="F2061" s="100">
        <f t="shared" si="288"/>
        <v>6896</v>
      </c>
      <c r="G2061" s="100">
        <f t="shared" si="288"/>
        <v>8275.2000000000007</v>
      </c>
      <c r="H2061" s="100">
        <f t="shared" si="288"/>
        <v>9103</v>
      </c>
      <c r="I2061" s="100">
        <f t="shared" si="288"/>
        <v>9649</v>
      </c>
      <c r="J2061" s="100">
        <f t="shared" si="288"/>
        <v>10228</v>
      </c>
      <c r="M2061" s="57"/>
    </row>
    <row r="2062" spans="1:13" x14ac:dyDescent="0.2">
      <c r="B2062" s="58"/>
      <c r="C2062" s="99"/>
      <c r="D2062" s="99"/>
      <c r="E2062" s="99"/>
      <c r="F2062" s="99"/>
      <c r="G2062" s="99"/>
      <c r="H2062" s="99"/>
      <c r="I2062" s="99"/>
      <c r="J2062" s="99"/>
      <c r="M2062" s="57"/>
    </row>
    <row r="2063" spans="1:13" ht="13.5" thickBot="1" x14ac:dyDescent="0.25">
      <c r="B2063" s="65" t="s">
        <v>4043</v>
      </c>
      <c r="C2063" s="66">
        <f t="shared" ref="C2063:J2063" si="289">+C2061</f>
        <v>15844</v>
      </c>
      <c r="D2063" s="66">
        <f t="shared" si="289"/>
        <v>23008</v>
      </c>
      <c r="E2063" s="66">
        <f t="shared" si="289"/>
        <v>23008</v>
      </c>
      <c r="F2063" s="66">
        <f t="shared" si="289"/>
        <v>6896</v>
      </c>
      <c r="G2063" s="66">
        <f t="shared" si="289"/>
        <v>8275.2000000000007</v>
      </c>
      <c r="H2063" s="66">
        <f t="shared" si="289"/>
        <v>9103</v>
      </c>
      <c r="I2063" s="66">
        <f t="shared" si="289"/>
        <v>9649</v>
      </c>
      <c r="J2063" s="66">
        <f t="shared" si="289"/>
        <v>10228</v>
      </c>
      <c r="M2063" s="57"/>
    </row>
    <row r="2064" spans="1:13" ht="13.5" thickTop="1" x14ac:dyDescent="0.2">
      <c r="B2064" s="68"/>
      <c r="C2064" s="68"/>
      <c r="D2064" s="68"/>
      <c r="E2064" s="68"/>
      <c r="G2064" s="69"/>
      <c r="H2064" s="69"/>
      <c r="I2064" s="68"/>
      <c r="J2064" s="68"/>
      <c r="M2064" s="57"/>
    </row>
    <row r="2065" spans="1:13" x14ac:dyDescent="0.2">
      <c r="B2065" s="50" t="s">
        <v>4018</v>
      </c>
      <c r="C2065" s="50"/>
      <c r="D2065" s="50"/>
      <c r="E2065" s="50"/>
      <c r="F2065" s="24"/>
      <c r="G2065" s="69"/>
      <c r="H2065" s="69"/>
      <c r="I2065" s="50"/>
      <c r="J2065" s="50"/>
      <c r="M2065" s="57"/>
    </row>
    <row r="2066" spans="1:13" x14ac:dyDescent="0.2">
      <c r="B2066" s="50"/>
      <c r="C2066" s="50"/>
      <c r="D2066" s="50"/>
      <c r="E2066" s="50"/>
      <c r="F2066" s="24"/>
      <c r="G2066" s="69"/>
      <c r="H2066" s="69"/>
      <c r="I2066" s="50"/>
      <c r="J2066" s="50"/>
      <c r="M2066" s="57"/>
    </row>
    <row r="2067" spans="1:13" x14ac:dyDescent="0.2">
      <c r="B2067" s="58" t="s">
        <v>4019</v>
      </c>
      <c r="C2067" s="69"/>
      <c r="D2067" s="69"/>
      <c r="E2067" s="69"/>
      <c r="F2067" s="24"/>
      <c r="G2067" s="69"/>
      <c r="H2067" s="69"/>
      <c r="I2067" s="69"/>
      <c r="J2067" s="69"/>
      <c r="M2067" s="57"/>
    </row>
    <row r="2068" spans="1:13" x14ac:dyDescent="0.2">
      <c r="A2068" s="75">
        <v>1001</v>
      </c>
      <c r="B2068" s="70" t="s">
        <v>472</v>
      </c>
      <c r="C2068" s="69">
        <v>72059</v>
      </c>
      <c r="D2068" s="69">
        <v>97297</v>
      </c>
      <c r="E2068" s="69">
        <v>90720</v>
      </c>
      <c r="F2068" s="69">
        <v>83030</v>
      </c>
      <c r="G2068" s="69">
        <f t="shared" ref="G2068:G2080" si="290">F2068/$F$11*$G$11</f>
        <v>99636</v>
      </c>
      <c r="H2068" s="69">
        <f>[3]Salary_Bdgt!$H$271</f>
        <v>157712</v>
      </c>
      <c r="I2068" s="69">
        <f t="shared" ref="I2068:J2080" si="291">ROUND(H2068*1.08,0)</f>
        <v>170329</v>
      </c>
      <c r="J2068" s="69">
        <f t="shared" si="291"/>
        <v>183955</v>
      </c>
      <c r="M2068" s="57"/>
    </row>
    <row r="2069" spans="1:13" x14ac:dyDescent="0.2">
      <c r="A2069" s="60">
        <v>1005</v>
      </c>
      <c r="B2069" s="70" t="s">
        <v>473</v>
      </c>
      <c r="C2069" s="69">
        <v>0</v>
      </c>
      <c r="D2069" s="69">
        <v>0</v>
      </c>
      <c r="E2069" s="69">
        <v>0</v>
      </c>
      <c r="F2069" s="69">
        <v>0</v>
      </c>
      <c r="G2069" s="69">
        <f t="shared" si="290"/>
        <v>0</v>
      </c>
      <c r="H2069" s="69">
        <f>+[3]Salary_Bdgt!$L$271</f>
        <v>0</v>
      </c>
      <c r="I2069" s="69">
        <f t="shared" si="291"/>
        <v>0</v>
      </c>
      <c r="J2069" s="69">
        <f t="shared" si="291"/>
        <v>0</v>
      </c>
      <c r="M2069" s="57"/>
    </row>
    <row r="2070" spans="1:13" x14ac:dyDescent="0.2">
      <c r="A2070" s="75">
        <v>1006</v>
      </c>
      <c r="B2070" s="70" t="s">
        <v>474</v>
      </c>
      <c r="C2070" s="69">
        <v>13816</v>
      </c>
      <c r="D2070" s="69">
        <v>9000</v>
      </c>
      <c r="E2070" s="69">
        <f>+D2070+6050</f>
        <v>15050</v>
      </c>
      <c r="F2070" s="69">
        <v>15805</v>
      </c>
      <c r="G2070" s="69">
        <f t="shared" si="290"/>
        <v>18966</v>
      </c>
      <c r="H2070" s="69">
        <f>+[3]Salary_Bdgt!$N$271</f>
        <v>32356</v>
      </c>
      <c r="I2070" s="69">
        <f t="shared" si="291"/>
        <v>34944</v>
      </c>
      <c r="J2070" s="69">
        <f t="shared" si="291"/>
        <v>37740</v>
      </c>
      <c r="M2070" s="57"/>
    </row>
    <row r="2071" spans="1:13" x14ac:dyDescent="0.2">
      <c r="A2071" s="60">
        <v>1007</v>
      </c>
      <c r="B2071" s="70" t="s">
        <v>481</v>
      </c>
      <c r="C2071" s="69">
        <v>767</v>
      </c>
      <c r="D2071" s="69">
        <v>2077</v>
      </c>
      <c r="E2071" s="69">
        <f>+D2071</f>
        <v>2077</v>
      </c>
      <c r="F2071" s="69">
        <v>923</v>
      </c>
      <c r="G2071" s="69">
        <f t="shared" si="290"/>
        <v>1107.5999999999999</v>
      </c>
      <c r="H2071" s="69">
        <f>+[3]Salary_Bdgt!$I$271</f>
        <v>3261</v>
      </c>
      <c r="I2071" s="69">
        <f t="shared" si="291"/>
        <v>3522</v>
      </c>
      <c r="J2071" s="69">
        <f t="shared" si="291"/>
        <v>3804</v>
      </c>
      <c r="M2071" s="57"/>
    </row>
    <row r="2072" spans="1:13" x14ac:dyDescent="0.2">
      <c r="A2072" s="75">
        <v>1009</v>
      </c>
      <c r="B2072" s="70" t="s">
        <v>482</v>
      </c>
      <c r="C2072" s="69">
        <v>69</v>
      </c>
      <c r="D2072" s="69">
        <f>[2]Sal_RIA!$M$203</f>
        <v>77</v>
      </c>
      <c r="E2072" s="69">
        <f>+D2072</f>
        <v>77</v>
      </c>
      <c r="F2072" s="69">
        <v>75</v>
      </c>
      <c r="G2072" s="69">
        <f t="shared" si="290"/>
        <v>90</v>
      </c>
      <c r="H2072" s="69">
        <f>+[3]Salary_Bdgt!$M$271</f>
        <v>135</v>
      </c>
      <c r="I2072" s="69">
        <f t="shared" si="291"/>
        <v>146</v>
      </c>
      <c r="J2072" s="69">
        <f t="shared" si="291"/>
        <v>158</v>
      </c>
      <c r="M2072" s="57"/>
    </row>
    <row r="2073" spans="1:13" x14ac:dyDescent="0.2">
      <c r="A2073" s="75">
        <v>1011</v>
      </c>
      <c r="B2073" s="70" t="s">
        <v>4045</v>
      </c>
      <c r="C2073" s="69">
        <v>0</v>
      </c>
      <c r="D2073" s="69">
        <v>0</v>
      </c>
      <c r="E2073" s="69">
        <v>0</v>
      </c>
      <c r="F2073" s="69">
        <v>0</v>
      </c>
      <c r="G2073" s="69">
        <f t="shared" si="290"/>
        <v>0</v>
      </c>
      <c r="H2073" s="69">
        <f>+[3]Salary_Bdgt!$U$271</f>
        <v>0</v>
      </c>
      <c r="I2073" s="69">
        <f t="shared" si="291"/>
        <v>0</v>
      </c>
      <c r="J2073" s="69">
        <f t="shared" si="291"/>
        <v>0</v>
      </c>
      <c r="M2073" s="57"/>
    </row>
    <row r="2074" spans="1:13" x14ac:dyDescent="0.2">
      <c r="A2074" s="75">
        <v>1016</v>
      </c>
      <c r="B2074" s="70" t="s">
        <v>475</v>
      </c>
      <c r="C2074" s="69">
        <v>0</v>
      </c>
      <c r="D2074" s="69">
        <v>0</v>
      </c>
      <c r="E2074" s="69">
        <v>0</v>
      </c>
      <c r="F2074" s="69">
        <v>737</v>
      </c>
      <c r="G2074" s="69">
        <f t="shared" si="290"/>
        <v>884.40000000000009</v>
      </c>
      <c r="H2074" s="69">
        <f>+[3]Salary_Bdgt!$T$271+[3]Salary_Bdgt!$V$271</f>
        <v>3554</v>
      </c>
      <c r="I2074" s="69">
        <f t="shared" si="291"/>
        <v>3838</v>
      </c>
      <c r="J2074" s="69">
        <f t="shared" si="291"/>
        <v>4145</v>
      </c>
      <c r="M2074" s="57"/>
    </row>
    <row r="2075" spans="1:13" x14ac:dyDescent="0.2">
      <c r="A2075" s="75">
        <v>1014</v>
      </c>
      <c r="B2075" s="70" t="s">
        <v>36</v>
      </c>
      <c r="C2075" s="69">
        <v>0</v>
      </c>
      <c r="D2075" s="69">
        <v>0</v>
      </c>
      <c r="E2075" s="69">
        <v>0</v>
      </c>
      <c r="F2075" s="69">
        <v>0</v>
      </c>
      <c r="G2075" s="69">
        <f t="shared" si="290"/>
        <v>0</v>
      </c>
      <c r="H2075" s="69">
        <f>+[3]Salary_Bdgt!$S$271</f>
        <v>0</v>
      </c>
      <c r="I2075" s="69">
        <f t="shared" si="291"/>
        <v>0</v>
      </c>
      <c r="J2075" s="69">
        <f t="shared" si="291"/>
        <v>0</v>
      </c>
      <c r="M2075" s="57"/>
    </row>
    <row r="2076" spans="1:13" x14ac:dyDescent="0.2">
      <c r="A2076" s="75">
        <v>1046</v>
      </c>
      <c r="B2076" s="70" t="s">
        <v>491</v>
      </c>
      <c r="C2076" s="69">
        <v>0</v>
      </c>
      <c r="D2076" s="69">
        <v>0</v>
      </c>
      <c r="E2076" s="69">
        <v>0</v>
      </c>
      <c r="F2076" s="69">
        <v>0</v>
      </c>
      <c r="G2076" s="69">
        <f t="shared" si="290"/>
        <v>0</v>
      </c>
      <c r="H2076" s="69">
        <f>+[3]Salary_Bdgt!$R$271</f>
        <v>0</v>
      </c>
      <c r="I2076" s="69">
        <f t="shared" si="291"/>
        <v>0</v>
      </c>
      <c r="J2076" s="69">
        <f t="shared" si="291"/>
        <v>0</v>
      </c>
      <c r="M2076" s="57"/>
    </row>
    <row r="2077" spans="1:13" x14ac:dyDescent="0.2">
      <c r="A2077" s="75">
        <v>1010</v>
      </c>
      <c r="B2077" s="70" t="s">
        <v>28</v>
      </c>
      <c r="C2077" s="69">
        <v>3773</v>
      </c>
      <c r="D2077" s="69">
        <v>8108</v>
      </c>
      <c r="E2077" s="69">
        <f>+D2077+527</f>
        <v>8635</v>
      </c>
      <c r="F2077" s="69">
        <v>7767</v>
      </c>
      <c r="G2077" s="69">
        <f t="shared" si="290"/>
        <v>9320.4000000000015</v>
      </c>
      <c r="H2077" s="69">
        <f>+[3]Salary_Bdgt!$Q$271</f>
        <v>13143</v>
      </c>
      <c r="I2077" s="69">
        <f t="shared" si="291"/>
        <v>14194</v>
      </c>
      <c r="J2077" s="69">
        <f t="shared" si="291"/>
        <v>15330</v>
      </c>
      <c r="M2077" s="57"/>
    </row>
    <row r="2078" spans="1:13" x14ac:dyDescent="0.2">
      <c r="A2078" s="75">
        <v>1015</v>
      </c>
      <c r="B2078" s="70" t="s">
        <v>445</v>
      </c>
      <c r="C2078" s="69">
        <v>853</v>
      </c>
      <c r="D2078" s="69">
        <v>24811</v>
      </c>
      <c r="E2078" s="69">
        <f>+D2078</f>
        <v>24811</v>
      </c>
      <c r="F2078" s="69">
        <v>718</v>
      </c>
      <c r="G2078" s="69">
        <f t="shared" si="290"/>
        <v>861.59999999999991</v>
      </c>
      <c r="H2078" s="69">
        <f>+[3]Salary_Bdgt!$O$271+[3]Salary_Bdgt!$P$271+[3]Salary_Bdgt!$W$271</f>
        <v>7125</v>
      </c>
      <c r="I2078" s="69">
        <f t="shared" si="291"/>
        <v>7695</v>
      </c>
      <c r="J2078" s="69">
        <f t="shared" si="291"/>
        <v>8311</v>
      </c>
      <c r="M2078" s="57"/>
    </row>
    <row r="2079" spans="1:13" x14ac:dyDescent="0.2">
      <c r="A2079" s="75">
        <v>1017</v>
      </c>
      <c r="B2079" s="70" t="s">
        <v>4044</v>
      </c>
      <c r="C2079" s="69">
        <v>889</v>
      </c>
      <c r="D2079" s="69">
        <v>2077</v>
      </c>
      <c r="E2079" s="69">
        <f>+D2079</f>
        <v>2077</v>
      </c>
      <c r="F2079" s="69">
        <v>451</v>
      </c>
      <c r="G2079" s="69">
        <f t="shared" si="290"/>
        <v>541.20000000000005</v>
      </c>
      <c r="H2079" s="69">
        <f>+[3]Salary_Bdgt!$J$271</f>
        <v>3261</v>
      </c>
      <c r="I2079" s="69">
        <f t="shared" si="291"/>
        <v>3522</v>
      </c>
      <c r="J2079" s="69">
        <f t="shared" si="291"/>
        <v>3804</v>
      </c>
      <c r="M2079" s="57"/>
    </row>
    <row r="2080" spans="1:13" x14ac:dyDescent="0.2">
      <c r="A2080" s="75">
        <v>1182</v>
      </c>
      <c r="B2080" s="71" t="s">
        <v>1065</v>
      </c>
      <c r="C2080" s="56">
        <v>681</v>
      </c>
      <c r="D2080" s="56">
        <v>1932</v>
      </c>
      <c r="E2080" s="56">
        <f>+D2080</f>
        <v>1932</v>
      </c>
      <c r="F2080" s="56">
        <v>0</v>
      </c>
      <c r="G2080" s="56">
        <f t="shared" si="290"/>
        <v>0</v>
      </c>
      <c r="H2080" s="56">
        <f>+[3]Salary_Bdgt!$K$271</f>
        <v>3033</v>
      </c>
      <c r="I2080" s="56">
        <f t="shared" si="291"/>
        <v>3276</v>
      </c>
      <c r="J2080" s="56">
        <f t="shared" si="291"/>
        <v>3538</v>
      </c>
      <c r="M2080" s="57"/>
    </row>
    <row r="2081" spans="1:13" x14ac:dyDescent="0.2">
      <c r="B2081" s="58" t="s">
        <v>416</v>
      </c>
      <c r="C2081" s="72">
        <f t="shared" ref="C2081:J2081" si="292">SUM(C2068:C2080)</f>
        <v>92907</v>
      </c>
      <c r="D2081" s="72">
        <f t="shared" si="292"/>
        <v>145379</v>
      </c>
      <c r="E2081" s="72">
        <f t="shared" si="292"/>
        <v>145379</v>
      </c>
      <c r="F2081" s="72">
        <f t="shared" si="292"/>
        <v>109506</v>
      </c>
      <c r="G2081" s="72">
        <f t="shared" si="292"/>
        <v>131407.20000000001</v>
      </c>
      <c r="H2081" s="72">
        <f t="shared" si="292"/>
        <v>223580</v>
      </c>
      <c r="I2081" s="72">
        <f t="shared" si="292"/>
        <v>241466</v>
      </c>
      <c r="J2081" s="72">
        <f t="shared" si="292"/>
        <v>260785</v>
      </c>
      <c r="M2081" s="57"/>
    </row>
    <row r="2082" spans="1:13" x14ac:dyDescent="0.2">
      <c r="B2082" s="58"/>
      <c r="C2082" s="69"/>
      <c r="D2082" s="69"/>
      <c r="E2082" s="69"/>
      <c r="G2082" s="69"/>
      <c r="H2082" s="69"/>
      <c r="I2082" s="69"/>
      <c r="J2082" s="69"/>
      <c r="M2082" s="57"/>
    </row>
    <row r="2083" spans="1:13" x14ac:dyDescent="0.2">
      <c r="B2083" s="58" t="s">
        <v>4021</v>
      </c>
      <c r="C2083" s="69"/>
      <c r="D2083" s="69"/>
      <c r="E2083" s="69"/>
      <c r="G2083" s="69"/>
      <c r="H2083" s="69"/>
      <c r="I2083" s="69"/>
      <c r="J2083" s="69"/>
      <c r="M2083" s="57"/>
    </row>
    <row r="2084" spans="1:13" x14ac:dyDescent="0.2">
      <c r="A2084" s="75">
        <v>3208</v>
      </c>
      <c r="B2084" s="71" t="s">
        <v>33</v>
      </c>
      <c r="C2084" s="56">
        <v>1000</v>
      </c>
      <c r="D2084" s="56">
        <v>80000</v>
      </c>
      <c r="E2084" s="56">
        <v>80000</v>
      </c>
      <c r="F2084" s="56">
        <v>0</v>
      </c>
      <c r="G2084" s="56">
        <f>F2084/$F$11*$G$11</f>
        <v>0</v>
      </c>
      <c r="H2084" s="56">
        <f>ROUND(E2084*1.05,0)</f>
        <v>84000</v>
      </c>
      <c r="I2084" s="56">
        <f>ROUND(H2084*1.06,0)</f>
        <v>89040</v>
      </c>
      <c r="J2084" s="56">
        <f>ROUND(I2084*1.06,0)</f>
        <v>94382</v>
      </c>
      <c r="M2084" s="57"/>
    </row>
    <row r="2085" spans="1:13" x14ac:dyDescent="0.2">
      <c r="B2085" s="58" t="s">
        <v>417</v>
      </c>
      <c r="C2085" s="72">
        <f>SUM(C2084:C2084)</f>
        <v>1000</v>
      </c>
      <c r="D2085" s="72">
        <f t="shared" ref="D2085:J2085" si="293">SUM(D2084:D2084)</f>
        <v>80000</v>
      </c>
      <c r="E2085" s="72">
        <f t="shared" si="293"/>
        <v>80000</v>
      </c>
      <c r="F2085" s="72">
        <f t="shared" si="293"/>
        <v>0</v>
      </c>
      <c r="G2085" s="72">
        <f t="shared" si="293"/>
        <v>0</v>
      </c>
      <c r="H2085" s="72">
        <f t="shared" si="293"/>
        <v>84000</v>
      </c>
      <c r="I2085" s="72">
        <f t="shared" si="293"/>
        <v>89040</v>
      </c>
      <c r="J2085" s="72">
        <f t="shared" si="293"/>
        <v>94382</v>
      </c>
      <c r="M2085" s="57"/>
    </row>
    <row r="2086" spans="1:13" x14ac:dyDescent="0.2">
      <c r="B2086" s="58"/>
      <c r="C2086" s="69"/>
      <c r="D2086" s="69"/>
      <c r="E2086" s="69"/>
      <c r="F2086" s="24"/>
      <c r="G2086" s="69"/>
      <c r="H2086" s="69"/>
      <c r="I2086" s="69"/>
      <c r="J2086" s="69"/>
      <c r="M2086" s="57"/>
    </row>
    <row r="2087" spans="1:13" x14ac:dyDescent="0.2">
      <c r="B2087" s="58" t="s">
        <v>435</v>
      </c>
      <c r="C2087" s="69"/>
      <c r="D2087" s="69"/>
      <c r="E2087" s="69"/>
      <c r="F2087" s="24"/>
      <c r="G2087" s="69"/>
      <c r="H2087" s="69"/>
      <c r="I2087" s="69"/>
      <c r="J2087" s="69"/>
      <c r="M2087" s="57"/>
    </row>
    <row r="2088" spans="1:13" x14ac:dyDescent="0.2">
      <c r="A2088" s="75">
        <v>2217</v>
      </c>
      <c r="B2088" s="70" t="s">
        <v>252</v>
      </c>
      <c r="C2088" s="69">
        <v>0</v>
      </c>
      <c r="D2088" s="69">
        <v>1050</v>
      </c>
      <c r="E2088" s="69">
        <v>1050</v>
      </c>
      <c r="F2088" s="69">
        <v>0</v>
      </c>
      <c r="G2088" s="69">
        <f>F2088/$F$11*$G$11</f>
        <v>0</v>
      </c>
      <c r="H2088" s="69">
        <f>ROUND(E2088*1.05,0)</f>
        <v>1103</v>
      </c>
      <c r="I2088" s="69">
        <f t="shared" ref="I2088:J2092" si="294">ROUND(H2088*1.06,0)</f>
        <v>1169</v>
      </c>
      <c r="J2088" s="69">
        <f t="shared" si="294"/>
        <v>1239</v>
      </c>
      <c r="M2088" s="57"/>
    </row>
    <row r="2089" spans="1:13" x14ac:dyDescent="0.2">
      <c r="A2089" s="75">
        <v>2221</v>
      </c>
      <c r="B2089" s="70" t="s">
        <v>23</v>
      </c>
      <c r="C2089" s="69">
        <v>200</v>
      </c>
      <c r="D2089" s="69">
        <v>0</v>
      </c>
      <c r="E2089" s="69">
        <v>0</v>
      </c>
      <c r="F2089" s="69">
        <v>0</v>
      </c>
      <c r="G2089" s="69">
        <f>F2089/$F$11*$G$11</f>
        <v>0</v>
      </c>
      <c r="H2089" s="69">
        <f>ROUND(E2089*1.05,0)</f>
        <v>0</v>
      </c>
      <c r="I2089" s="69">
        <f t="shared" si="294"/>
        <v>0</v>
      </c>
      <c r="J2089" s="69">
        <f t="shared" si="294"/>
        <v>0</v>
      </c>
      <c r="M2089" s="57"/>
    </row>
    <row r="2090" spans="1:13" x14ac:dyDescent="0.2">
      <c r="A2090" s="75">
        <v>2081</v>
      </c>
      <c r="B2090" s="70" t="s">
        <v>496</v>
      </c>
      <c r="C2090" s="69">
        <v>0</v>
      </c>
      <c r="D2090" s="69">
        <v>0</v>
      </c>
      <c r="E2090" s="69">
        <v>0</v>
      </c>
      <c r="F2090" s="69">
        <v>0</v>
      </c>
      <c r="G2090" s="69">
        <f>F2090/$F$11*$G$11</f>
        <v>0</v>
      </c>
      <c r="H2090" s="69">
        <f>ROUND(E2090*1.05,0)</f>
        <v>0</v>
      </c>
      <c r="I2090" s="69">
        <f t="shared" si="294"/>
        <v>0</v>
      </c>
      <c r="J2090" s="69">
        <f t="shared" si="294"/>
        <v>0</v>
      </c>
      <c r="M2090" s="57"/>
    </row>
    <row r="2091" spans="1:13" s="9" customFormat="1" x14ac:dyDescent="0.2">
      <c r="A2091" s="75">
        <v>2297</v>
      </c>
      <c r="B2091" s="70" t="s">
        <v>4130</v>
      </c>
      <c r="C2091" s="69">
        <v>4326</v>
      </c>
      <c r="D2091" s="69">
        <v>31500</v>
      </c>
      <c r="E2091" s="69">
        <v>31500</v>
      </c>
      <c r="F2091" s="69">
        <v>0</v>
      </c>
      <c r="G2091" s="69">
        <f>F2091/$F$11*$G$11</f>
        <v>0</v>
      </c>
      <c r="H2091" s="69">
        <f>ROUND(E2091*1.05,0)</f>
        <v>33075</v>
      </c>
      <c r="I2091" s="69">
        <f t="shared" si="294"/>
        <v>35060</v>
      </c>
      <c r="J2091" s="69">
        <f t="shared" si="294"/>
        <v>37164</v>
      </c>
      <c r="M2091" s="57"/>
    </row>
    <row r="2092" spans="1:13" s="9" customFormat="1" x14ac:dyDescent="0.2">
      <c r="A2092" s="75">
        <v>2305</v>
      </c>
      <c r="B2092" s="71" t="s">
        <v>31</v>
      </c>
      <c r="C2092" s="56">
        <v>0</v>
      </c>
      <c r="D2092" s="56">
        <v>5250</v>
      </c>
      <c r="E2092" s="56">
        <v>5250</v>
      </c>
      <c r="F2092" s="56">
        <v>0</v>
      </c>
      <c r="G2092" s="56">
        <f>F2092/$F$11*$G$11</f>
        <v>0</v>
      </c>
      <c r="H2092" s="56">
        <f>ROUND(E2092*1.05,0)</f>
        <v>5513</v>
      </c>
      <c r="I2092" s="56">
        <f t="shared" si="294"/>
        <v>5844</v>
      </c>
      <c r="J2092" s="56">
        <f t="shared" si="294"/>
        <v>6195</v>
      </c>
      <c r="M2092" s="57"/>
    </row>
    <row r="2093" spans="1:13" s="9" customFormat="1" x14ac:dyDescent="0.2">
      <c r="A2093" s="37"/>
      <c r="B2093" s="58" t="s">
        <v>436</v>
      </c>
      <c r="C2093" s="72">
        <f t="shared" ref="C2093:J2093" si="295">SUM(C2088:C2092)</f>
        <v>4526</v>
      </c>
      <c r="D2093" s="72">
        <f t="shared" si="295"/>
        <v>37800</v>
      </c>
      <c r="E2093" s="72">
        <f t="shared" si="295"/>
        <v>37800</v>
      </c>
      <c r="F2093" s="72">
        <f t="shared" si="295"/>
        <v>0</v>
      </c>
      <c r="G2093" s="72">
        <f t="shared" si="295"/>
        <v>0</v>
      </c>
      <c r="H2093" s="72">
        <f t="shared" si="295"/>
        <v>39691</v>
      </c>
      <c r="I2093" s="72">
        <f t="shared" si="295"/>
        <v>42073</v>
      </c>
      <c r="J2093" s="72">
        <f t="shared" si="295"/>
        <v>44598</v>
      </c>
      <c r="M2093" s="57"/>
    </row>
    <row r="2094" spans="1:13" x14ac:dyDescent="0.2">
      <c r="B2094" s="61"/>
      <c r="C2094" s="97"/>
      <c r="D2094" s="97"/>
      <c r="E2094" s="97"/>
      <c r="F2094" s="97"/>
      <c r="G2094" s="97"/>
      <c r="H2094" s="97"/>
      <c r="I2094" s="97"/>
      <c r="J2094" s="97"/>
      <c r="M2094" s="57"/>
    </row>
    <row r="2095" spans="1:13" x14ac:dyDescent="0.2">
      <c r="B2095" s="58" t="s">
        <v>4055</v>
      </c>
      <c r="C2095" s="73">
        <f t="shared" ref="C2095:J2095" si="296">C2081+C2085+C2093</f>
        <v>98433</v>
      </c>
      <c r="D2095" s="73">
        <f t="shared" si="296"/>
        <v>263179</v>
      </c>
      <c r="E2095" s="73">
        <f t="shared" si="296"/>
        <v>263179</v>
      </c>
      <c r="F2095" s="73">
        <f t="shared" si="296"/>
        <v>109506</v>
      </c>
      <c r="G2095" s="73">
        <f t="shared" si="296"/>
        <v>131407.20000000001</v>
      </c>
      <c r="H2095" s="73">
        <f t="shared" si="296"/>
        <v>347271</v>
      </c>
      <c r="I2095" s="73">
        <f t="shared" si="296"/>
        <v>372579</v>
      </c>
      <c r="J2095" s="73">
        <f t="shared" si="296"/>
        <v>399765</v>
      </c>
      <c r="M2095" s="57"/>
    </row>
    <row r="2096" spans="1:13" x14ac:dyDescent="0.2">
      <c r="B2096" s="58"/>
      <c r="C2096" s="96"/>
      <c r="D2096" s="96"/>
      <c r="E2096" s="96"/>
      <c r="G2096" s="69"/>
      <c r="H2096" s="69"/>
      <c r="I2096" s="96"/>
      <c r="J2096" s="96"/>
      <c r="M2096" s="57"/>
    </row>
    <row r="2097" spans="1:13" x14ac:dyDescent="0.2">
      <c r="B2097" s="58" t="s">
        <v>418</v>
      </c>
      <c r="C2097" s="96"/>
      <c r="D2097" s="96"/>
      <c r="E2097" s="96"/>
      <c r="G2097" s="69"/>
      <c r="H2097" s="69"/>
      <c r="I2097" s="96"/>
      <c r="J2097" s="96"/>
      <c r="M2097" s="57"/>
    </row>
    <row r="2098" spans="1:13" x14ac:dyDescent="0.2">
      <c r="A2098" s="101">
        <v>4204</v>
      </c>
      <c r="B2098" s="70" t="s">
        <v>4058</v>
      </c>
      <c r="C2098" s="96">
        <v>0</v>
      </c>
      <c r="D2098" s="69">
        <v>3260</v>
      </c>
      <c r="E2098" s="69">
        <v>3260</v>
      </c>
      <c r="F2098" s="69">
        <v>0</v>
      </c>
      <c r="G2098" s="69">
        <f>F2098/$F$11*$G$11</f>
        <v>0</v>
      </c>
      <c r="H2098" s="69">
        <f>ROUND(E2098*1.08,0)</f>
        <v>3521</v>
      </c>
      <c r="I2098" s="69">
        <f>ROUND(H2098*1.08,0)</f>
        <v>3803</v>
      </c>
      <c r="J2098" s="69">
        <f>ROUND(I2098*1.08,0)</f>
        <v>4107</v>
      </c>
      <c r="M2098" s="57"/>
    </row>
    <row r="2099" spans="1:13" x14ac:dyDescent="0.2">
      <c r="A2099" s="101">
        <v>4209</v>
      </c>
      <c r="B2099" s="70" t="s">
        <v>237</v>
      </c>
      <c r="C2099" s="96">
        <v>158</v>
      </c>
      <c r="D2099" s="69">
        <v>0</v>
      </c>
      <c r="E2099" s="69">
        <v>0</v>
      </c>
      <c r="F2099" s="69">
        <v>0</v>
      </c>
      <c r="G2099" s="69">
        <f>F2099/$F$11*$G$11</f>
        <v>0</v>
      </c>
      <c r="H2099" s="69">
        <v>0</v>
      </c>
      <c r="I2099" s="69">
        <f>ROUND(D2099*1.05,0)</f>
        <v>0</v>
      </c>
      <c r="J2099" s="69">
        <f>ROUND(I2099*1.05,0)</f>
        <v>0</v>
      </c>
      <c r="M2099" s="57"/>
    </row>
    <row r="2100" spans="1:13" x14ac:dyDescent="0.2">
      <c r="A2100" s="101">
        <v>4207</v>
      </c>
      <c r="B2100" s="71" t="s">
        <v>222</v>
      </c>
      <c r="C2100" s="105">
        <v>0</v>
      </c>
      <c r="D2100" s="56">
        <v>5167</v>
      </c>
      <c r="E2100" s="56">
        <v>5167</v>
      </c>
      <c r="F2100" s="56">
        <v>0</v>
      </c>
      <c r="G2100" s="56">
        <f>F2100/$F$11*$G$11</f>
        <v>0</v>
      </c>
      <c r="H2100" s="56">
        <f>ROUND(E2100*1.08,0)</f>
        <v>5580</v>
      </c>
      <c r="I2100" s="56">
        <f>ROUND(H2100*1.08,0)</f>
        <v>6026</v>
      </c>
      <c r="J2100" s="56">
        <f>ROUND(I2100*1.08,0)</f>
        <v>6508</v>
      </c>
      <c r="M2100" s="57"/>
    </row>
    <row r="2101" spans="1:13" x14ac:dyDescent="0.2">
      <c r="B2101" s="58" t="s">
        <v>419</v>
      </c>
      <c r="C2101" s="72">
        <f t="shared" ref="C2101:J2101" si="297">SUM(C2098:C2100)</f>
        <v>158</v>
      </c>
      <c r="D2101" s="72">
        <f t="shared" si="297"/>
        <v>8427</v>
      </c>
      <c r="E2101" s="72">
        <f t="shared" si="297"/>
        <v>8427</v>
      </c>
      <c r="F2101" s="72">
        <f t="shared" si="297"/>
        <v>0</v>
      </c>
      <c r="G2101" s="72">
        <f t="shared" si="297"/>
        <v>0</v>
      </c>
      <c r="H2101" s="72">
        <f t="shared" si="297"/>
        <v>9101</v>
      </c>
      <c r="I2101" s="72">
        <f t="shared" si="297"/>
        <v>9829</v>
      </c>
      <c r="J2101" s="72">
        <f t="shared" si="297"/>
        <v>10615</v>
      </c>
      <c r="M2101" s="57"/>
    </row>
    <row r="2102" spans="1:13" x14ac:dyDescent="0.2">
      <c r="B2102" s="58"/>
      <c r="C2102" s="96"/>
      <c r="D2102" s="96"/>
      <c r="E2102" s="96"/>
      <c r="F2102" s="24"/>
      <c r="G2102" s="69"/>
      <c r="H2102" s="69"/>
      <c r="I2102" s="96"/>
      <c r="J2102" s="96"/>
      <c r="M2102" s="57"/>
    </row>
    <row r="2103" spans="1:13" ht="13.5" thickBot="1" x14ac:dyDescent="0.25">
      <c r="B2103" s="65" t="s">
        <v>4033</v>
      </c>
      <c r="C2103" s="76">
        <f t="shared" ref="C2103:J2103" si="298">C2095+C2101</f>
        <v>98591</v>
      </c>
      <c r="D2103" s="76">
        <f t="shared" si="298"/>
        <v>271606</v>
      </c>
      <c r="E2103" s="76">
        <f t="shared" si="298"/>
        <v>271606</v>
      </c>
      <c r="F2103" s="76">
        <f t="shared" si="298"/>
        <v>109506</v>
      </c>
      <c r="G2103" s="76">
        <f t="shared" si="298"/>
        <v>131407.20000000001</v>
      </c>
      <c r="H2103" s="76">
        <f t="shared" si="298"/>
        <v>356372</v>
      </c>
      <c r="I2103" s="76">
        <f t="shared" si="298"/>
        <v>382408</v>
      </c>
      <c r="J2103" s="76">
        <f t="shared" si="298"/>
        <v>410380</v>
      </c>
      <c r="M2103" s="57"/>
    </row>
    <row r="2104" spans="1:13" ht="13.5" thickTop="1" x14ac:dyDescent="0.2">
      <c r="B2104" s="58"/>
      <c r="C2104" s="72"/>
      <c r="D2104" s="72"/>
      <c r="E2104" s="72"/>
      <c r="F2104" s="72"/>
      <c r="G2104" s="72"/>
      <c r="H2104" s="72"/>
      <c r="I2104" s="72"/>
      <c r="J2104" s="72"/>
      <c r="M2104" s="57"/>
    </row>
    <row r="2105" spans="1:13" ht="13.5" thickBot="1" x14ac:dyDescent="0.25">
      <c r="B2105" s="65" t="s">
        <v>4059</v>
      </c>
      <c r="C2105" s="77">
        <f t="shared" ref="C2105:J2105" si="299">C2063-C2103</f>
        <v>-82747</v>
      </c>
      <c r="D2105" s="77">
        <f t="shared" si="299"/>
        <v>-248598</v>
      </c>
      <c r="E2105" s="77">
        <f t="shared" si="299"/>
        <v>-248598</v>
      </c>
      <c r="F2105" s="77">
        <f t="shared" si="299"/>
        <v>-102610</v>
      </c>
      <c r="G2105" s="77">
        <f t="shared" si="299"/>
        <v>-123132.00000000001</v>
      </c>
      <c r="H2105" s="77">
        <f t="shared" si="299"/>
        <v>-347269</v>
      </c>
      <c r="I2105" s="77">
        <f t="shared" si="299"/>
        <v>-372759</v>
      </c>
      <c r="J2105" s="77">
        <f t="shared" si="299"/>
        <v>-400152</v>
      </c>
      <c r="M2105" s="57"/>
    </row>
    <row r="2106" spans="1:13" ht="13.5" thickTop="1" x14ac:dyDescent="0.2">
      <c r="B2106" s="58"/>
      <c r="C2106" s="78"/>
      <c r="D2106" s="78"/>
      <c r="E2106" s="78"/>
      <c r="G2106" s="69"/>
      <c r="H2106" s="69"/>
      <c r="I2106" s="78"/>
      <c r="J2106" s="78"/>
      <c r="M2106" s="57"/>
    </row>
    <row r="2107" spans="1:13" x14ac:dyDescent="0.2">
      <c r="G2107" s="69"/>
      <c r="H2107" s="69"/>
      <c r="M2107" s="57"/>
    </row>
    <row r="2108" spans="1:13" x14ac:dyDescent="0.2">
      <c r="G2108" s="69"/>
      <c r="H2108" s="69"/>
      <c r="M2108" s="57"/>
    </row>
    <row r="2109" spans="1:13" x14ac:dyDescent="0.2">
      <c r="G2109" s="69"/>
      <c r="H2109" s="69"/>
      <c r="M2109" s="57"/>
    </row>
    <row r="2110" spans="1:13" x14ac:dyDescent="0.2">
      <c r="G2110" s="69"/>
      <c r="H2110" s="69"/>
      <c r="M2110" s="57"/>
    </row>
    <row r="2111" spans="1:13" x14ac:dyDescent="0.2">
      <c r="G2111" s="69"/>
      <c r="H2111" s="69"/>
      <c r="M2111" s="57"/>
    </row>
    <row r="2112" spans="1:13" x14ac:dyDescent="0.2">
      <c r="G2112" s="69"/>
      <c r="H2112" s="69"/>
      <c r="M2112" s="57"/>
    </row>
    <row r="2113" spans="7:13" x14ac:dyDescent="0.2">
      <c r="G2113" s="69"/>
      <c r="H2113" s="69"/>
      <c r="M2113" s="57"/>
    </row>
    <row r="2114" spans="7:13" x14ac:dyDescent="0.2">
      <c r="G2114" s="69"/>
      <c r="H2114" s="69"/>
      <c r="M2114" s="57"/>
    </row>
    <row r="2115" spans="7:13" x14ac:dyDescent="0.2">
      <c r="G2115" s="69"/>
      <c r="H2115" s="69"/>
      <c r="M2115" s="57"/>
    </row>
    <row r="2116" spans="7:13" x14ac:dyDescent="0.2">
      <c r="G2116" s="69"/>
      <c r="H2116" s="69"/>
      <c r="M2116" s="57"/>
    </row>
    <row r="2117" spans="7:13" x14ac:dyDescent="0.2">
      <c r="G2117" s="69"/>
      <c r="H2117" s="69"/>
      <c r="M2117" s="57"/>
    </row>
    <row r="2118" spans="7:13" x14ac:dyDescent="0.2">
      <c r="G2118" s="69"/>
      <c r="H2118" s="69"/>
      <c r="M2118" s="57"/>
    </row>
    <row r="2119" spans="7:13" x14ac:dyDescent="0.2">
      <c r="G2119" s="69"/>
      <c r="H2119" s="69"/>
      <c r="M2119" s="57"/>
    </row>
    <row r="2120" spans="7:13" x14ac:dyDescent="0.2">
      <c r="G2120" s="69"/>
      <c r="H2120" s="69"/>
      <c r="M2120" s="57"/>
    </row>
    <row r="2121" spans="7:13" x14ac:dyDescent="0.2">
      <c r="G2121" s="69"/>
      <c r="H2121" s="69"/>
      <c r="M2121" s="57"/>
    </row>
    <row r="2122" spans="7:13" x14ac:dyDescent="0.2">
      <c r="G2122" s="69"/>
      <c r="H2122" s="69"/>
      <c r="M2122" s="57"/>
    </row>
    <row r="2123" spans="7:13" x14ac:dyDescent="0.2">
      <c r="G2123" s="69"/>
      <c r="H2123" s="69"/>
      <c r="M2123" s="57"/>
    </row>
    <row r="2124" spans="7:13" x14ac:dyDescent="0.2">
      <c r="G2124" s="69"/>
      <c r="H2124" s="69"/>
      <c r="M2124" s="57"/>
    </row>
    <row r="2125" spans="7:13" x14ac:dyDescent="0.2">
      <c r="G2125" s="69"/>
      <c r="H2125" s="69"/>
      <c r="M2125" s="57"/>
    </row>
    <row r="2126" spans="7:13" x14ac:dyDescent="0.2">
      <c r="G2126" s="69"/>
      <c r="H2126" s="69"/>
      <c r="M2126" s="57"/>
    </row>
    <row r="2127" spans="7:13" x14ac:dyDescent="0.2">
      <c r="G2127" s="69"/>
      <c r="H2127" s="69"/>
      <c r="M2127" s="57"/>
    </row>
    <row r="2128" spans="7:13" x14ac:dyDescent="0.2">
      <c r="G2128" s="69"/>
      <c r="H2128" s="69"/>
      <c r="M2128" s="57"/>
    </row>
    <row r="2129" spans="1:13" x14ac:dyDescent="0.2">
      <c r="A2129" s="6"/>
      <c r="B2129" s="6"/>
      <c r="C2129" s="6"/>
      <c r="D2129" s="6"/>
      <c r="E2129" s="6"/>
      <c r="G2129" s="69"/>
      <c r="H2129" s="69"/>
      <c r="I2129" s="6"/>
      <c r="J2129" s="6"/>
      <c r="M2129" s="57"/>
    </row>
    <row r="2130" spans="1:13" x14ac:dyDescent="0.2">
      <c r="A2130" s="6"/>
      <c r="B2130" s="6"/>
      <c r="C2130" s="6"/>
      <c r="D2130" s="6"/>
      <c r="E2130" s="6"/>
      <c r="G2130" s="69"/>
      <c r="H2130" s="69"/>
      <c r="I2130" s="6"/>
      <c r="J2130" s="6"/>
      <c r="M2130" s="57"/>
    </row>
    <row r="2131" spans="1:13" s="24" customFormat="1" x14ac:dyDescent="0.2">
      <c r="A2131" s="6"/>
      <c r="B2131" s="6"/>
      <c r="C2131" s="6"/>
      <c r="D2131" s="6"/>
      <c r="E2131" s="6"/>
      <c r="F2131" s="2"/>
      <c r="G2131" s="69"/>
      <c r="H2131" s="69"/>
      <c r="I2131" s="6"/>
      <c r="J2131" s="6"/>
      <c r="M2131" s="57"/>
    </row>
    <row r="2132" spans="1:13" s="24" customFormat="1" x14ac:dyDescent="0.2">
      <c r="A2132" s="6"/>
      <c r="B2132" s="6"/>
      <c r="C2132" s="6"/>
      <c r="D2132" s="6"/>
      <c r="E2132" s="6"/>
      <c r="F2132" s="2"/>
      <c r="G2132" s="69"/>
      <c r="H2132" s="69"/>
      <c r="I2132" s="6"/>
      <c r="J2132" s="6"/>
      <c r="M2132" s="57"/>
    </row>
    <row r="2133" spans="1:13" s="24" customFormat="1" x14ac:dyDescent="0.2">
      <c r="A2133" s="6"/>
      <c r="B2133" s="6"/>
      <c r="C2133" s="6"/>
      <c r="D2133" s="6"/>
      <c r="E2133" s="6"/>
      <c r="F2133" s="2"/>
      <c r="G2133" s="69"/>
      <c r="H2133" s="69"/>
      <c r="I2133" s="6"/>
      <c r="J2133" s="6"/>
      <c r="M2133" s="57"/>
    </row>
    <row r="2134" spans="1:13" s="24" customFormat="1" ht="15.75" x14ac:dyDescent="0.25">
      <c r="A2134" s="98">
        <v>1700</v>
      </c>
      <c r="B2134" s="123" t="s">
        <v>253</v>
      </c>
      <c r="C2134" s="48"/>
      <c r="D2134" s="48"/>
      <c r="E2134" s="48"/>
      <c r="F2134" s="2"/>
      <c r="G2134" s="69"/>
      <c r="H2134" s="69"/>
      <c r="I2134" s="39"/>
      <c r="J2134" s="39"/>
      <c r="M2134" s="57"/>
    </row>
    <row r="2135" spans="1:13" s="24" customFormat="1" ht="15" x14ac:dyDescent="0.25">
      <c r="A2135" s="91">
        <v>1710</v>
      </c>
      <c r="B2135" s="48" t="s">
        <v>41</v>
      </c>
      <c r="C2135" s="48"/>
      <c r="D2135" s="48"/>
      <c r="E2135" s="48"/>
      <c r="F2135" s="2"/>
      <c r="G2135" s="69"/>
      <c r="H2135" s="69"/>
      <c r="I2135" s="39"/>
      <c r="J2135" s="39"/>
      <c r="M2135" s="57"/>
    </row>
    <row r="2136" spans="1:13" s="24" customFormat="1" x14ac:dyDescent="0.2">
      <c r="A2136" s="37"/>
      <c r="B2136" s="68"/>
      <c r="C2136" s="68"/>
      <c r="D2136" s="68"/>
      <c r="E2136" s="68"/>
      <c r="F2136" s="2"/>
      <c r="G2136" s="69"/>
      <c r="H2136" s="69"/>
      <c r="I2136" s="68"/>
      <c r="J2136" s="68"/>
      <c r="M2136" s="57"/>
    </row>
    <row r="2137" spans="1:13" s="24" customFormat="1" ht="11.25" x14ac:dyDescent="0.2">
      <c r="A2137" s="75"/>
      <c r="B2137" s="58" t="s">
        <v>61</v>
      </c>
      <c r="C2137" s="53"/>
      <c r="D2137" s="53"/>
      <c r="E2137" s="53"/>
      <c r="G2137" s="69"/>
      <c r="H2137" s="69"/>
      <c r="I2137" s="53"/>
      <c r="J2137" s="53"/>
      <c r="M2137" s="57"/>
    </row>
    <row r="2138" spans="1:13" s="24" customFormat="1" ht="11.25" x14ac:dyDescent="0.2">
      <c r="A2138" s="75"/>
      <c r="B2138" s="53"/>
      <c r="C2138" s="53"/>
      <c r="D2138" s="53"/>
      <c r="E2138" s="53"/>
      <c r="G2138" s="69"/>
      <c r="H2138" s="69"/>
      <c r="I2138" s="53"/>
      <c r="J2138" s="53"/>
      <c r="M2138" s="57"/>
    </row>
    <row r="2139" spans="1:13" x14ac:dyDescent="0.2">
      <c r="A2139" s="75"/>
      <c r="B2139" s="58" t="s">
        <v>423</v>
      </c>
      <c r="C2139" s="53"/>
      <c r="D2139" s="53"/>
      <c r="E2139" s="53"/>
      <c r="F2139" s="24"/>
      <c r="G2139" s="69"/>
      <c r="H2139" s="69"/>
      <c r="I2139" s="53"/>
      <c r="J2139" s="53"/>
      <c r="M2139" s="57"/>
    </row>
    <row r="2140" spans="1:13" x14ac:dyDescent="0.2">
      <c r="A2140" s="75">
        <v>5556</v>
      </c>
      <c r="B2140" s="70" t="s">
        <v>1073</v>
      </c>
      <c r="C2140" s="69">
        <v>19350</v>
      </c>
      <c r="D2140" s="69">
        <v>0</v>
      </c>
      <c r="E2140" s="69">
        <v>0</v>
      </c>
      <c r="F2140" s="69">
        <v>0</v>
      </c>
      <c r="G2140" s="69">
        <v>0</v>
      </c>
      <c r="H2140" s="69">
        <v>0</v>
      </c>
      <c r="I2140" s="69">
        <v>0</v>
      </c>
      <c r="J2140" s="69">
        <v>0</v>
      </c>
      <c r="M2140" s="57"/>
    </row>
    <row r="2141" spans="1:13" x14ac:dyDescent="0.2">
      <c r="A2141" s="101">
        <v>5807</v>
      </c>
      <c r="B2141" s="71" t="s">
        <v>4080</v>
      </c>
      <c r="C2141" s="56">
        <v>0</v>
      </c>
      <c r="D2141" s="56">
        <v>0</v>
      </c>
      <c r="E2141" s="56">
        <v>0</v>
      </c>
      <c r="F2141" s="56">
        <v>0</v>
      </c>
      <c r="G2141" s="56">
        <f>F2141/$F$11*$G$11</f>
        <v>0</v>
      </c>
      <c r="H2141" s="56">
        <v>0</v>
      </c>
      <c r="I2141" s="56">
        <f>ROUND(D2141*1.05,0)</f>
        <v>0</v>
      </c>
      <c r="J2141" s="56">
        <f>ROUND(I2141*1.05,0)</f>
        <v>0</v>
      </c>
      <c r="M2141" s="57"/>
    </row>
    <row r="2142" spans="1:13" x14ac:dyDescent="0.2">
      <c r="B2142" s="58" t="s">
        <v>424</v>
      </c>
      <c r="C2142" s="100">
        <f t="shared" ref="C2142:I2142" si="300">SUM(C2140:C2141)</f>
        <v>19350</v>
      </c>
      <c r="D2142" s="100">
        <f t="shared" si="300"/>
        <v>0</v>
      </c>
      <c r="E2142" s="100">
        <f t="shared" si="300"/>
        <v>0</v>
      </c>
      <c r="F2142" s="100">
        <f t="shared" si="300"/>
        <v>0</v>
      </c>
      <c r="G2142" s="100">
        <f t="shared" si="300"/>
        <v>0</v>
      </c>
      <c r="H2142" s="100">
        <f t="shared" si="300"/>
        <v>0</v>
      </c>
      <c r="I2142" s="100">
        <f t="shared" si="300"/>
        <v>0</v>
      </c>
      <c r="J2142" s="100">
        <f>SUM(J2141:J2141)</f>
        <v>0</v>
      </c>
      <c r="M2142" s="57"/>
    </row>
    <row r="2143" spans="1:13" x14ac:dyDescent="0.2">
      <c r="B2143" s="58"/>
      <c r="C2143" s="99"/>
      <c r="D2143" s="99"/>
      <c r="E2143" s="99"/>
      <c r="F2143" s="99"/>
      <c r="G2143" s="99"/>
      <c r="H2143" s="99"/>
      <c r="I2143" s="99"/>
      <c r="J2143" s="99"/>
      <c r="M2143" s="57"/>
    </row>
    <row r="2144" spans="1:13" ht="13.5" thickBot="1" x14ac:dyDescent="0.25">
      <c r="A2144" s="75"/>
      <c r="B2144" s="65" t="s">
        <v>4017</v>
      </c>
      <c r="C2144" s="66">
        <f t="shared" ref="C2144:J2144" si="301">+C2142</f>
        <v>19350</v>
      </c>
      <c r="D2144" s="66">
        <f t="shared" si="301"/>
        <v>0</v>
      </c>
      <c r="E2144" s="66">
        <f t="shared" si="301"/>
        <v>0</v>
      </c>
      <c r="F2144" s="66">
        <f t="shared" si="301"/>
        <v>0</v>
      </c>
      <c r="G2144" s="66">
        <f t="shared" si="301"/>
        <v>0</v>
      </c>
      <c r="H2144" s="66">
        <f t="shared" si="301"/>
        <v>0</v>
      </c>
      <c r="I2144" s="66">
        <f t="shared" si="301"/>
        <v>0</v>
      </c>
      <c r="J2144" s="66">
        <f t="shared" si="301"/>
        <v>0</v>
      </c>
      <c r="M2144" s="57"/>
    </row>
    <row r="2145" spans="1:13" ht="13.5" thickTop="1" x14ac:dyDescent="0.2">
      <c r="A2145" s="75"/>
      <c r="B2145" s="53"/>
      <c r="C2145" s="53"/>
      <c r="D2145" s="53"/>
      <c r="E2145" s="53"/>
      <c r="F2145" s="24"/>
      <c r="G2145" s="69"/>
      <c r="H2145" s="69"/>
      <c r="I2145" s="53"/>
      <c r="J2145" s="53"/>
      <c r="M2145" s="57"/>
    </row>
    <row r="2146" spans="1:13" x14ac:dyDescent="0.2">
      <c r="B2146" s="50" t="s">
        <v>4018</v>
      </c>
      <c r="C2146" s="50"/>
      <c r="D2146" s="50"/>
      <c r="E2146" s="50"/>
      <c r="G2146" s="69"/>
      <c r="H2146" s="69"/>
      <c r="I2146" s="50"/>
      <c r="J2146" s="50"/>
      <c r="M2146" s="57"/>
    </row>
    <row r="2147" spans="1:13" x14ac:dyDescent="0.2">
      <c r="B2147" s="50"/>
      <c r="C2147" s="50"/>
      <c r="D2147" s="50"/>
      <c r="E2147" s="50"/>
      <c r="G2147" s="69"/>
      <c r="H2147" s="69"/>
      <c r="I2147" s="50"/>
      <c r="J2147" s="50"/>
      <c r="M2147" s="57"/>
    </row>
    <row r="2148" spans="1:13" x14ac:dyDescent="0.2">
      <c r="B2148" s="58" t="s">
        <v>4019</v>
      </c>
      <c r="C2148" s="69"/>
      <c r="D2148" s="69"/>
      <c r="E2148" s="69"/>
      <c r="G2148" s="69"/>
      <c r="H2148" s="69"/>
      <c r="I2148" s="69"/>
      <c r="J2148" s="69"/>
      <c r="M2148" s="57"/>
    </row>
    <row r="2149" spans="1:13" x14ac:dyDescent="0.2">
      <c r="A2149" s="75">
        <v>1001</v>
      </c>
      <c r="B2149" s="70" t="s">
        <v>472</v>
      </c>
      <c r="C2149" s="69">
        <v>452486</v>
      </c>
      <c r="D2149" s="69">
        <v>1100303</v>
      </c>
      <c r="E2149" s="69">
        <v>1046805</v>
      </c>
      <c r="F2149" s="69">
        <v>498893</v>
      </c>
      <c r="G2149" s="69">
        <f t="shared" ref="G2149:G2162" si="302">F2149/$F$11*$G$11</f>
        <v>598671.60000000009</v>
      </c>
      <c r="H2149" s="69">
        <f>[3]Salary_Bdgt!$H$305</f>
        <v>1548419</v>
      </c>
      <c r="I2149" s="69">
        <f t="shared" ref="I2149:J2162" si="303">ROUND(H2149*1.08,0)</f>
        <v>1672293</v>
      </c>
      <c r="J2149" s="69">
        <f t="shared" si="303"/>
        <v>1806076</v>
      </c>
      <c r="M2149" s="57"/>
    </row>
    <row r="2150" spans="1:13" x14ac:dyDescent="0.2">
      <c r="A2150" s="75">
        <v>1005</v>
      </c>
      <c r="B2150" s="70" t="s">
        <v>473</v>
      </c>
      <c r="C2150" s="69">
        <v>46315</v>
      </c>
      <c r="D2150" s="69">
        <v>54672</v>
      </c>
      <c r="E2150" s="69">
        <f>+D2150</f>
        <v>54672</v>
      </c>
      <c r="F2150" s="69">
        <v>43095</v>
      </c>
      <c r="G2150" s="69">
        <f t="shared" si="302"/>
        <v>51714</v>
      </c>
      <c r="H2150" s="69">
        <f>+[3]Salary_Bdgt!$L$305</f>
        <v>75622</v>
      </c>
      <c r="I2150" s="69">
        <f t="shared" si="303"/>
        <v>81672</v>
      </c>
      <c r="J2150" s="69">
        <f t="shared" si="303"/>
        <v>88206</v>
      </c>
      <c r="M2150" s="57"/>
    </row>
    <row r="2151" spans="1:13" x14ac:dyDescent="0.2">
      <c r="A2151" s="75">
        <v>1006</v>
      </c>
      <c r="B2151" s="70" t="s">
        <v>474</v>
      </c>
      <c r="C2151" s="69">
        <v>84074</v>
      </c>
      <c r="D2151" s="69">
        <v>37680</v>
      </c>
      <c r="E2151" s="69">
        <f>+D2151+53498</f>
        <v>91178</v>
      </c>
      <c r="F2151" s="69">
        <v>93356</v>
      </c>
      <c r="G2151" s="69">
        <f t="shared" si="302"/>
        <v>112027.20000000001</v>
      </c>
      <c r="H2151" s="69">
        <f>+[3]Salary_Bdgt!$N$305</f>
        <v>281021</v>
      </c>
      <c r="I2151" s="69">
        <f t="shared" si="303"/>
        <v>303503</v>
      </c>
      <c r="J2151" s="69">
        <f t="shared" si="303"/>
        <v>327783</v>
      </c>
      <c r="M2151" s="57"/>
    </row>
    <row r="2152" spans="1:13" x14ac:dyDescent="0.2">
      <c r="A2152" s="60">
        <v>1007</v>
      </c>
      <c r="B2152" s="70" t="s">
        <v>481</v>
      </c>
      <c r="C2152" s="69">
        <v>5415</v>
      </c>
      <c r="D2152" s="69">
        <v>21064</v>
      </c>
      <c r="E2152" s="69">
        <f t="shared" ref="E2152:E2159" si="304">+D2152</f>
        <v>21064</v>
      </c>
      <c r="F2152" s="69">
        <v>5895</v>
      </c>
      <c r="G2152" s="69">
        <f t="shared" si="302"/>
        <v>7074</v>
      </c>
      <c r="H2152" s="69">
        <f>+[3]Salary_Bdgt!$I$305</f>
        <v>28240</v>
      </c>
      <c r="I2152" s="69">
        <f t="shared" si="303"/>
        <v>30499</v>
      </c>
      <c r="J2152" s="69">
        <f t="shared" si="303"/>
        <v>32939</v>
      </c>
      <c r="M2152" s="57"/>
    </row>
    <row r="2153" spans="1:13" x14ac:dyDescent="0.2">
      <c r="A2153" s="75">
        <v>1009</v>
      </c>
      <c r="B2153" s="70" t="s">
        <v>482</v>
      </c>
      <c r="C2153" s="69">
        <v>352</v>
      </c>
      <c r="D2153" s="69">
        <f>[2]Sal_RIA!$M$240</f>
        <v>768</v>
      </c>
      <c r="E2153" s="69">
        <f t="shared" si="304"/>
        <v>768</v>
      </c>
      <c r="F2153" s="69">
        <v>364</v>
      </c>
      <c r="G2153" s="69">
        <f t="shared" si="302"/>
        <v>436.79999999999995</v>
      </c>
      <c r="H2153" s="69">
        <f>+[3]Salary_Bdgt!$M$305</f>
        <v>990</v>
      </c>
      <c r="I2153" s="69">
        <f t="shared" si="303"/>
        <v>1069</v>
      </c>
      <c r="J2153" s="69">
        <f t="shared" si="303"/>
        <v>1155</v>
      </c>
      <c r="M2153" s="57"/>
    </row>
    <row r="2154" spans="1:13" x14ac:dyDescent="0.2">
      <c r="A2154" s="75">
        <v>1010</v>
      </c>
      <c r="B2154" s="70" t="s">
        <v>28</v>
      </c>
      <c r="C2154" s="69">
        <v>37720</v>
      </c>
      <c r="D2154" s="69">
        <v>91692</v>
      </c>
      <c r="E2154" s="69">
        <f t="shared" si="304"/>
        <v>91692</v>
      </c>
      <c r="F2154" s="69">
        <v>43200</v>
      </c>
      <c r="G2154" s="69">
        <f t="shared" si="302"/>
        <v>51840</v>
      </c>
      <c r="H2154" s="69">
        <f>+[3]Salary_Bdgt!$Q$305</f>
        <v>129035</v>
      </c>
      <c r="I2154" s="69">
        <f t="shared" si="303"/>
        <v>139358</v>
      </c>
      <c r="J2154" s="69">
        <f t="shared" si="303"/>
        <v>150507</v>
      </c>
      <c r="M2154" s="57"/>
    </row>
    <row r="2155" spans="1:13" x14ac:dyDescent="0.2">
      <c r="A2155" s="75">
        <v>1011</v>
      </c>
      <c r="B2155" s="70" t="s">
        <v>4045</v>
      </c>
      <c r="C2155" s="69">
        <v>4400</v>
      </c>
      <c r="D2155" s="69">
        <v>0</v>
      </c>
      <c r="E2155" s="69">
        <f t="shared" si="304"/>
        <v>0</v>
      </c>
      <c r="F2155" s="69">
        <v>0</v>
      </c>
      <c r="G2155" s="69">
        <f t="shared" si="302"/>
        <v>0</v>
      </c>
      <c r="H2155" s="69">
        <f>+[3]Salary_Bdgt!$U$305</f>
        <v>0</v>
      </c>
      <c r="I2155" s="69">
        <f t="shared" si="303"/>
        <v>0</v>
      </c>
      <c r="J2155" s="69">
        <f t="shared" si="303"/>
        <v>0</v>
      </c>
      <c r="M2155" s="57"/>
    </row>
    <row r="2156" spans="1:13" x14ac:dyDescent="0.2">
      <c r="A2156" s="75">
        <v>1014</v>
      </c>
      <c r="B2156" s="70" t="s">
        <v>36</v>
      </c>
      <c r="C2156" s="69">
        <v>11374</v>
      </c>
      <c r="D2156" s="69">
        <f>[2]Sal_RIA!$S$240</f>
        <v>8012</v>
      </c>
      <c r="E2156" s="69">
        <f t="shared" si="304"/>
        <v>8012</v>
      </c>
      <c r="F2156" s="69">
        <v>6850</v>
      </c>
      <c r="G2156" s="69">
        <f t="shared" si="302"/>
        <v>8220</v>
      </c>
      <c r="H2156" s="69">
        <f>+[3]Salary_Bdgt!$S$305</f>
        <v>2580</v>
      </c>
      <c r="I2156" s="69">
        <f t="shared" si="303"/>
        <v>2786</v>
      </c>
      <c r="J2156" s="69">
        <f t="shared" si="303"/>
        <v>3009</v>
      </c>
      <c r="M2156" s="57"/>
    </row>
    <row r="2157" spans="1:13" x14ac:dyDescent="0.2">
      <c r="A2157" s="75">
        <v>1015</v>
      </c>
      <c r="B2157" s="70" t="s">
        <v>445</v>
      </c>
      <c r="C2157" s="69">
        <v>43076</v>
      </c>
      <c r="D2157" s="69">
        <v>119045</v>
      </c>
      <c r="E2157" s="69">
        <f t="shared" si="304"/>
        <v>119045</v>
      </c>
      <c r="F2157" s="69">
        <v>41725</v>
      </c>
      <c r="G2157" s="69">
        <f t="shared" si="302"/>
        <v>50070</v>
      </c>
      <c r="H2157" s="69">
        <f>+[3]Salary_Bdgt!$O$305+[3]Salary_Bdgt!$P$305+[3]Salary_Bdgt!$W$305</f>
        <v>34310</v>
      </c>
      <c r="I2157" s="69">
        <f t="shared" si="303"/>
        <v>37055</v>
      </c>
      <c r="J2157" s="69">
        <f t="shared" si="303"/>
        <v>40019</v>
      </c>
      <c r="M2157" s="57"/>
    </row>
    <row r="2158" spans="1:13" x14ac:dyDescent="0.2">
      <c r="A2158" s="75">
        <v>1016</v>
      </c>
      <c r="B2158" s="70" t="s">
        <v>475</v>
      </c>
      <c r="C2158" s="69">
        <v>0</v>
      </c>
      <c r="D2158" s="69">
        <v>12133</v>
      </c>
      <c r="E2158" s="69">
        <f t="shared" si="304"/>
        <v>12133</v>
      </c>
      <c r="F2158" s="69">
        <f>10222+400</f>
        <v>10622</v>
      </c>
      <c r="G2158" s="69">
        <f t="shared" si="302"/>
        <v>12746.400000000001</v>
      </c>
      <c r="H2158" s="69">
        <f>+[3]Salary_Bdgt!$T$305+[3]Salary_Bdgt!$V$305</f>
        <v>56051</v>
      </c>
      <c r="I2158" s="69">
        <f t="shared" si="303"/>
        <v>60535</v>
      </c>
      <c r="J2158" s="69">
        <f t="shared" si="303"/>
        <v>65378</v>
      </c>
      <c r="M2158" s="57"/>
    </row>
    <row r="2159" spans="1:13" x14ac:dyDescent="0.2">
      <c r="A2159" s="75">
        <v>1017</v>
      </c>
      <c r="B2159" s="70" t="s">
        <v>4044</v>
      </c>
      <c r="C2159" s="69">
        <v>6279</v>
      </c>
      <c r="D2159" s="69">
        <v>22840</v>
      </c>
      <c r="E2159" s="69">
        <f t="shared" si="304"/>
        <v>22840</v>
      </c>
      <c r="F2159" s="69">
        <v>2902</v>
      </c>
      <c r="G2159" s="69">
        <f t="shared" si="302"/>
        <v>3482.3999999999996</v>
      </c>
      <c r="H2159" s="69">
        <f>+[3]Salary_Bdgt!$J$305</f>
        <v>31383</v>
      </c>
      <c r="I2159" s="69">
        <f t="shared" si="303"/>
        <v>33894</v>
      </c>
      <c r="J2159" s="69">
        <f t="shared" si="303"/>
        <v>36606</v>
      </c>
      <c r="M2159" s="57"/>
    </row>
    <row r="2160" spans="1:13" x14ac:dyDescent="0.2">
      <c r="A2160" s="75">
        <v>1046</v>
      </c>
      <c r="B2160" s="70" t="s">
        <v>491</v>
      </c>
      <c r="C2160" s="69">
        <v>0</v>
      </c>
      <c r="D2160" s="69">
        <v>0</v>
      </c>
      <c r="E2160" s="69">
        <v>0</v>
      </c>
      <c r="F2160" s="69">
        <v>0</v>
      </c>
      <c r="G2160" s="69">
        <f t="shared" si="302"/>
        <v>0</v>
      </c>
      <c r="H2160" s="69">
        <f>+[3]Salary_Bdgt!$R$305</f>
        <v>0</v>
      </c>
      <c r="I2160" s="69">
        <f t="shared" si="303"/>
        <v>0</v>
      </c>
      <c r="J2160" s="69">
        <f t="shared" si="303"/>
        <v>0</v>
      </c>
      <c r="M2160" s="57"/>
    </row>
    <row r="2161" spans="1:13" x14ac:dyDescent="0.2">
      <c r="A2161" s="75">
        <v>1020</v>
      </c>
      <c r="B2161" s="70" t="s">
        <v>242</v>
      </c>
      <c r="C2161" s="69">
        <v>19584</v>
      </c>
      <c r="D2161" s="69">
        <v>0</v>
      </c>
      <c r="E2161" s="69">
        <f>+D2161</f>
        <v>0</v>
      </c>
      <c r="F2161" s="69">
        <v>0</v>
      </c>
      <c r="G2161" s="69">
        <f t="shared" si="302"/>
        <v>0</v>
      </c>
      <c r="H2161" s="69">
        <f>ROUND(E2161*1.08,0)</f>
        <v>0</v>
      </c>
      <c r="I2161" s="69">
        <f t="shared" si="303"/>
        <v>0</v>
      </c>
      <c r="J2161" s="69">
        <f t="shared" si="303"/>
        <v>0</v>
      </c>
      <c r="M2161" s="57"/>
    </row>
    <row r="2162" spans="1:13" x14ac:dyDescent="0.2">
      <c r="A2162" s="75">
        <v>1182</v>
      </c>
      <c r="B2162" s="71" t="s">
        <v>1065</v>
      </c>
      <c r="C2162" s="56">
        <v>4711</v>
      </c>
      <c r="D2162" s="56">
        <v>21241</v>
      </c>
      <c r="E2162" s="56">
        <f>+D2162</f>
        <v>21241</v>
      </c>
      <c r="F2162" s="56">
        <v>0</v>
      </c>
      <c r="G2162" s="56">
        <f t="shared" si="302"/>
        <v>0</v>
      </c>
      <c r="H2162" s="56">
        <f>+[3]Salary_Bdgt!$K$305</f>
        <v>29187</v>
      </c>
      <c r="I2162" s="56">
        <f t="shared" si="303"/>
        <v>31522</v>
      </c>
      <c r="J2162" s="56">
        <f t="shared" si="303"/>
        <v>34044</v>
      </c>
      <c r="M2162" s="57"/>
    </row>
    <row r="2163" spans="1:13" x14ac:dyDescent="0.2">
      <c r="B2163" s="58" t="s">
        <v>416</v>
      </c>
      <c r="C2163" s="72">
        <f t="shared" ref="C2163:J2163" si="305">SUM(C2149:C2162)</f>
        <v>715786</v>
      </c>
      <c r="D2163" s="72">
        <f t="shared" si="305"/>
        <v>1489450</v>
      </c>
      <c r="E2163" s="72">
        <f t="shared" si="305"/>
        <v>1489450</v>
      </c>
      <c r="F2163" s="72">
        <f t="shared" si="305"/>
        <v>746902</v>
      </c>
      <c r="G2163" s="72">
        <f t="shared" si="305"/>
        <v>896282.40000000014</v>
      </c>
      <c r="H2163" s="72">
        <f t="shared" si="305"/>
        <v>2216838</v>
      </c>
      <c r="I2163" s="72">
        <f t="shared" si="305"/>
        <v>2394186</v>
      </c>
      <c r="J2163" s="72">
        <f t="shared" si="305"/>
        <v>2585722</v>
      </c>
      <c r="M2163" s="57"/>
    </row>
    <row r="2164" spans="1:13" x14ac:dyDescent="0.2">
      <c r="B2164" s="58"/>
      <c r="C2164" s="69"/>
      <c r="D2164" s="69"/>
      <c r="E2164" s="69"/>
      <c r="F2164" s="24"/>
      <c r="G2164" s="69"/>
      <c r="H2164" s="69"/>
      <c r="I2164" s="69"/>
      <c r="J2164" s="69"/>
      <c r="M2164" s="57"/>
    </row>
    <row r="2165" spans="1:13" x14ac:dyDescent="0.2">
      <c r="B2165" s="58" t="s">
        <v>4021</v>
      </c>
      <c r="C2165" s="69"/>
      <c r="D2165" s="69"/>
      <c r="E2165" s="69"/>
      <c r="G2165" s="69"/>
      <c r="H2165" s="69"/>
      <c r="I2165" s="69"/>
      <c r="J2165" s="69"/>
      <c r="M2165" s="57"/>
    </row>
    <row r="2166" spans="1:13" x14ac:dyDescent="0.2">
      <c r="A2166" s="60">
        <v>3205</v>
      </c>
      <c r="B2166" s="70" t="s">
        <v>446</v>
      </c>
      <c r="C2166" s="69">
        <v>291</v>
      </c>
      <c r="D2166" s="69">
        <v>10500</v>
      </c>
      <c r="E2166" s="69">
        <v>10500</v>
      </c>
      <c r="F2166" s="69">
        <v>0</v>
      </c>
      <c r="G2166" s="69">
        <f>F2166/$F$11*$G$11</f>
        <v>0</v>
      </c>
      <c r="H2166" s="69">
        <f>ROUND(E2166*1.05,0)</f>
        <v>11025</v>
      </c>
      <c r="I2166" s="69">
        <f t="shared" ref="I2166:J2169" si="306">ROUND(H2166*1.06,0)</f>
        <v>11687</v>
      </c>
      <c r="J2166" s="69">
        <f t="shared" si="306"/>
        <v>12388</v>
      </c>
      <c r="M2166" s="57"/>
    </row>
    <row r="2167" spans="1:13" x14ac:dyDescent="0.2">
      <c r="A2167" s="75">
        <v>3206</v>
      </c>
      <c r="B2167" s="70" t="s">
        <v>39</v>
      </c>
      <c r="C2167" s="69">
        <v>30659</v>
      </c>
      <c r="D2167" s="69">
        <v>21000</v>
      </c>
      <c r="E2167" s="69">
        <f>21000-2198</f>
        <v>18802</v>
      </c>
      <c r="F2167" s="69">
        <v>14771</v>
      </c>
      <c r="G2167" s="69">
        <f>F2167/$F$11*$G$11</f>
        <v>17725.199999999997</v>
      </c>
      <c r="H2167" s="69">
        <f>ROUND(E2167*1.05,0)</f>
        <v>19742</v>
      </c>
      <c r="I2167" s="69">
        <f t="shared" si="306"/>
        <v>20927</v>
      </c>
      <c r="J2167" s="69">
        <f t="shared" si="306"/>
        <v>22183</v>
      </c>
      <c r="M2167" s="57"/>
    </row>
    <row r="2168" spans="1:13" x14ac:dyDescent="0.2">
      <c r="A2168" s="75">
        <v>3208</v>
      </c>
      <c r="B2168" s="70" t="s">
        <v>33</v>
      </c>
      <c r="C2168" s="69">
        <v>195</v>
      </c>
      <c r="D2168" s="69">
        <v>50000</v>
      </c>
      <c r="E2168" s="69">
        <v>50000</v>
      </c>
      <c r="F2168" s="69">
        <v>120</v>
      </c>
      <c r="G2168" s="69">
        <f>F2168/$F$11*$G$11</f>
        <v>144</v>
      </c>
      <c r="H2168" s="69">
        <f>ROUND(E2168*1.05,0)</f>
        <v>52500</v>
      </c>
      <c r="I2168" s="69">
        <f t="shared" si="306"/>
        <v>55650</v>
      </c>
      <c r="J2168" s="69">
        <f t="shared" si="306"/>
        <v>58989</v>
      </c>
      <c r="M2168" s="57"/>
    </row>
    <row r="2169" spans="1:13" x14ac:dyDescent="0.2">
      <c r="A2169" s="60">
        <v>3215</v>
      </c>
      <c r="B2169" s="71" t="s">
        <v>42</v>
      </c>
      <c r="C2169" s="56">
        <v>8273</v>
      </c>
      <c r="D2169" s="56">
        <v>10500</v>
      </c>
      <c r="E2169" s="56">
        <f>10500+2198</f>
        <v>12698</v>
      </c>
      <c r="F2169" s="56">
        <v>13040</v>
      </c>
      <c r="G2169" s="56">
        <f>F2169/$F$11*$G$11</f>
        <v>15648</v>
      </c>
      <c r="H2169" s="56">
        <v>0</v>
      </c>
      <c r="I2169" s="56">
        <f t="shared" si="306"/>
        <v>0</v>
      </c>
      <c r="J2169" s="56">
        <f t="shared" si="306"/>
        <v>0</v>
      </c>
      <c r="M2169" s="57"/>
    </row>
    <row r="2170" spans="1:13" x14ac:dyDescent="0.2">
      <c r="B2170" s="58" t="s">
        <v>417</v>
      </c>
      <c r="C2170" s="72">
        <f>SUM(C2166:C2169)</f>
        <v>39418</v>
      </c>
      <c r="D2170" s="72">
        <f t="shared" ref="D2170:J2170" si="307">SUM(D2166:D2169)</f>
        <v>92000</v>
      </c>
      <c r="E2170" s="72">
        <f t="shared" si="307"/>
        <v>92000</v>
      </c>
      <c r="F2170" s="72">
        <f t="shared" si="307"/>
        <v>27931</v>
      </c>
      <c r="G2170" s="72">
        <f t="shared" si="307"/>
        <v>33517.199999999997</v>
      </c>
      <c r="H2170" s="72">
        <f t="shared" si="307"/>
        <v>83267</v>
      </c>
      <c r="I2170" s="72">
        <f t="shared" si="307"/>
        <v>88264</v>
      </c>
      <c r="J2170" s="72">
        <f t="shared" si="307"/>
        <v>93560</v>
      </c>
      <c r="M2170" s="57"/>
    </row>
    <row r="2171" spans="1:13" x14ac:dyDescent="0.2">
      <c r="B2171" s="58"/>
      <c r="C2171" s="69"/>
      <c r="D2171" s="69"/>
      <c r="E2171" s="69"/>
      <c r="G2171" s="69"/>
      <c r="H2171" s="69"/>
      <c r="I2171" s="69"/>
      <c r="J2171" s="69"/>
      <c r="M2171" s="57"/>
    </row>
    <row r="2172" spans="1:13" x14ac:dyDescent="0.2">
      <c r="B2172" s="58" t="s">
        <v>435</v>
      </c>
      <c r="C2172" s="69"/>
      <c r="D2172" s="69"/>
      <c r="E2172" s="69"/>
      <c r="G2172" s="69"/>
      <c r="H2172" s="69"/>
      <c r="I2172" s="69"/>
      <c r="J2172" s="69"/>
      <c r="M2172" s="57"/>
    </row>
    <row r="2173" spans="1:13" x14ac:dyDescent="0.2">
      <c r="A2173" s="75">
        <v>2116</v>
      </c>
      <c r="B2173" s="70" t="s">
        <v>30</v>
      </c>
      <c r="C2173" s="69">
        <v>0</v>
      </c>
      <c r="D2173" s="69">
        <v>48750</v>
      </c>
      <c r="E2173" s="69">
        <v>48750</v>
      </c>
      <c r="F2173" s="69">
        <v>0</v>
      </c>
      <c r="G2173" s="69">
        <f t="shared" ref="G2173:G2180" si="308">F2173/$F$11*$G$11</f>
        <v>0</v>
      </c>
      <c r="H2173" s="69">
        <f>ROUND(E2173*1.289,0)</f>
        <v>62839</v>
      </c>
      <c r="I2173" s="69">
        <f>ROUND(H2173*1.258,0)</f>
        <v>79051</v>
      </c>
      <c r="J2173" s="69">
        <f>ROUND(I2173*1.259,0)</f>
        <v>99525</v>
      </c>
      <c r="M2173" s="57"/>
    </row>
    <row r="2174" spans="1:13" x14ac:dyDescent="0.2">
      <c r="A2174" s="60">
        <v>2233</v>
      </c>
      <c r="B2174" s="70" t="s">
        <v>497</v>
      </c>
      <c r="C2174" s="69">
        <v>0</v>
      </c>
      <c r="D2174" s="69">
        <v>21000</v>
      </c>
      <c r="E2174" s="69">
        <v>21000</v>
      </c>
      <c r="F2174" s="69">
        <v>0</v>
      </c>
      <c r="G2174" s="69">
        <f t="shared" si="308"/>
        <v>0</v>
      </c>
      <c r="H2174" s="69">
        <v>0</v>
      </c>
      <c r="I2174" s="69">
        <f t="shared" ref="I2174:J2182" si="309">ROUND(H2174*1.06,0)</f>
        <v>0</v>
      </c>
      <c r="J2174" s="69">
        <f t="shared" si="309"/>
        <v>0</v>
      </c>
      <c r="M2174" s="57"/>
    </row>
    <row r="2175" spans="1:13" x14ac:dyDescent="0.2">
      <c r="A2175" s="60">
        <v>2113</v>
      </c>
      <c r="B2175" s="70" t="s">
        <v>4062</v>
      </c>
      <c r="C2175" s="69">
        <v>0</v>
      </c>
      <c r="D2175" s="69">
        <v>0</v>
      </c>
      <c r="E2175" s="69">
        <v>0</v>
      </c>
      <c r="F2175" s="69">
        <v>0</v>
      </c>
      <c r="G2175" s="69">
        <f t="shared" si="308"/>
        <v>0</v>
      </c>
      <c r="H2175" s="69">
        <f t="shared" ref="H2175:H2182" si="310">ROUND(E2175*1.05,0)</f>
        <v>0</v>
      </c>
      <c r="I2175" s="69">
        <f t="shared" si="309"/>
        <v>0</v>
      </c>
      <c r="J2175" s="69">
        <f t="shared" si="309"/>
        <v>0</v>
      </c>
      <c r="M2175" s="57"/>
    </row>
    <row r="2176" spans="1:13" x14ac:dyDescent="0.2">
      <c r="A2176" s="75">
        <v>2238</v>
      </c>
      <c r="B2176" s="70" t="s">
        <v>479</v>
      </c>
      <c r="C2176" s="69">
        <v>0</v>
      </c>
      <c r="D2176" s="69">
        <v>1050</v>
      </c>
      <c r="E2176" s="69">
        <v>1050</v>
      </c>
      <c r="F2176" s="69">
        <v>0</v>
      </c>
      <c r="G2176" s="69">
        <f t="shared" si="308"/>
        <v>0</v>
      </c>
      <c r="H2176" s="69">
        <f t="shared" si="310"/>
        <v>1103</v>
      </c>
      <c r="I2176" s="69">
        <f t="shared" si="309"/>
        <v>1169</v>
      </c>
      <c r="J2176" s="69">
        <f t="shared" si="309"/>
        <v>1239</v>
      </c>
      <c r="M2176" s="57"/>
    </row>
    <row r="2177" spans="1:13" x14ac:dyDescent="0.2">
      <c r="A2177" s="75">
        <v>2227</v>
      </c>
      <c r="B2177" s="70" t="s">
        <v>448</v>
      </c>
      <c r="C2177" s="69">
        <v>0</v>
      </c>
      <c r="D2177" s="69">
        <v>0</v>
      </c>
      <c r="E2177" s="69">
        <v>0</v>
      </c>
      <c r="F2177" s="69">
        <v>0</v>
      </c>
      <c r="G2177" s="69">
        <f t="shared" si="308"/>
        <v>0</v>
      </c>
      <c r="H2177" s="69">
        <f t="shared" si="310"/>
        <v>0</v>
      </c>
      <c r="I2177" s="69">
        <f t="shared" si="309"/>
        <v>0</v>
      </c>
      <c r="J2177" s="69">
        <f t="shared" si="309"/>
        <v>0</v>
      </c>
      <c r="M2177" s="57"/>
    </row>
    <row r="2178" spans="1:13" x14ac:dyDescent="0.2">
      <c r="A2178" s="75">
        <v>2249</v>
      </c>
      <c r="B2178" s="70" t="s">
        <v>2955</v>
      </c>
      <c r="C2178" s="69">
        <v>2837</v>
      </c>
      <c r="D2178" s="69">
        <v>0</v>
      </c>
      <c r="E2178" s="69">
        <v>0</v>
      </c>
      <c r="F2178" s="69">
        <v>0</v>
      </c>
      <c r="G2178" s="69">
        <f t="shared" si="308"/>
        <v>0</v>
      </c>
      <c r="H2178" s="69">
        <f t="shared" si="310"/>
        <v>0</v>
      </c>
      <c r="I2178" s="69">
        <f t="shared" si="309"/>
        <v>0</v>
      </c>
      <c r="J2178" s="69">
        <f t="shared" si="309"/>
        <v>0</v>
      </c>
      <c r="M2178" s="57"/>
    </row>
    <row r="2179" spans="1:13" x14ac:dyDescent="0.2">
      <c r="A2179" s="75">
        <v>2252</v>
      </c>
      <c r="B2179" s="70" t="s">
        <v>4052</v>
      </c>
      <c r="C2179" s="69">
        <v>0</v>
      </c>
      <c r="D2179" s="69">
        <v>5750</v>
      </c>
      <c r="E2179" s="69">
        <v>5750</v>
      </c>
      <c r="F2179" s="69">
        <v>0</v>
      </c>
      <c r="G2179" s="69">
        <f t="shared" si="308"/>
        <v>0</v>
      </c>
      <c r="H2179" s="69">
        <f t="shared" si="310"/>
        <v>6038</v>
      </c>
      <c r="I2179" s="69">
        <f t="shared" si="309"/>
        <v>6400</v>
      </c>
      <c r="J2179" s="69">
        <f t="shared" si="309"/>
        <v>6784</v>
      </c>
      <c r="M2179" s="57"/>
    </row>
    <row r="2180" spans="1:13" x14ac:dyDescent="0.2">
      <c r="A2180" s="60">
        <v>2256</v>
      </c>
      <c r="B2180" s="70" t="s">
        <v>4054</v>
      </c>
      <c r="C2180" s="69">
        <v>79799</v>
      </c>
      <c r="D2180" s="69">
        <v>44590</v>
      </c>
      <c r="E2180" s="69">
        <v>44590</v>
      </c>
      <c r="F2180" s="69">
        <v>9200</v>
      </c>
      <c r="G2180" s="69">
        <f t="shared" si="308"/>
        <v>11040</v>
      </c>
      <c r="H2180" s="69">
        <f t="shared" si="310"/>
        <v>46820</v>
      </c>
      <c r="I2180" s="69">
        <f t="shared" si="309"/>
        <v>49629</v>
      </c>
      <c r="J2180" s="69">
        <f t="shared" si="309"/>
        <v>52607</v>
      </c>
      <c r="M2180" s="57"/>
    </row>
    <row r="2181" spans="1:13" s="9" customFormat="1" x14ac:dyDescent="0.2">
      <c r="A2181" s="60">
        <v>2502</v>
      </c>
      <c r="B2181" s="70" t="s">
        <v>1060</v>
      </c>
      <c r="C2181" s="69">
        <v>19350</v>
      </c>
      <c r="D2181" s="69"/>
      <c r="E2181" s="69"/>
      <c r="F2181" s="69"/>
      <c r="G2181" s="69"/>
      <c r="H2181" s="69">
        <f t="shared" si="310"/>
        <v>0</v>
      </c>
      <c r="I2181" s="69">
        <f t="shared" si="309"/>
        <v>0</v>
      </c>
      <c r="J2181" s="69">
        <f t="shared" si="309"/>
        <v>0</v>
      </c>
      <c r="M2181" s="57"/>
    </row>
    <row r="2182" spans="1:13" s="9" customFormat="1" x14ac:dyDescent="0.2">
      <c r="A2182" s="75">
        <v>2305</v>
      </c>
      <c r="B2182" s="71" t="s">
        <v>31</v>
      </c>
      <c r="C2182" s="56">
        <v>1090</v>
      </c>
      <c r="D2182" s="56">
        <v>1050</v>
      </c>
      <c r="E2182" s="56">
        <v>1050</v>
      </c>
      <c r="F2182" s="56">
        <v>906</v>
      </c>
      <c r="G2182" s="56">
        <f>F2182/$F$11*$G$11</f>
        <v>1087.1999999999998</v>
      </c>
      <c r="H2182" s="56">
        <f t="shared" si="310"/>
        <v>1103</v>
      </c>
      <c r="I2182" s="56">
        <f t="shared" si="309"/>
        <v>1169</v>
      </c>
      <c r="J2182" s="56">
        <f t="shared" si="309"/>
        <v>1239</v>
      </c>
      <c r="M2182" s="57"/>
    </row>
    <row r="2183" spans="1:13" s="9" customFormat="1" x14ac:dyDescent="0.2">
      <c r="A2183" s="37"/>
      <c r="B2183" s="58" t="s">
        <v>436</v>
      </c>
      <c r="C2183" s="72">
        <f t="shared" ref="C2183:J2183" si="311">SUM(C2173:C2182)</f>
        <v>103076</v>
      </c>
      <c r="D2183" s="72">
        <f t="shared" si="311"/>
        <v>122190</v>
      </c>
      <c r="E2183" s="72">
        <f t="shared" si="311"/>
        <v>122190</v>
      </c>
      <c r="F2183" s="72">
        <f t="shared" si="311"/>
        <v>10106</v>
      </c>
      <c r="G2183" s="72">
        <f t="shared" si="311"/>
        <v>12127.2</v>
      </c>
      <c r="H2183" s="72">
        <f t="shared" si="311"/>
        <v>117903</v>
      </c>
      <c r="I2183" s="72">
        <f t="shared" si="311"/>
        <v>137418</v>
      </c>
      <c r="J2183" s="72">
        <f t="shared" si="311"/>
        <v>161394</v>
      </c>
      <c r="M2183" s="57"/>
    </row>
    <row r="2184" spans="1:13" x14ac:dyDescent="0.2">
      <c r="B2184" s="61"/>
      <c r="C2184" s="97"/>
      <c r="D2184" s="97"/>
      <c r="E2184" s="97"/>
      <c r="F2184" s="97"/>
      <c r="G2184" s="97"/>
      <c r="H2184" s="97"/>
      <c r="I2184" s="97"/>
      <c r="J2184" s="97"/>
      <c r="M2184" s="57"/>
    </row>
    <row r="2185" spans="1:13" x14ac:dyDescent="0.2">
      <c r="B2185" s="58" t="s">
        <v>4055</v>
      </c>
      <c r="C2185" s="73">
        <f t="shared" ref="C2185:J2185" si="312">C2163+C2170+C2183</f>
        <v>858280</v>
      </c>
      <c r="D2185" s="73">
        <f t="shared" si="312"/>
        <v>1703640</v>
      </c>
      <c r="E2185" s="73">
        <f t="shared" si="312"/>
        <v>1703640</v>
      </c>
      <c r="F2185" s="73">
        <f t="shared" si="312"/>
        <v>784939</v>
      </c>
      <c r="G2185" s="73">
        <f t="shared" si="312"/>
        <v>941926.8</v>
      </c>
      <c r="H2185" s="73">
        <f t="shared" si="312"/>
        <v>2418008</v>
      </c>
      <c r="I2185" s="73">
        <f t="shared" si="312"/>
        <v>2619868</v>
      </c>
      <c r="J2185" s="73">
        <f t="shared" si="312"/>
        <v>2840676</v>
      </c>
      <c r="M2185" s="57"/>
    </row>
    <row r="2186" spans="1:13" x14ac:dyDescent="0.2">
      <c r="B2186" s="58"/>
      <c r="C2186" s="73"/>
      <c r="D2186" s="73"/>
      <c r="E2186" s="73"/>
      <c r="G2186" s="69"/>
      <c r="H2186" s="69"/>
      <c r="I2186" s="73"/>
      <c r="J2186" s="73"/>
      <c r="M2186" s="57"/>
    </row>
    <row r="2187" spans="1:13" x14ac:dyDescent="0.2">
      <c r="B2187" s="58" t="s">
        <v>418</v>
      </c>
      <c r="C2187" s="96"/>
      <c r="D2187" s="96"/>
      <c r="E2187" s="96"/>
      <c r="F2187" s="24"/>
      <c r="G2187" s="69"/>
      <c r="H2187" s="69"/>
      <c r="I2187" s="96"/>
      <c r="J2187" s="96"/>
      <c r="M2187" s="57"/>
    </row>
    <row r="2188" spans="1:13" x14ac:dyDescent="0.2">
      <c r="A2188" s="101">
        <v>4204</v>
      </c>
      <c r="B2188" s="70" t="s">
        <v>4058</v>
      </c>
      <c r="C2188" s="96">
        <v>5224</v>
      </c>
      <c r="D2188" s="69">
        <v>20535</v>
      </c>
      <c r="E2188" s="69">
        <v>20535</v>
      </c>
      <c r="F2188" s="69">
        <v>0</v>
      </c>
      <c r="G2188" s="69">
        <f>F2188/$F$11*$G$11</f>
        <v>0</v>
      </c>
      <c r="H2188" s="69">
        <f>ROUND(E2188*1.08,0)</f>
        <v>22178</v>
      </c>
      <c r="I2188" s="69">
        <f t="shared" ref="I2188:J2190" si="313">ROUND(H2188*1.08,0)</f>
        <v>23952</v>
      </c>
      <c r="J2188" s="69">
        <f t="shared" si="313"/>
        <v>25868</v>
      </c>
      <c r="M2188" s="57"/>
    </row>
    <row r="2189" spans="1:13" x14ac:dyDescent="0.2">
      <c r="A2189" s="101">
        <v>4209</v>
      </c>
      <c r="B2189" s="70" t="s">
        <v>237</v>
      </c>
      <c r="C2189" s="96">
        <v>194</v>
      </c>
      <c r="D2189" s="69">
        <v>0</v>
      </c>
      <c r="E2189" s="69">
        <v>0</v>
      </c>
      <c r="F2189" s="69">
        <v>0</v>
      </c>
      <c r="G2189" s="69">
        <f>F2189/$F$11*$G$11</f>
        <v>0</v>
      </c>
      <c r="H2189" s="69">
        <f>ROUND(E2189*1.08,0)</f>
        <v>0</v>
      </c>
      <c r="I2189" s="69">
        <f t="shared" si="313"/>
        <v>0</v>
      </c>
      <c r="J2189" s="69">
        <f t="shared" si="313"/>
        <v>0</v>
      </c>
      <c r="M2189" s="57"/>
    </row>
    <row r="2190" spans="1:13" x14ac:dyDescent="0.2">
      <c r="A2190" s="101">
        <v>4207</v>
      </c>
      <c r="B2190" s="71" t="s">
        <v>222</v>
      </c>
      <c r="C2190" s="105">
        <v>6560</v>
      </c>
      <c r="D2190" s="56">
        <v>16955</v>
      </c>
      <c r="E2190" s="56">
        <v>16955</v>
      </c>
      <c r="F2190" s="56">
        <v>0</v>
      </c>
      <c r="G2190" s="56">
        <f>F2190/$F$11*$G$11</f>
        <v>0</v>
      </c>
      <c r="H2190" s="56">
        <f>ROUND(E2190*1.08,0)</f>
        <v>18311</v>
      </c>
      <c r="I2190" s="56">
        <f t="shared" si="313"/>
        <v>19776</v>
      </c>
      <c r="J2190" s="56">
        <f t="shared" si="313"/>
        <v>21358</v>
      </c>
      <c r="M2190" s="57"/>
    </row>
    <row r="2191" spans="1:13" x14ac:dyDescent="0.2">
      <c r="B2191" s="58" t="s">
        <v>419</v>
      </c>
      <c r="C2191" s="72">
        <f t="shared" ref="C2191:J2191" si="314">SUM(C2188:C2190)</f>
        <v>11978</v>
      </c>
      <c r="D2191" s="72">
        <f t="shared" si="314"/>
        <v>37490</v>
      </c>
      <c r="E2191" s="72">
        <f t="shared" si="314"/>
        <v>37490</v>
      </c>
      <c r="F2191" s="72">
        <f t="shared" si="314"/>
        <v>0</v>
      </c>
      <c r="G2191" s="72">
        <f t="shared" si="314"/>
        <v>0</v>
      </c>
      <c r="H2191" s="72">
        <f t="shared" si="314"/>
        <v>40489</v>
      </c>
      <c r="I2191" s="72">
        <f t="shared" si="314"/>
        <v>43728</v>
      </c>
      <c r="J2191" s="72">
        <f t="shared" si="314"/>
        <v>47226</v>
      </c>
      <c r="M2191" s="57"/>
    </row>
    <row r="2192" spans="1:13" x14ac:dyDescent="0.2">
      <c r="B2192" s="58"/>
      <c r="C2192" s="96"/>
      <c r="D2192" s="96"/>
      <c r="E2192" s="96"/>
      <c r="F2192" s="24"/>
      <c r="G2192" s="69"/>
      <c r="H2192" s="69"/>
      <c r="I2192" s="96"/>
      <c r="J2192" s="96"/>
      <c r="M2192" s="57"/>
    </row>
    <row r="2193" spans="1:13" ht="13.5" thickBot="1" x14ac:dyDescent="0.25">
      <c r="B2193" s="65" t="s">
        <v>4033</v>
      </c>
      <c r="C2193" s="76">
        <f t="shared" ref="C2193:J2193" si="315">C2185+C2191</f>
        <v>870258</v>
      </c>
      <c r="D2193" s="76">
        <f t="shared" si="315"/>
        <v>1741130</v>
      </c>
      <c r="E2193" s="76">
        <f t="shared" si="315"/>
        <v>1741130</v>
      </c>
      <c r="F2193" s="76">
        <f t="shared" si="315"/>
        <v>784939</v>
      </c>
      <c r="G2193" s="76">
        <f t="shared" si="315"/>
        <v>941926.8</v>
      </c>
      <c r="H2193" s="76">
        <f t="shared" si="315"/>
        <v>2458497</v>
      </c>
      <c r="I2193" s="76">
        <f t="shared" si="315"/>
        <v>2663596</v>
      </c>
      <c r="J2193" s="76">
        <f t="shared" si="315"/>
        <v>2887902</v>
      </c>
      <c r="M2193" s="57"/>
    </row>
    <row r="2194" spans="1:13" ht="13.5" thickTop="1" x14ac:dyDescent="0.2">
      <c r="B2194" s="58"/>
      <c r="C2194" s="72"/>
      <c r="D2194" s="72"/>
      <c r="E2194" s="72"/>
      <c r="F2194" s="72"/>
      <c r="G2194" s="72"/>
      <c r="H2194" s="72"/>
      <c r="I2194" s="72"/>
      <c r="J2194" s="72"/>
      <c r="M2194" s="57"/>
    </row>
    <row r="2195" spans="1:13" ht="13.5" thickBot="1" x14ac:dyDescent="0.25">
      <c r="B2195" s="65" t="s">
        <v>4059</v>
      </c>
      <c r="C2195" s="77">
        <f t="shared" ref="C2195:J2195" si="316">+C2144-C2193</f>
        <v>-850908</v>
      </c>
      <c r="D2195" s="77">
        <f t="shared" si="316"/>
        <v>-1741130</v>
      </c>
      <c r="E2195" s="77">
        <f t="shared" si="316"/>
        <v>-1741130</v>
      </c>
      <c r="F2195" s="77">
        <f t="shared" si="316"/>
        <v>-784939</v>
      </c>
      <c r="G2195" s="77">
        <f t="shared" si="316"/>
        <v>-941926.8</v>
      </c>
      <c r="H2195" s="77">
        <f t="shared" si="316"/>
        <v>-2458497</v>
      </c>
      <c r="I2195" s="77">
        <f t="shared" si="316"/>
        <v>-2663596</v>
      </c>
      <c r="J2195" s="77">
        <f t="shared" si="316"/>
        <v>-2887902</v>
      </c>
      <c r="M2195" s="57"/>
    </row>
    <row r="2196" spans="1:13" ht="13.5" thickTop="1" x14ac:dyDescent="0.2">
      <c r="B2196" s="58"/>
      <c r="C2196" s="78"/>
      <c r="D2196" s="78"/>
      <c r="E2196" s="78"/>
      <c r="F2196" s="24"/>
      <c r="G2196" s="69"/>
      <c r="H2196" s="69"/>
      <c r="I2196" s="78"/>
      <c r="J2196" s="78"/>
      <c r="M2196" s="57"/>
    </row>
    <row r="2197" spans="1:13" x14ac:dyDescent="0.2">
      <c r="C2197" s="117"/>
      <c r="G2197" s="69"/>
      <c r="H2197" s="69"/>
      <c r="M2197" s="57"/>
    </row>
    <row r="2198" spans="1:13" x14ac:dyDescent="0.2">
      <c r="C2198" s="117"/>
      <c r="G2198" s="69"/>
      <c r="H2198" s="69"/>
      <c r="M2198" s="57"/>
    </row>
    <row r="2199" spans="1:13" x14ac:dyDescent="0.2">
      <c r="C2199" s="117"/>
      <c r="G2199" s="69"/>
      <c r="H2199" s="69"/>
      <c r="M2199" s="57"/>
    </row>
    <row r="2200" spans="1:13" x14ac:dyDescent="0.2">
      <c r="C2200" s="117"/>
      <c r="G2200" s="69"/>
      <c r="H2200" s="69"/>
      <c r="M2200" s="57"/>
    </row>
    <row r="2201" spans="1:13" x14ac:dyDescent="0.2">
      <c r="C2201" s="117"/>
      <c r="G2201" s="69"/>
      <c r="H2201" s="69"/>
      <c r="M2201" s="57"/>
    </row>
    <row r="2202" spans="1:13" x14ac:dyDescent="0.2">
      <c r="C2202" s="117"/>
      <c r="G2202" s="69"/>
      <c r="H2202" s="69"/>
      <c r="M2202" s="57"/>
    </row>
    <row r="2203" spans="1:13" x14ac:dyDescent="0.2">
      <c r="C2203" s="117"/>
      <c r="G2203" s="69"/>
      <c r="H2203" s="69"/>
      <c r="M2203" s="57"/>
    </row>
    <row r="2204" spans="1:13" x14ac:dyDescent="0.2">
      <c r="C2204" s="117"/>
      <c r="G2204" s="69"/>
      <c r="H2204" s="69"/>
      <c r="M2204" s="57"/>
    </row>
    <row r="2205" spans="1:13" x14ac:dyDescent="0.2">
      <c r="C2205" s="117"/>
      <c r="G2205" s="69"/>
      <c r="H2205" s="69"/>
      <c r="M2205" s="57"/>
    </row>
    <row r="2206" spans="1:13" x14ac:dyDescent="0.2">
      <c r="C2206" s="117"/>
      <c r="G2206" s="69"/>
      <c r="H2206" s="69"/>
      <c r="M2206" s="57"/>
    </row>
    <row r="2207" spans="1:13" x14ac:dyDescent="0.2">
      <c r="G2207" s="69"/>
      <c r="H2207" s="69"/>
      <c r="M2207" s="57"/>
    </row>
    <row r="2208" spans="1:13" x14ac:dyDescent="0.2">
      <c r="A2208" s="6"/>
      <c r="B2208" s="6"/>
      <c r="C2208" s="6"/>
      <c r="D2208" s="6"/>
      <c r="E2208" s="6"/>
      <c r="G2208" s="69"/>
      <c r="H2208" s="69"/>
      <c r="I2208" s="6"/>
      <c r="J2208" s="6"/>
      <c r="M2208" s="57"/>
    </row>
    <row r="2209" spans="1:13" x14ac:dyDescent="0.2">
      <c r="A2209" s="6"/>
      <c r="B2209" s="6"/>
      <c r="C2209" s="6"/>
      <c r="D2209" s="6"/>
      <c r="E2209" s="6"/>
      <c r="G2209" s="69"/>
      <c r="H2209" s="69"/>
      <c r="I2209" s="6"/>
      <c r="J2209" s="6"/>
      <c r="M2209" s="57"/>
    </row>
    <row r="2210" spans="1:13" x14ac:dyDescent="0.2">
      <c r="A2210" s="6"/>
      <c r="B2210" s="6"/>
      <c r="C2210" s="6"/>
      <c r="D2210" s="6"/>
      <c r="E2210" s="6"/>
      <c r="G2210" s="69"/>
      <c r="H2210" s="69"/>
      <c r="I2210" s="6"/>
      <c r="J2210" s="6"/>
      <c r="M2210" s="57"/>
    </row>
    <row r="2211" spans="1:13" x14ac:dyDescent="0.2">
      <c r="A2211" s="6"/>
      <c r="B2211" s="6"/>
      <c r="C2211" s="6"/>
      <c r="D2211" s="6"/>
      <c r="E2211" s="6"/>
      <c r="G2211" s="69"/>
      <c r="H2211" s="69"/>
      <c r="I2211" s="6"/>
      <c r="J2211" s="6"/>
      <c r="M2211" s="57"/>
    </row>
    <row r="2212" spans="1:13" x14ac:dyDescent="0.2">
      <c r="A2212" s="6"/>
      <c r="B2212" s="6"/>
      <c r="C2212" s="6"/>
      <c r="D2212" s="6"/>
      <c r="E2212" s="6"/>
      <c r="G2212" s="69"/>
      <c r="H2212" s="69"/>
      <c r="I2212" s="6"/>
      <c r="J2212" s="6"/>
      <c r="M2212" s="57"/>
    </row>
    <row r="2213" spans="1:13" ht="15" x14ac:dyDescent="0.25">
      <c r="A2213" s="91">
        <v>1720</v>
      </c>
      <c r="B2213" s="48" t="s">
        <v>43</v>
      </c>
      <c r="C2213" s="48"/>
      <c r="D2213" s="48"/>
      <c r="E2213" s="48"/>
      <c r="F2213" s="24"/>
      <c r="G2213" s="69"/>
      <c r="H2213" s="69"/>
      <c r="M2213" s="57"/>
    </row>
    <row r="2214" spans="1:13" ht="15" x14ac:dyDescent="0.25">
      <c r="B2214" s="48"/>
      <c r="C2214" s="48"/>
      <c r="D2214" s="48"/>
      <c r="E2214" s="48"/>
      <c r="F2214" s="24"/>
      <c r="G2214" s="69"/>
      <c r="H2214" s="69"/>
      <c r="M2214" s="57"/>
    </row>
    <row r="2215" spans="1:13" x14ac:dyDescent="0.2">
      <c r="B2215" s="58" t="s">
        <v>66</v>
      </c>
      <c r="C2215" s="99"/>
      <c r="D2215" s="99"/>
      <c r="E2215" s="99"/>
      <c r="F2215" s="24"/>
      <c r="G2215" s="69"/>
      <c r="H2215" s="69"/>
      <c r="M2215" s="57"/>
    </row>
    <row r="2216" spans="1:13" x14ac:dyDescent="0.2">
      <c r="A2216" s="75">
        <v>5206</v>
      </c>
      <c r="B2216" s="70" t="s">
        <v>254</v>
      </c>
      <c r="C2216" s="99">
        <v>200</v>
      </c>
      <c r="D2216" s="69">
        <v>0</v>
      </c>
      <c r="E2216" s="69">
        <v>0</v>
      </c>
      <c r="F2216" s="69">
        <v>0</v>
      </c>
      <c r="G2216" s="69">
        <f>F2216/$F$11*$G$11</f>
        <v>0</v>
      </c>
      <c r="H2216" s="69">
        <f>ROUND(E2216*1.05,0)</f>
        <v>0</v>
      </c>
      <c r="I2216" s="69">
        <f>ROUND(H2216*1.06,0)</f>
        <v>0</v>
      </c>
      <c r="J2216" s="69">
        <f>ROUND(I2216*1.06,0)</f>
        <v>0</v>
      </c>
      <c r="M2216" s="57"/>
    </row>
    <row r="2217" spans="1:13" x14ac:dyDescent="0.2">
      <c r="A2217" s="75">
        <v>5207</v>
      </c>
      <c r="B2217" s="71" t="s">
        <v>255</v>
      </c>
      <c r="C2217" s="62">
        <v>1630</v>
      </c>
      <c r="D2217" s="56">
        <v>2800</v>
      </c>
      <c r="E2217" s="56">
        <v>2800</v>
      </c>
      <c r="F2217" s="56">
        <v>4414</v>
      </c>
      <c r="G2217" s="56">
        <f>F2217/$F$11*$G$11</f>
        <v>5296.7999999999993</v>
      </c>
      <c r="H2217" s="56">
        <f>ROUND(G2217*1.1,0)</f>
        <v>5826</v>
      </c>
      <c r="I2217" s="56">
        <f>ROUND(H2217*1.06,0)</f>
        <v>6176</v>
      </c>
      <c r="J2217" s="56">
        <f>ROUND(I2217*1.06,0)</f>
        <v>6547</v>
      </c>
      <c r="M2217" s="57"/>
    </row>
    <row r="2218" spans="1:13" x14ac:dyDescent="0.2">
      <c r="B2218" s="58" t="s">
        <v>434</v>
      </c>
      <c r="C2218" s="100">
        <f t="shared" ref="C2218:J2218" si="317">SUM(C2216:C2217)</f>
        <v>1830</v>
      </c>
      <c r="D2218" s="100">
        <f t="shared" si="317"/>
        <v>2800</v>
      </c>
      <c r="E2218" s="100">
        <f t="shared" si="317"/>
        <v>2800</v>
      </c>
      <c r="F2218" s="100">
        <f t="shared" si="317"/>
        <v>4414</v>
      </c>
      <c r="G2218" s="100">
        <f t="shared" si="317"/>
        <v>5296.7999999999993</v>
      </c>
      <c r="H2218" s="100">
        <f t="shared" si="317"/>
        <v>5826</v>
      </c>
      <c r="I2218" s="100">
        <f t="shared" si="317"/>
        <v>6176</v>
      </c>
      <c r="J2218" s="100">
        <f t="shared" si="317"/>
        <v>6547</v>
      </c>
      <c r="M2218" s="57"/>
    </row>
    <row r="2219" spans="1:13" x14ac:dyDescent="0.2">
      <c r="B2219" s="58"/>
      <c r="C2219" s="99"/>
      <c r="D2219" s="99"/>
      <c r="E2219" s="99"/>
      <c r="F2219" s="99"/>
      <c r="G2219" s="99"/>
      <c r="H2219" s="99"/>
      <c r="I2219" s="99"/>
      <c r="J2219" s="99"/>
      <c r="M2219" s="57"/>
    </row>
    <row r="2220" spans="1:13" ht="13.5" thickBot="1" x14ac:dyDescent="0.25">
      <c r="B2220" s="65" t="s">
        <v>4043</v>
      </c>
      <c r="C2220" s="66">
        <f t="shared" ref="C2220:J2220" si="318">+C2218</f>
        <v>1830</v>
      </c>
      <c r="D2220" s="66">
        <f t="shared" si="318"/>
        <v>2800</v>
      </c>
      <c r="E2220" s="66">
        <f t="shared" si="318"/>
        <v>2800</v>
      </c>
      <c r="F2220" s="66">
        <f t="shared" si="318"/>
        <v>4414</v>
      </c>
      <c r="G2220" s="66">
        <f t="shared" si="318"/>
        <v>5296.7999999999993</v>
      </c>
      <c r="H2220" s="66">
        <f t="shared" si="318"/>
        <v>5826</v>
      </c>
      <c r="I2220" s="66">
        <f t="shared" si="318"/>
        <v>6176</v>
      </c>
      <c r="J2220" s="66">
        <f t="shared" si="318"/>
        <v>6547</v>
      </c>
      <c r="M2220" s="57"/>
    </row>
    <row r="2221" spans="1:13" ht="13.5" thickTop="1" x14ac:dyDescent="0.2">
      <c r="B2221" s="68"/>
      <c r="C2221" s="68"/>
      <c r="D2221" s="68"/>
      <c r="E2221" s="68"/>
      <c r="G2221" s="69"/>
      <c r="H2221" s="69"/>
      <c r="I2221" s="68"/>
      <c r="J2221" s="68"/>
      <c r="M2221" s="57"/>
    </row>
    <row r="2222" spans="1:13" x14ac:dyDescent="0.2">
      <c r="B2222" s="50" t="s">
        <v>4018</v>
      </c>
      <c r="C2222" s="50"/>
      <c r="D2222" s="50"/>
      <c r="E2222" s="50"/>
      <c r="G2222" s="69"/>
      <c r="H2222" s="69"/>
      <c r="I2222" s="50"/>
      <c r="J2222" s="50"/>
      <c r="M2222" s="57"/>
    </row>
    <row r="2223" spans="1:13" x14ac:dyDescent="0.2">
      <c r="B2223" s="50"/>
      <c r="C2223" s="50"/>
      <c r="D2223" s="50"/>
      <c r="E2223" s="50"/>
      <c r="G2223" s="69"/>
      <c r="H2223" s="69"/>
      <c r="I2223" s="50"/>
      <c r="J2223" s="50"/>
      <c r="M2223" s="57"/>
    </row>
    <row r="2224" spans="1:13" x14ac:dyDescent="0.2">
      <c r="B2224" s="58" t="s">
        <v>4019</v>
      </c>
      <c r="C2224" s="69"/>
      <c r="D2224" s="69"/>
      <c r="E2224" s="69"/>
      <c r="G2224" s="69"/>
      <c r="H2224" s="69"/>
      <c r="I2224" s="69"/>
      <c r="J2224" s="69"/>
      <c r="M2224" s="57"/>
    </row>
    <row r="2225" spans="1:13" x14ac:dyDescent="0.2">
      <c r="A2225" s="75">
        <v>1001</v>
      </c>
      <c r="B2225" s="70" t="s">
        <v>472</v>
      </c>
      <c r="C2225" s="69">
        <v>239985</v>
      </c>
      <c r="D2225" s="69">
        <v>344005</v>
      </c>
      <c r="E2225" s="69">
        <v>341803</v>
      </c>
      <c r="F2225" s="69">
        <v>251092</v>
      </c>
      <c r="G2225" s="69">
        <f t="shared" ref="G2225:G2237" si="319">F2225/$F$11*$G$11</f>
        <v>301310.40000000002</v>
      </c>
      <c r="H2225" s="69">
        <f>[3]Salary_Bdgt!$H$319</f>
        <v>376035</v>
      </c>
      <c r="I2225" s="69">
        <f t="shared" ref="I2225:J2237" si="320">ROUND(H2225*1.08,0)</f>
        <v>406118</v>
      </c>
      <c r="J2225" s="69">
        <f t="shared" si="320"/>
        <v>438607</v>
      </c>
      <c r="M2225" s="57"/>
    </row>
    <row r="2226" spans="1:13" x14ac:dyDescent="0.2">
      <c r="A2226" s="75">
        <v>1005</v>
      </c>
      <c r="B2226" s="70" t="s">
        <v>473</v>
      </c>
      <c r="C2226" s="69">
        <v>6871</v>
      </c>
      <c r="D2226" s="69">
        <v>5790</v>
      </c>
      <c r="E2226" s="69">
        <f>+D2226+1036</f>
        <v>6826</v>
      </c>
      <c r="F2226" s="69">
        <v>6872</v>
      </c>
      <c r="G2226" s="69">
        <f t="shared" si="319"/>
        <v>8246.4000000000015</v>
      </c>
      <c r="H2226" s="69">
        <f>+[3]Salary_Bdgt!$L$319</f>
        <v>25236</v>
      </c>
      <c r="I2226" s="69">
        <f t="shared" si="320"/>
        <v>27255</v>
      </c>
      <c r="J2226" s="69">
        <f t="shared" si="320"/>
        <v>29435</v>
      </c>
      <c r="M2226" s="57"/>
    </row>
    <row r="2227" spans="1:13" x14ac:dyDescent="0.2">
      <c r="A2227" s="75">
        <v>1006</v>
      </c>
      <c r="B2227" s="70" t="s">
        <v>474</v>
      </c>
      <c r="C2227" s="69">
        <v>45156</v>
      </c>
      <c r="D2227" s="69">
        <v>44580</v>
      </c>
      <c r="E2227" s="69">
        <f>+D2227+1166</f>
        <v>45746</v>
      </c>
      <c r="F2227" s="69">
        <v>48381</v>
      </c>
      <c r="G2227" s="69">
        <f t="shared" si="319"/>
        <v>58057.200000000004</v>
      </c>
      <c r="H2227" s="69">
        <f>+[3]Salary_Bdgt!$N$319</f>
        <v>73640</v>
      </c>
      <c r="I2227" s="69">
        <f t="shared" si="320"/>
        <v>79531</v>
      </c>
      <c r="J2227" s="69">
        <f t="shared" si="320"/>
        <v>85893</v>
      </c>
      <c r="M2227" s="57"/>
    </row>
    <row r="2228" spans="1:13" x14ac:dyDescent="0.2">
      <c r="A2228" s="75">
        <v>1007</v>
      </c>
      <c r="B2228" s="70" t="s">
        <v>481</v>
      </c>
      <c r="C2228" s="69">
        <v>2643</v>
      </c>
      <c r="D2228" s="69">
        <v>6880</v>
      </c>
      <c r="E2228" s="69">
        <f>+D2228</f>
        <v>6880</v>
      </c>
      <c r="F2228" s="69">
        <v>2802</v>
      </c>
      <c r="G2228" s="69">
        <f t="shared" si="319"/>
        <v>3362.3999999999996</v>
      </c>
      <c r="H2228" s="69">
        <f>+[3]Salary_Bdgt!$I$319</f>
        <v>7694</v>
      </c>
      <c r="I2228" s="69">
        <f t="shared" si="320"/>
        <v>8310</v>
      </c>
      <c r="J2228" s="69">
        <f t="shared" si="320"/>
        <v>8975</v>
      </c>
      <c r="M2228" s="57"/>
    </row>
    <row r="2229" spans="1:13" x14ac:dyDescent="0.2">
      <c r="A2229" s="75">
        <v>1009</v>
      </c>
      <c r="B2229" s="70" t="s">
        <v>482</v>
      </c>
      <c r="C2229" s="69">
        <v>221</v>
      </c>
      <c r="D2229" s="69">
        <f>[2]Sal_RIA!$M$253</f>
        <v>307</v>
      </c>
      <c r="E2229" s="69">
        <f>+D2229</f>
        <v>307</v>
      </c>
      <c r="F2229" s="69">
        <v>225</v>
      </c>
      <c r="G2229" s="69">
        <f t="shared" si="319"/>
        <v>270</v>
      </c>
      <c r="H2229" s="69">
        <f>+[3]Salary_Bdgt!$M$319</f>
        <v>315</v>
      </c>
      <c r="I2229" s="69">
        <f t="shared" si="320"/>
        <v>340</v>
      </c>
      <c r="J2229" s="69">
        <f t="shared" si="320"/>
        <v>367</v>
      </c>
      <c r="M2229" s="57"/>
    </row>
    <row r="2230" spans="1:13" x14ac:dyDescent="0.2">
      <c r="A2230" s="75">
        <v>1010</v>
      </c>
      <c r="B2230" s="70" t="s">
        <v>28</v>
      </c>
      <c r="C2230" s="69">
        <v>22306</v>
      </c>
      <c r="D2230" s="69">
        <v>28667</v>
      </c>
      <c r="E2230" s="69">
        <f>+D2230</f>
        <v>28667</v>
      </c>
      <c r="F2230" s="69">
        <v>25015</v>
      </c>
      <c r="G2230" s="69">
        <f t="shared" si="319"/>
        <v>30018</v>
      </c>
      <c r="H2230" s="69">
        <f>+[3]Salary_Bdgt!$Q$319</f>
        <v>31336</v>
      </c>
      <c r="I2230" s="69">
        <f t="shared" si="320"/>
        <v>33843</v>
      </c>
      <c r="J2230" s="69">
        <f t="shared" si="320"/>
        <v>36550</v>
      </c>
      <c r="M2230" s="57"/>
    </row>
    <row r="2231" spans="1:13" x14ac:dyDescent="0.2">
      <c r="A2231" s="75">
        <v>1011</v>
      </c>
      <c r="B2231" s="70" t="s">
        <v>4045</v>
      </c>
      <c r="C2231" s="69">
        <v>0</v>
      </c>
      <c r="D2231" s="69">
        <v>0</v>
      </c>
      <c r="E2231" s="69">
        <v>0</v>
      </c>
      <c r="F2231" s="69">
        <v>0</v>
      </c>
      <c r="G2231" s="69">
        <f t="shared" si="319"/>
        <v>0</v>
      </c>
      <c r="H2231" s="69">
        <f>+[3]Salary_Bdgt!$U$319</f>
        <v>0</v>
      </c>
      <c r="I2231" s="69">
        <f t="shared" si="320"/>
        <v>0</v>
      </c>
      <c r="J2231" s="69">
        <f t="shared" si="320"/>
        <v>0</v>
      </c>
      <c r="M2231" s="57"/>
    </row>
    <row r="2232" spans="1:13" x14ac:dyDescent="0.2">
      <c r="A2232" s="75">
        <v>1016</v>
      </c>
      <c r="B2232" s="70" t="s">
        <v>475</v>
      </c>
      <c r="C2232" s="69">
        <v>0</v>
      </c>
      <c r="D2232" s="69">
        <v>0</v>
      </c>
      <c r="E2232" s="69">
        <v>0</v>
      </c>
      <c r="F2232" s="69">
        <v>2264</v>
      </c>
      <c r="G2232" s="69">
        <f t="shared" si="319"/>
        <v>2716.8</v>
      </c>
      <c r="H2232" s="69">
        <f>+[3]Salary_Bdgt!$T$319+[3]Salary_Bdgt!$V$319</f>
        <v>8501</v>
      </c>
      <c r="I2232" s="69">
        <f t="shared" si="320"/>
        <v>9181</v>
      </c>
      <c r="J2232" s="69">
        <f t="shared" si="320"/>
        <v>9915</v>
      </c>
      <c r="M2232" s="57"/>
    </row>
    <row r="2233" spans="1:13" x14ac:dyDescent="0.2">
      <c r="A2233" s="75">
        <v>1014</v>
      </c>
      <c r="B2233" s="70" t="s">
        <v>36</v>
      </c>
      <c r="C2233" s="69">
        <v>0</v>
      </c>
      <c r="D2233" s="69">
        <v>0</v>
      </c>
      <c r="E2233" s="69">
        <v>0</v>
      </c>
      <c r="F2233" s="69">
        <v>0</v>
      </c>
      <c r="G2233" s="69">
        <f t="shared" si="319"/>
        <v>0</v>
      </c>
      <c r="H2233" s="69">
        <f>+[3]Salary_Bdgt!$S$319</f>
        <v>5303</v>
      </c>
      <c r="I2233" s="69">
        <f t="shared" si="320"/>
        <v>5727</v>
      </c>
      <c r="J2233" s="69">
        <f t="shared" si="320"/>
        <v>6185</v>
      </c>
      <c r="M2233" s="57"/>
    </row>
    <row r="2234" spans="1:13" x14ac:dyDescent="0.2">
      <c r="A2234" s="75">
        <v>1046</v>
      </c>
      <c r="B2234" s="70" t="s">
        <v>491</v>
      </c>
      <c r="C2234" s="69">
        <v>0</v>
      </c>
      <c r="D2234" s="69">
        <v>0</v>
      </c>
      <c r="E2234" s="69">
        <v>0</v>
      </c>
      <c r="F2234" s="69">
        <v>0</v>
      </c>
      <c r="G2234" s="69">
        <f t="shared" si="319"/>
        <v>0</v>
      </c>
      <c r="H2234" s="69">
        <f>+[3]Salary_Bdgt!$R$319</f>
        <v>0</v>
      </c>
      <c r="I2234" s="69">
        <f t="shared" si="320"/>
        <v>0</v>
      </c>
      <c r="J2234" s="69">
        <f t="shared" si="320"/>
        <v>0</v>
      </c>
      <c r="M2234" s="57"/>
    </row>
    <row r="2235" spans="1:13" x14ac:dyDescent="0.2">
      <c r="A2235" s="75">
        <v>1015</v>
      </c>
      <c r="B2235" s="70" t="s">
        <v>445</v>
      </c>
      <c r="C2235" s="69">
        <v>1977</v>
      </c>
      <c r="D2235" s="69">
        <f>[2]Sal_RIA!$O$253+[2]Sal_RIA!$P$253</f>
        <v>0</v>
      </c>
      <c r="E2235" s="69">
        <f>+D2235</f>
        <v>0</v>
      </c>
      <c r="F2235" s="69">
        <v>124</v>
      </c>
      <c r="G2235" s="69">
        <f t="shared" si="319"/>
        <v>148.80000000000001</v>
      </c>
      <c r="H2235" s="69">
        <f>+[3]Salary_Bdgt!$O$319+[3]Salary_Bdgt!$P$319+[3]Salary_Bdgt!$W$319</f>
        <v>3478</v>
      </c>
      <c r="I2235" s="69">
        <f t="shared" si="320"/>
        <v>3756</v>
      </c>
      <c r="J2235" s="69">
        <f t="shared" si="320"/>
        <v>4056</v>
      </c>
      <c r="M2235" s="57"/>
    </row>
    <row r="2236" spans="1:13" x14ac:dyDescent="0.2">
      <c r="A2236" s="75">
        <v>1017</v>
      </c>
      <c r="B2236" s="70" t="s">
        <v>4044</v>
      </c>
      <c r="C2236" s="69">
        <v>3064</v>
      </c>
      <c r="D2236" s="69">
        <v>6880</v>
      </c>
      <c r="E2236" s="69">
        <f>+D2236</f>
        <v>6880</v>
      </c>
      <c r="F2236" s="69">
        <v>1303</v>
      </c>
      <c r="G2236" s="69">
        <f t="shared" si="319"/>
        <v>1563.6000000000001</v>
      </c>
      <c r="H2236" s="69">
        <f>+[3]Salary_Bdgt!$J$319</f>
        <v>7694</v>
      </c>
      <c r="I2236" s="69">
        <f t="shared" si="320"/>
        <v>8310</v>
      </c>
      <c r="J2236" s="69">
        <f t="shared" si="320"/>
        <v>8975</v>
      </c>
      <c r="M2236" s="57"/>
    </row>
    <row r="2237" spans="1:13" x14ac:dyDescent="0.2">
      <c r="A2237" s="75">
        <v>1182</v>
      </c>
      <c r="B2237" s="71" t="s">
        <v>1065</v>
      </c>
      <c r="C2237" s="56">
        <v>2179</v>
      </c>
      <c r="D2237" s="56">
        <v>6398</v>
      </c>
      <c r="E2237" s="56">
        <f>+D2237</f>
        <v>6398</v>
      </c>
      <c r="F2237" s="56">
        <v>0</v>
      </c>
      <c r="G2237" s="56">
        <f t="shared" si="319"/>
        <v>0</v>
      </c>
      <c r="H2237" s="56">
        <f>+[3]Salary_Bdgt!$K$319</f>
        <v>7155</v>
      </c>
      <c r="I2237" s="56">
        <f t="shared" si="320"/>
        <v>7727</v>
      </c>
      <c r="J2237" s="56">
        <f t="shared" si="320"/>
        <v>8345</v>
      </c>
      <c r="M2237" s="57"/>
    </row>
    <row r="2238" spans="1:13" x14ac:dyDescent="0.2">
      <c r="B2238" s="58" t="s">
        <v>416</v>
      </c>
      <c r="C2238" s="72">
        <f t="shared" ref="C2238:J2238" si="321">SUM(C2225:C2237)</f>
        <v>324402</v>
      </c>
      <c r="D2238" s="72">
        <f t="shared" si="321"/>
        <v>443507</v>
      </c>
      <c r="E2238" s="72">
        <f t="shared" si="321"/>
        <v>443507</v>
      </c>
      <c r="F2238" s="72">
        <f t="shared" si="321"/>
        <v>338078</v>
      </c>
      <c r="G2238" s="72">
        <f t="shared" si="321"/>
        <v>405693.60000000003</v>
      </c>
      <c r="H2238" s="72">
        <f t="shared" si="321"/>
        <v>546387</v>
      </c>
      <c r="I2238" s="72">
        <f t="shared" si="321"/>
        <v>590098</v>
      </c>
      <c r="J2238" s="72">
        <f t="shared" si="321"/>
        <v>637303</v>
      </c>
      <c r="M2238" s="57"/>
    </row>
    <row r="2239" spans="1:13" x14ac:dyDescent="0.2">
      <c r="B2239" s="58"/>
      <c r="C2239" s="69"/>
      <c r="D2239" s="69"/>
      <c r="E2239" s="69"/>
      <c r="G2239" s="69"/>
      <c r="H2239" s="69"/>
      <c r="I2239" s="69"/>
      <c r="J2239" s="69"/>
      <c r="M2239" s="57"/>
    </row>
    <row r="2240" spans="1:13" x14ac:dyDescent="0.2">
      <c r="B2240" s="58" t="s">
        <v>4021</v>
      </c>
      <c r="C2240" s="69"/>
      <c r="D2240" s="69"/>
      <c r="E2240" s="69"/>
      <c r="G2240" s="69"/>
      <c r="H2240" s="69"/>
      <c r="I2240" s="69"/>
      <c r="J2240" s="69"/>
      <c r="M2240" s="57"/>
    </row>
    <row r="2241" spans="1:13" x14ac:dyDescent="0.2">
      <c r="A2241" s="60">
        <v>3205</v>
      </c>
      <c r="B2241" s="70" t="s">
        <v>446</v>
      </c>
      <c r="C2241" s="69">
        <v>0</v>
      </c>
      <c r="D2241" s="69">
        <v>22050</v>
      </c>
      <c r="E2241" s="69">
        <v>22050</v>
      </c>
      <c r="F2241" s="69">
        <v>8117</v>
      </c>
      <c r="G2241" s="69">
        <f>F2241/$F$11*$G$11</f>
        <v>9740.4000000000015</v>
      </c>
      <c r="H2241" s="69">
        <f>ROUND(E2241*1.05,2)</f>
        <v>23152.5</v>
      </c>
      <c r="I2241" s="69">
        <f t="shared" ref="I2241:J2243" si="322">ROUND(H2241*1.06,0)</f>
        <v>24542</v>
      </c>
      <c r="J2241" s="69">
        <f t="shared" si="322"/>
        <v>26015</v>
      </c>
      <c r="M2241" s="57"/>
    </row>
    <row r="2242" spans="1:13" s="9" customFormat="1" x14ac:dyDescent="0.2">
      <c r="A2242" s="75">
        <v>3206</v>
      </c>
      <c r="B2242" s="70" t="s">
        <v>39</v>
      </c>
      <c r="C2242" s="69">
        <v>0</v>
      </c>
      <c r="D2242" s="69">
        <v>6300</v>
      </c>
      <c r="E2242" s="69">
        <v>6300</v>
      </c>
      <c r="F2242" s="69">
        <v>0</v>
      </c>
      <c r="G2242" s="69">
        <f>F2242/$F$11*$G$11</f>
        <v>0</v>
      </c>
      <c r="H2242" s="69">
        <f>ROUND(E2242*1.05,2)</f>
        <v>6615</v>
      </c>
      <c r="I2242" s="69">
        <f t="shared" si="322"/>
        <v>7012</v>
      </c>
      <c r="J2242" s="69">
        <f t="shared" si="322"/>
        <v>7433</v>
      </c>
      <c r="M2242" s="57"/>
    </row>
    <row r="2243" spans="1:13" s="9" customFormat="1" x14ac:dyDescent="0.2">
      <c r="A2243" s="75">
        <v>3210</v>
      </c>
      <c r="B2243" s="71" t="s">
        <v>256</v>
      </c>
      <c r="C2243" s="56">
        <v>3487</v>
      </c>
      <c r="D2243" s="56">
        <v>5250</v>
      </c>
      <c r="E2243" s="56">
        <v>5250</v>
      </c>
      <c r="F2243" s="56">
        <v>1503</v>
      </c>
      <c r="G2243" s="56">
        <f>F2243/$F$11*$G$11</f>
        <v>1803.6000000000001</v>
      </c>
      <c r="H2243" s="56">
        <f>ROUND(E2243*1.05,2)</f>
        <v>5512.5</v>
      </c>
      <c r="I2243" s="56">
        <f t="shared" si="322"/>
        <v>5843</v>
      </c>
      <c r="J2243" s="56">
        <f t="shared" si="322"/>
        <v>6194</v>
      </c>
      <c r="M2243" s="57"/>
    </row>
    <row r="2244" spans="1:13" s="9" customFormat="1" x14ac:dyDescent="0.2">
      <c r="A2244" s="37"/>
      <c r="B2244" s="58" t="s">
        <v>417</v>
      </c>
      <c r="C2244" s="72">
        <f>SUM(C2241:C2243)</f>
        <v>3487</v>
      </c>
      <c r="D2244" s="72">
        <f t="shared" ref="D2244:J2244" si="323">SUM(D2241:D2243)</f>
        <v>33600</v>
      </c>
      <c r="E2244" s="72">
        <f t="shared" si="323"/>
        <v>33600</v>
      </c>
      <c r="F2244" s="72">
        <f t="shared" si="323"/>
        <v>9620</v>
      </c>
      <c r="G2244" s="72">
        <f t="shared" si="323"/>
        <v>11544.000000000002</v>
      </c>
      <c r="H2244" s="72">
        <f t="shared" si="323"/>
        <v>35280</v>
      </c>
      <c r="I2244" s="72">
        <f t="shared" si="323"/>
        <v>37397</v>
      </c>
      <c r="J2244" s="72">
        <f t="shared" si="323"/>
        <v>39642</v>
      </c>
      <c r="M2244" s="57"/>
    </row>
    <row r="2245" spans="1:13" s="9" customFormat="1" x14ac:dyDescent="0.2">
      <c r="A2245" s="37"/>
      <c r="B2245" s="58"/>
      <c r="C2245" s="72"/>
      <c r="D2245" s="72"/>
      <c r="E2245" s="72"/>
      <c r="F2245" s="72"/>
      <c r="G2245" s="72"/>
      <c r="H2245" s="72"/>
      <c r="I2245" s="72"/>
      <c r="J2245" s="72"/>
      <c r="M2245" s="57"/>
    </row>
    <row r="2246" spans="1:13" s="9" customFormat="1" x14ac:dyDescent="0.2">
      <c r="A2246" s="37"/>
      <c r="B2246" s="58" t="s">
        <v>435</v>
      </c>
      <c r="C2246" s="72"/>
      <c r="D2246" s="72"/>
      <c r="E2246" s="72"/>
      <c r="F2246" s="72"/>
      <c r="G2246" s="72"/>
      <c r="H2246" s="72"/>
      <c r="I2246" s="72"/>
      <c r="J2246" s="72"/>
      <c r="M2246" s="57"/>
    </row>
    <row r="2247" spans="1:13" x14ac:dyDescent="0.2">
      <c r="A2247" s="75">
        <v>2305</v>
      </c>
      <c r="B2247" s="71" t="s">
        <v>1074</v>
      </c>
      <c r="C2247" s="56">
        <v>495</v>
      </c>
      <c r="D2247" s="56">
        <v>0</v>
      </c>
      <c r="E2247" s="56">
        <v>0</v>
      </c>
      <c r="F2247" s="56">
        <v>0</v>
      </c>
      <c r="G2247" s="56">
        <v>0</v>
      </c>
      <c r="H2247" s="56">
        <f>ROUND(E2247*1.08,0)</f>
        <v>0</v>
      </c>
      <c r="I2247" s="56">
        <f>ROUND(H2247*1.06,0)</f>
        <v>0</v>
      </c>
      <c r="J2247" s="56">
        <f>ROUND(I2247*1.06,0)</f>
        <v>0</v>
      </c>
      <c r="M2247" s="57"/>
    </row>
    <row r="2248" spans="1:13" s="9" customFormat="1" x14ac:dyDescent="0.2">
      <c r="A2248" s="37"/>
      <c r="B2248" s="58" t="s">
        <v>436</v>
      </c>
      <c r="C2248" s="72">
        <f t="shared" ref="C2248:J2248" si="324">SUM(C2247)</f>
        <v>495</v>
      </c>
      <c r="D2248" s="72">
        <f t="shared" si="324"/>
        <v>0</v>
      </c>
      <c r="E2248" s="72">
        <f t="shared" si="324"/>
        <v>0</v>
      </c>
      <c r="F2248" s="72">
        <f t="shared" si="324"/>
        <v>0</v>
      </c>
      <c r="G2248" s="72">
        <f t="shared" si="324"/>
        <v>0</v>
      </c>
      <c r="H2248" s="72">
        <f t="shared" si="324"/>
        <v>0</v>
      </c>
      <c r="I2248" s="72">
        <f t="shared" si="324"/>
        <v>0</v>
      </c>
      <c r="J2248" s="72">
        <f t="shared" si="324"/>
        <v>0</v>
      </c>
      <c r="M2248" s="57"/>
    </row>
    <row r="2249" spans="1:13" x14ac:dyDescent="0.2">
      <c r="B2249" s="61"/>
      <c r="C2249" s="97"/>
      <c r="D2249" s="97"/>
      <c r="E2249" s="97"/>
      <c r="F2249" s="97"/>
      <c r="G2249" s="97"/>
      <c r="H2249" s="97"/>
      <c r="I2249" s="97"/>
      <c r="J2249" s="97"/>
      <c r="M2249" s="57"/>
    </row>
    <row r="2250" spans="1:13" x14ac:dyDescent="0.2">
      <c r="B2250" s="58" t="s">
        <v>4055</v>
      </c>
      <c r="C2250" s="73">
        <f t="shared" ref="C2250:J2250" si="325">C2238+C2244+C2248</f>
        <v>328384</v>
      </c>
      <c r="D2250" s="73">
        <f t="shared" si="325"/>
        <v>477107</v>
      </c>
      <c r="E2250" s="73">
        <f t="shared" si="325"/>
        <v>477107</v>
      </c>
      <c r="F2250" s="73">
        <f t="shared" si="325"/>
        <v>347698</v>
      </c>
      <c r="G2250" s="73">
        <f t="shared" si="325"/>
        <v>417237.60000000003</v>
      </c>
      <c r="H2250" s="73">
        <f t="shared" si="325"/>
        <v>581667</v>
      </c>
      <c r="I2250" s="73">
        <f t="shared" si="325"/>
        <v>627495</v>
      </c>
      <c r="J2250" s="73">
        <f t="shared" si="325"/>
        <v>676945</v>
      </c>
      <c r="M2250" s="57"/>
    </row>
    <row r="2251" spans="1:13" x14ac:dyDescent="0.2">
      <c r="B2251" s="58"/>
      <c r="C2251" s="73"/>
      <c r="D2251" s="73"/>
      <c r="E2251" s="73"/>
      <c r="G2251" s="69"/>
      <c r="H2251" s="69"/>
      <c r="I2251" s="73"/>
      <c r="J2251" s="73"/>
      <c r="M2251" s="57"/>
    </row>
    <row r="2252" spans="1:13" x14ac:dyDescent="0.2">
      <c r="B2252" s="58" t="s">
        <v>418</v>
      </c>
      <c r="C2252" s="96"/>
      <c r="D2252" s="96"/>
      <c r="E2252" s="96"/>
      <c r="G2252" s="69"/>
      <c r="H2252" s="69"/>
      <c r="I2252" s="96"/>
      <c r="J2252" s="96"/>
      <c r="M2252" s="57"/>
    </row>
    <row r="2253" spans="1:13" x14ac:dyDescent="0.2">
      <c r="A2253" s="101">
        <v>4204</v>
      </c>
      <c r="B2253" s="70" t="s">
        <v>4058</v>
      </c>
      <c r="C2253" s="96">
        <v>2478</v>
      </c>
      <c r="D2253" s="69">
        <v>10413</v>
      </c>
      <c r="E2253" s="69">
        <v>10413</v>
      </c>
      <c r="F2253" s="69">
        <v>0</v>
      </c>
      <c r="G2253" s="69">
        <f>F2253/$F$11*$G$11</f>
        <v>0</v>
      </c>
      <c r="H2253" s="69">
        <f>ROUND(E2253*1.08,0)</f>
        <v>11246</v>
      </c>
      <c r="I2253" s="69">
        <f t="shared" ref="I2253:J2255" si="326">ROUND(H2253*1.08,0)</f>
        <v>12146</v>
      </c>
      <c r="J2253" s="69">
        <f t="shared" si="326"/>
        <v>13118</v>
      </c>
      <c r="M2253" s="57"/>
    </row>
    <row r="2254" spans="1:13" x14ac:dyDescent="0.2">
      <c r="A2254" s="101">
        <v>4209</v>
      </c>
      <c r="B2254" s="70" t="s">
        <v>237</v>
      </c>
      <c r="C2254" s="96">
        <v>18</v>
      </c>
      <c r="D2254" s="69">
        <v>0</v>
      </c>
      <c r="E2254" s="69">
        <v>0</v>
      </c>
      <c r="F2254" s="69">
        <v>0</v>
      </c>
      <c r="G2254" s="69">
        <f>F2254/$F$11*$G$11</f>
        <v>0</v>
      </c>
      <c r="H2254" s="69">
        <f>ROUND(E2254*1.08,0)</f>
        <v>0</v>
      </c>
      <c r="I2254" s="69">
        <f t="shared" si="326"/>
        <v>0</v>
      </c>
      <c r="J2254" s="69">
        <f t="shared" si="326"/>
        <v>0</v>
      </c>
      <c r="M2254" s="57"/>
    </row>
    <row r="2255" spans="1:13" x14ac:dyDescent="0.2">
      <c r="A2255" s="101">
        <v>4207</v>
      </c>
      <c r="B2255" s="71" t="s">
        <v>222</v>
      </c>
      <c r="C2255" s="105">
        <v>1804</v>
      </c>
      <c r="D2255" s="56">
        <v>12296</v>
      </c>
      <c r="E2255" s="56">
        <v>12296</v>
      </c>
      <c r="F2255" s="56">
        <v>0</v>
      </c>
      <c r="G2255" s="56">
        <f>F2255/$F$11*$G$11</f>
        <v>0</v>
      </c>
      <c r="H2255" s="56">
        <f>ROUND(E2255*1.08,0)</f>
        <v>13280</v>
      </c>
      <c r="I2255" s="56">
        <f t="shared" si="326"/>
        <v>14342</v>
      </c>
      <c r="J2255" s="56">
        <f t="shared" si="326"/>
        <v>15489</v>
      </c>
      <c r="M2255" s="57"/>
    </row>
    <row r="2256" spans="1:13" x14ac:dyDescent="0.2">
      <c r="B2256" s="58" t="s">
        <v>419</v>
      </c>
      <c r="C2256" s="72">
        <f t="shared" ref="C2256:J2256" si="327">SUM(C2253:C2255)</f>
        <v>4300</v>
      </c>
      <c r="D2256" s="72">
        <f t="shared" si="327"/>
        <v>22709</v>
      </c>
      <c r="E2256" s="72">
        <f t="shared" si="327"/>
        <v>22709</v>
      </c>
      <c r="F2256" s="72">
        <f t="shared" si="327"/>
        <v>0</v>
      </c>
      <c r="G2256" s="72">
        <f t="shared" si="327"/>
        <v>0</v>
      </c>
      <c r="H2256" s="72">
        <f t="shared" si="327"/>
        <v>24526</v>
      </c>
      <c r="I2256" s="72">
        <f t="shared" si="327"/>
        <v>26488</v>
      </c>
      <c r="J2256" s="72">
        <f t="shared" si="327"/>
        <v>28607</v>
      </c>
      <c r="M2256" s="57"/>
    </row>
    <row r="2257" spans="2:13" x14ac:dyDescent="0.2">
      <c r="B2257" s="61"/>
      <c r="C2257" s="120"/>
      <c r="D2257" s="120"/>
      <c r="E2257" s="120"/>
      <c r="F2257" s="120"/>
      <c r="G2257" s="120"/>
      <c r="H2257" s="120"/>
      <c r="I2257" s="120"/>
      <c r="J2257" s="120"/>
      <c r="M2257" s="57"/>
    </row>
    <row r="2258" spans="2:13" x14ac:dyDescent="0.2">
      <c r="B2258" s="58" t="s">
        <v>4029</v>
      </c>
      <c r="C2258" s="73">
        <f t="shared" ref="C2258:J2258" si="328">+C2250+C2256</f>
        <v>332684</v>
      </c>
      <c r="D2258" s="73">
        <f t="shared" si="328"/>
        <v>499816</v>
      </c>
      <c r="E2258" s="73">
        <f t="shared" si="328"/>
        <v>499816</v>
      </c>
      <c r="F2258" s="73">
        <f t="shared" si="328"/>
        <v>347698</v>
      </c>
      <c r="G2258" s="73">
        <f t="shared" si="328"/>
        <v>417237.60000000003</v>
      </c>
      <c r="H2258" s="73">
        <f t="shared" si="328"/>
        <v>606193</v>
      </c>
      <c r="I2258" s="73">
        <f t="shared" si="328"/>
        <v>653983</v>
      </c>
      <c r="J2258" s="73">
        <f t="shared" si="328"/>
        <v>705552</v>
      </c>
      <c r="M2258" s="57"/>
    </row>
    <row r="2259" spans="2:13" x14ac:dyDescent="0.2">
      <c r="B2259" s="58"/>
      <c r="C2259" s="73"/>
      <c r="D2259" s="73"/>
      <c r="E2259" s="73"/>
      <c r="F2259" s="73"/>
      <c r="G2259" s="73"/>
      <c r="H2259" s="73"/>
      <c r="I2259" s="73"/>
      <c r="J2259" s="73"/>
      <c r="M2259" s="57"/>
    </row>
    <row r="2260" spans="2:13" ht="13.5" thickBot="1" x14ac:dyDescent="0.25">
      <c r="B2260" s="65" t="s">
        <v>4033</v>
      </c>
      <c r="C2260" s="76">
        <f t="shared" ref="C2260:J2260" si="329">+C2258</f>
        <v>332684</v>
      </c>
      <c r="D2260" s="76">
        <f t="shared" si="329"/>
        <v>499816</v>
      </c>
      <c r="E2260" s="76">
        <f t="shared" si="329"/>
        <v>499816</v>
      </c>
      <c r="F2260" s="76">
        <f t="shared" si="329"/>
        <v>347698</v>
      </c>
      <c r="G2260" s="76">
        <f t="shared" si="329"/>
        <v>417237.60000000003</v>
      </c>
      <c r="H2260" s="76">
        <f t="shared" si="329"/>
        <v>606193</v>
      </c>
      <c r="I2260" s="76">
        <f t="shared" si="329"/>
        <v>653983</v>
      </c>
      <c r="J2260" s="76">
        <f t="shared" si="329"/>
        <v>705552</v>
      </c>
      <c r="M2260" s="57"/>
    </row>
    <row r="2261" spans="2:13" ht="13.5" thickTop="1" x14ac:dyDescent="0.2">
      <c r="B2261" s="58"/>
      <c r="C2261" s="72"/>
      <c r="D2261" s="72"/>
      <c r="E2261" s="72"/>
      <c r="F2261" s="72"/>
      <c r="G2261" s="72"/>
      <c r="H2261" s="72"/>
      <c r="I2261" s="72"/>
      <c r="J2261" s="72"/>
      <c r="M2261" s="57"/>
    </row>
    <row r="2262" spans="2:13" ht="13.5" thickBot="1" x14ac:dyDescent="0.25">
      <c r="B2262" s="65" t="s">
        <v>4059</v>
      </c>
      <c r="C2262" s="77">
        <f t="shared" ref="C2262:J2262" si="330">C2220-C2260</f>
        <v>-330854</v>
      </c>
      <c r="D2262" s="77">
        <f t="shared" si="330"/>
        <v>-497016</v>
      </c>
      <c r="E2262" s="77">
        <f t="shared" si="330"/>
        <v>-497016</v>
      </c>
      <c r="F2262" s="77">
        <f t="shared" si="330"/>
        <v>-343284</v>
      </c>
      <c r="G2262" s="77">
        <f t="shared" si="330"/>
        <v>-411940.80000000005</v>
      </c>
      <c r="H2262" s="77">
        <f t="shared" si="330"/>
        <v>-600367</v>
      </c>
      <c r="I2262" s="77">
        <f t="shared" si="330"/>
        <v>-647807</v>
      </c>
      <c r="J2262" s="77">
        <f t="shared" si="330"/>
        <v>-699005</v>
      </c>
      <c r="M2262" s="57"/>
    </row>
    <row r="2263" spans="2:13" ht="13.5" thickTop="1" x14ac:dyDescent="0.2">
      <c r="B2263" s="58"/>
      <c r="C2263" s="78"/>
      <c r="D2263" s="78"/>
      <c r="E2263" s="78"/>
      <c r="G2263" s="69"/>
      <c r="H2263" s="69"/>
      <c r="I2263" s="78"/>
      <c r="J2263" s="78"/>
      <c r="M2263" s="57"/>
    </row>
    <row r="2264" spans="2:13" x14ac:dyDescent="0.2">
      <c r="G2264" s="69"/>
      <c r="H2264" s="69"/>
      <c r="M2264" s="57"/>
    </row>
    <row r="2265" spans="2:13" x14ac:dyDescent="0.2">
      <c r="G2265" s="69"/>
      <c r="H2265" s="69"/>
      <c r="M2265" s="57"/>
    </row>
    <row r="2266" spans="2:13" x14ac:dyDescent="0.2">
      <c r="G2266" s="69"/>
      <c r="H2266" s="69"/>
      <c r="M2266" s="57"/>
    </row>
    <row r="2267" spans="2:13" x14ac:dyDescent="0.2">
      <c r="G2267" s="69"/>
      <c r="H2267" s="69"/>
      <c r="M2267" s="57"/>
    </row>
    <row r="2268" spans="2:13" x14ac:dyDescent="0.2">
      <c r="G2268" s="69"/>
      <c r="H2268" s="69"/>
      <c r="M2268" s="57"/>
    </row>
    <row r="2269" spans="2:13" x14ac:dyDescent="0.2">
      <c r="G2269" s="69"/>
      <c r="H2269" s="69"/>
      <c r="M2269" s="57"/>
    </row>
    <row r="2270" spans="2:13" x14ac:dyDescent="0.2">
      <c r="G2270" s="69"/>
      <c r="H2270" s="69"/>
      <c r="M2270" s="57"/>
    </row>
    <row r="2271" spans="2:13" x14ac:dyDescent="0.2">
      <c r="G2271" s="69"/>
      <c r="H2271" s="69"/>
      <c r="M2271" s="57"/>
    </row>
    <row r="2272" spans="2:13" x14ac:dyDescent="0.2">
      <c r="G2272" s="69"/>
      <c r="H2272" s="69"/>
      <c r="M2272" s="57"/>
    </row>
    <row r="2273" spans="7:13" x14ac:dyDescent="0.2">
      <c r="G2273" s="69"/>
      <c r="H2273" s="69"/>
      <c r="M2273" s="57"/>
    </row>
    <row r="2274" spans="7:13" x14ac:dyDescent="0.2">
      <c r="G2274" s="69"/>
      <c r="H2274" s="69"/>
      <c r="M2274" s="57"/>
    </row>
    <row r="2275" spans="7:13" x14ac:dyDescent="0.2">
      <c r="G2275" s="69"/>
      <c r="H2275" s="69"/>
      <c r="M2275" s="57"/>
    </row>
    <row r="2276" spans="7:13" x14ac:dyDescent="0.2">
      <c r="G2276" s="69"/>
      <c r="H2276" s="69"/>
      <c r="M2276" s="57"/>
    </row>
    <row r="2277" spans="7:13" x14ac:dyDescent="0.2">
      <c r="G2277" s="69"/>
      <c r="H2277" s="69"/>
      <c r="M2277" s="57"/>
    </row>
    <row r="2278" spans="7:13" x14ac:dyDescent="0.2">
      <c r="G2278" s="69"/>
      <c r="H2278" s="69"/>
      <c r="M2278" s="57"/>
    </row>
    <row r="2279" spans="7:13" x14ac:dyDescent="0.2">
      <c r="G2279" s="69"/>
      <c r="H2279" s="69"/>
      <c r="M2279" s="57"/>
    </row>
    <row r="2280" spans="7:13" x14ac:dyDescent="0.2">
      <c r="G2280" s="69"/>
      <c r="H2280" s="69"/>
      <c r="M2280" s="57"/>
    </row>
    <row r="2281" spans="7:13" x14ac:dyDescent="0.2">
      <c r="G2281" s="69"/>
      <c r="H2281" s="69"/>
      <c r="M2281" s="57"/>
    </row>
    <row r="2282" spans="7:13" x14ac:dyDescent="0.2">
      <c r="G2282" s="69"/>
      <c r="H2282" s="69"/>
      <c r="M2282" s="57"/>
    </row>
    <row r="2283" spans="7:13" x14ac:dyDescent="0.2">
      <c r="G2283" s="69"/>
      <c r="H2283" s="69"/>
      <c r="M2283" s="57"/>
    </row>
    <row r="2284" spans="7:13" x14ac:dyDescent="0.2">
      <c r="G2284" s="69"/>
      <c r="H2284" s="69"/>
      <c r="M2284" s="57"/>
    </row>
    <row r="2285" spans="7:13" x14ac:dyDescent="0.2">
      <c r="G2285" s="69"/>
      <c r="H2285" s="69"/>
      <c r="M2285" s="57"/>
    </row>
    <row r="2286" spans="7:13" x14ac:dyDescent="0.2">
      <c r="G2286" s="69"/>
      <c r="H2286" s="69"/>
      <c r="M2286" s="57"/>
    </row>
    <row r="2287" spans="7:13" x14ac:dyDescent="0.2">
      <c r="G2287" s="69"/>
      <c r="H2287" s="69"/>
      <c r="M2287" s="57"/>
    </row>
    <row r="2288" spans="7:13" x14ac:dyDescent="0.2">
      <c r="G2288" s="69"/>
      <c r="H2288" s="69"/>
      <c r="M2288" s="57"/>
    </row>
    <row r="2289" spans="1:14" x14ac:dyDescent="0.2">
      <c r="G2289" s="69"/>
      <c r="H2289" s="69"/>
      <c r="M2289" s="57"/>
    </row>
    <row r="2290" spans="1:14" x14ac:dyDescent="0.2">
      <c r="A2290" s="6"/>
      <c r="B2290" s="6"/>
      <c r="C2290" s="6"/>
      <c r="D2290" s="6"/>
      <c r="E2290" s="6"/>
      <c r="G2290" s="69"/>
      <c r="H2290" s="69"/>
      <c r="I2290" s="6"/>
      <c r="J2290" s="6"/>
      <c r="M2290" s="57"/>
    </row>
    <row r="2291" spans="1:14" x14ac:dyDescent="0.2">
      <c r="A2291" s="6"/>
      <c r="B2291" s="6"/>
      <c r="C2291" s="6"/>
      <c r="D2291" s="6"/>
      <c r="E2291" s="6"/>
      <c r="G2291" s="69"/>
      <c r="H2291" s="69"/>
      <c r="I2291" s="6"/>
      <c r="J2291" s="6"/>
      <c r="M2291" s="57"/>
    </row>
    <row r="2292" spans="1:14" x14ac:dyDescent="0.2">
      <c r="A2292" s="6"/>
      <c r="B2292" s="6"/>
      <c r="C2292" s="6"/>
      <c r="D2292" s="6"/>
      <c r="E2292" s="6"/>
      <c r="G2292" s="69"/>
      <c r="H2292" s="69"/>
      <c r="I2292" s="6"/>
      <c r="J2292" s="6"/>
      <c r="M2292" s="57"/>
    </row>
    <row r="2293" spans="1:14" x14ac:dyDescent="0.2">
      <c r="A2293" s="6"/>
      <c r="B2293" s="6"/>
      <c r="C2293" s="6"/>
      <c r="D2293" s="6"/>
      <c r="E2293" s="6"/>
      <c r="G2293" s="69"/>
      <c r="H2293" s="69"/>
      <c r="I2293" s="6"/>
      <c r="J2293" s="6"/>
      <c r="M2293" s="57"/>
    </row>
    <row r="2294" spans="1:14" x14ac:dyDescent="0.2">
      <c r="A2294" s="6"/>
      <c r="B2294" s="6"/>
      <c r="C2294" s="6"/>
      <c r="D2294" s="6"/>
      <c r="E2294" s="6"/>
      <c r="G2294" s="69"/>
      <c r="H2294" s="69"/>
      <c r="I2294" s="6"/>
      <c r="J2294" s="6"/>
      <c r="M2294" s="57"/>
    </row>
    <row r="2295" spans="1:14" ht="15.75" x14ac:dyDescent="0.25">
      <c r="A2295" s="98">
        <v>1800</v>
      </c>
      <c r="B2295" s="118" t="s">
        <v>257</v>
      </c>
      <c r="G2295" s="69"/>
      <c r="H2295" s="69"/>
      <c r="L2295" s="2"/>
    </row>
    <row r="2296" spans="1:14" ht="15" x14ac:dyDescent="0.25">
      <c r="A2296" s="91">
        <v>1810</v>
      </c>
      <c r="B2296" s="48" t="s">
        <v>438</v>
      </c>
      <c r="C2296" s="48"/>
      <c r="D2296" s="48"/>
      <c r="E2296" s="48"/>
      <c r="G2296" s="69"/>
      <c r="H2296" s="69"/>
      <c r="M2296" s="57"/>
    </row>
    <row r="2297" spans="1:14" ht="15" x14ac:dyDescent="0.25">
      <c r="B2297" s="48"/>
      <c r="C2297" s="48"/>
      <c r="D2297" s="48"/>
      <c r="E2297" s="48"/>
      <c r="G2297" s="69"/>
      <c r="H2297" s="69"/>
      <c r="M2297" s="57"/>
    </row>
    <row r="2298" spans="1:14" x14ac:dyDescent="0.2">
      <c r="B2298" s="50" t="s">
        <v>61</v>
      </c>
      <c r="C2298" s="50"/>
      <c r="D2298" s="50"/>
      <c r="E2298" s="50"/>
      <c r="G2298" s="69"/>
      <c r="H2298" s="69"/>
      <c r="M2298" s="57"/>
    </row>
    <row r="2299" spans="1:14" x14ac:dyDescent="0.2">
      <c r="B2299" s="50"/>
      <c r="C2299" s="50"/>
      <c r="D2299" s="50"/>
      <c r="E2299" s="50"/>
      <c r="G2299" s="69"/>
      <c r="H2299" s="69"/>
      <c r="M2299" s="57"/>
    </row>
    <row r="2300" spans="1:14" x14ac:dyDescent="0.2">
      <c r="B2300" s="58" t="s">
        <v>633</v>
      </c>
      <c r="C2300" s="99"/>
      <c r="D2300" s="99"/>
      <c r="E2300" s="99"/>
      <c r="G2300" s="69"/>
      <c r="H2300" s="126"/>
      <c r="L2300" s="168" t="s">
        <v>1084</v>
      </c>
      <c r="M2300" s="169" t="s">
        <v>1083</v>
      </c>
      <c r="N2300" s="170" t="s">
        <v>1085</v>
      </c>
    </row>
    <row r="2301" spans="1:14" x14ac:dyDescent="0.2">
      <c r="A2301" s="75">
        <v>5611</v>
      </c>
      <c r="B2301" s="71" t="s">
        <v>258</v>
      </c>
      <c r="C2301" s="56">
        <v>3014546</v>
      </c>
      <c r="D2301" s="56">
        <f>ROUND(3000581*1.04,0)</f>
        <v>3120604</v>
      </c>
      <c r="E2301" s="56">
        <v>3120604</v>
      </c>
      <c r="F2301" s="56">
        <v>2603728</v>
      </c>
      <c r="G2301" s="56">
        <f>F2301/$F$11*$G$11</f>
        <v>3124473.5999999996</v>
      </c>
      <c r="H2301" s="56">
        <f>ROUND(96060*L2301,0)</f>
        <v>3458160</v>
      </c>
      <c r="I2301" s="56">
        <f>ROUND(96060*M2301,0)</f>
        <v>3976884</v>
      </c>
      <c r="J2301" s="56">
        <f>ROUND(96060*N2301,0)</f>
        <v>4573417</v>
      </c>
      <c r="L2301">
        <v>36</v>
      </c>
      <c r="M2301" s="57">
        <f>+L2301*1.15</f>
        <v>41.4</v>
      </c>
      <c r="N2301" s="57">
        <f>+M2301*1.15</f>
        <v>47.609999999999992</v>
      </c>
    </row>
    <row r="2302" spans="1:14" x14ac:dyDescent="0.2">
      <c r="B2302" s="58" t="s">
        <v>634</v>
      </c>
      <c r="C2302" s="115">
        <f t="shared" ref="C2302:J2302" si="331">SUM(C2301)</f>
        <v>3014546</v>
      </c>
      <c r="D2302" s="115">
        <f t="shared" si="331"/>
        <v>3120604</v>
      </c>
      <c r="E2302" s="115">
        <f t="shared" si="331"/>
        <v>3120604</v>
      </c>
      <c r="F2302" s="115">
        <f t="shared" si="331"/>
        <v>2603728</v>
      </c>
      <c r="G2302" s="115">
        <f t="shared" si="331"/>
        <v>3124473.5999999996</v>
      </c>
      <c r="H2302" s="115">
        <f t="shared" si="331"/>
        <v>3458160</v>
      </c>
      <c r="I2302" s="115">
        <f t="shared" si="331"/>
        <v>3976884</v>
      </c>
      <c r="J2302" s="115">
        <f t="shared" si="331"/>
        <v>4573417</v>
      </c>
      <c r="L2302" s="100"/>
      <c r="M2302" s="57"/>
    </row>
    <row r="2303" spans="1:14" x14ac:dyDescent="0.2">
      <c r="B2303" s="61"/>
      <c r="C2303" s="124"/>
      <c r="D2303" s="124"/>
      <c r="E2303" s="124"/>
      <c r="F2303" s="124"/>
      <c r="G2303" s="124"/>
      <c r="H2303" s="124"/>
      <c r="I2303" s="124"/>
      <c r="J2303" s="124"/>
      <c r="L2303" s="534"/>
      <c r="M2303" s="57"/>
    </row>
    <row r="2304" spans="1:14" x14ac:dyDescent="0.2">
      <c r="B2304" s="58" t="s">
        <v>4105</v>
      </c>
      <c r="C2304" s="73">
        <f t="shared" ref="C2304:J2304" si="332">+C2302</f>
        <v>3014546</v>
      </c>
      <c r="D2304" s="73">
        <f t="shared" si="332"/>
        <v>3120604</v>
      </c>
      <c r="E2304" s="73">
        <f t="shared" si="332"/>
        <v>3120604</v>
      </c>
      <c r="F2304" s="73">
        <f t="shared" si="332"/>
        <v>2603728</v>
      </c>
      <c r="G2304" s="73">
        <f t="shared" si="332"/>
        <v>3124473.5999999996</v>
      </c>
      <c r="H2304" s="73">
        <f t="shared" si="332"/>
        <v>3458160</v>
      </c>
      <c r="I2304" s="73">
        <f t="shared" si="332"/>
        <v>3976884</v>
      </c>
      <c r="J2304" s="73">
        <f t="shared" si="332"/>
        <v>4573417</v>
      </c>
      <c r="L2304" s="73"/>
      <c r="M2304" s="57"/>
    </row>
    <row r="2305" spans="1:14" x14ac:dyDescent="0.2">
      <c r="B2305" s="58"/>
      <c r="C2305" s="96"/>
      <c r="D2305" s="96"/>
      <c r="E2305" s="96"/>
      <c r="G2305" s="69"/>
      <c r="H2305" s="69"/>
      <c r="I2305" s="96"/>
      <c r="J2305" s="96"/>
      <c r="M2305" s="57"/>
    </row>
    <row r="2306" spans="1:14" x14ac:dyDescent="0.2">
      <c r="B2306" s="58" t="s">
        <v>413</v>
      </c>
      <c r="C2306" s="69"/>
      <c r="D2306" s="69"/>
      <c r="E2306" s="69"/>
      <c r="G2306" s="69"/>
      <c r="H2306" s="69"/>
      <c r="I2306" s="69"/>
      <c r="J2306" s="69"/>
      <c r="L2306" s="541"/>
      <c r="M2306" s="57"/>
    </row>
    <row r="2307" spans="1:14" x14ac:dyDescent="0.2">
      <c r="A2307" s="75">
        <v>5501</v>
      </c>
      <c r="B2307" s="71" t="s">
        <v>2405</v>
      </c>
      <c r="C2307" s="62">
        <v>2164067</v>
      </c>
      <c r="D2307" s="56">
        <f>449763+1190676</f>
        <v>1640439</v>
      </c>
      <c r="E2307" s="56">
        <v>1640439</v>
      </c>
      <c r="F2307" s="56">
        <v>0</v>
      </c>
      <c r="G2307" s="56">
        <v>1640439</v>
      </c>
      <c r="H2307" s="56">
        <f>+H2386-H2304</f>
        <v>4464983</v>
      </c>
      <c r="I2307" s="56">
        <f>+I2386-I2304</f>
        <v>4616363</v>
      </c>
      <c r="J2307" s="56">
        <f>+J2386-J2304</f>
        <v>4740495</v>
      </c>
      <c r="M2307" s="57"/>
    </row>
    <row r="2308" spans="1:14" x14ac:dyDescent="0.2">
      <c r="B2308" s="58" t="s">
        <v>414</v>
      </c>
      <c r="C2308" s="115">
        <f t="shared" ref="C2308:J2308" si="333">SUM(C2307)</f>
        <v>2164067</v>
      </c>
      <c r="D2308" s="115">
        <f t="shared" si="333"/>
        <v>1640439</v>
      </c>
      <c r="E2308" s="115">
        <f t="shared" si="333"/>
        <v>1640439</v>
      </c>
      <c r="F2308" s="115">
        <f t="shared" si="333"/>
        <v>0</v>
      </c>
      <c r="G2308" s="115">
        <f t="shared" si="333"/>
        <v>1640439</v>
      </c>
      <c r="H2308" s="115">
        <f t="shared" si="333"/>
        <v>4464983</v>
      </c>
      <c r="I2308" s="115">
        <f t="shared" si="333"/>
        <v>4616363</v>
      </c>
      <c r="J2308" s="115">
        <f t="shared" si="333"/>
        <v>4740495</v>
      </c>
      <c r="M2308" s="57"/>
    </row>
    <row r="2309" spans="1:14" x14ac:dyDescent="0.2">
      <c r="B2309" s="58"/>
      <c r="C2309" s="100"/>
      <c r="D2309" s="100"/>
      <c r="E2309" s="100"/>
      <c r="F2309" s="100"/>
      <c r="G2309" s="100"/>
      <c r="H2309" s="100"/>
      <c r="I2309" s="100"/>
      <c r="J2309" s="100"/>
      <c r="M2309" s="57"/>
    </row>
    <row r="2310" spans="1:14" ht="13.5" thickBot="1" x14ac:dyDescent="0.25">
      <c r="B2310" s="65" t="s">
        <v>4017</v>
      </c>
      <c r="C2310" s="66">
        <f t="shared" ref="C2310:J2310" si="334">C2304+C2308</f>
        <v>5178613</v>
      </c>
      <c r="D2310" s="66">
        <f t="shared" si="334"/>
        <v>4761043</v>
      </c>
      <c r="E2310" s="66">
        <f t="shared" si="334"/>
        <v>4761043</v>
      </c>
      <c r="F2310" s="66">
        <f t="shared" si="334"/>
        <v>2603728</v>
      </c>
      <c r="G2310" s="66">
        <f t="shared" si="334"/>
        <v>4764912.5999999996</v>
      </c>
      <c r="H2310" s="66">
        <f t="shared" si="334"/>
        <v>7923143</v>
      </c>
      <c r="I2310" s="66">
        <f t="shared" si="334"/>
        <v>8593247</v>
      </c>
      <c r="J2310" s="66">
        <f t="shared" si="334"/>
        <v>9313912</v>
      </c>
      <c r="M2310" s="57"/>
    </row>
    <row r="2311" spans="1:14" ht="13.5" thickTop="1" x14ac:dyDescent="0.2">
      <c r="B2311" s="68"/>
      <c r="C2311" s="68"/>
      <c r="D2311" s="68"/>
      <c r="E2311" s="68"/>
      <c r="G2311" s="69"/>
      <c r="H2311" s="69"/>
      <c r="I2311" s="68"/>
      <c r="J2311" s="68"/>
      <c r="M2311" s="57"/>
    </row>
    <row r="2312" spans="1:14" x14ac:dyDescent="0.2">
      <c r="B2312" s="50" t="s">
        <v>4018</v>
      </c>
      <c r="C2312" s="50"/>
      <c r="D2312" s="50"/>
      <c r="E2312" s="50"/>
      <c r="G2312" s="69"/>
      <c r="H2312" s="69"/>
      <c r="I2312" s="50"/>
      <c r="J2312" s="50"/>
      <c r="M2312" s="57"/>
    </row>
    <row r="2313" spans="1:14" x14ac:dyDescent="0.2">
      <c r="B2313" s="50"/>
      <c r="C2313" s="50"/>
      <c r="D2313" s="50"/>
      <c r="E2313" s="50"/>
      <c r="G2313" s="69"/>
      <c r="H2313" s="69"/>
      <c r="I2313" s="50"/>
      <c r="J2313" s="50"/>
      <c r="M2313" s="57"/>
    </row>
    <row r="2314" spans="1:14" x14ac:dyDescent="0.2">
      <c r="B2314" s="58" t="s">
        <v>4019</v>
      </c>
      <c r="C2314" s="69"/>
      <c r="D2314" s="69"/>
      <c r="E2314" s="69"/>
      <c r="G2314" s="69"/>
      <c r="H2314" s="69"/>
      <c r="I2314" s="69"/>
      <c r="J2314" s="69"/>
      <c r="M2314" s="57"/>
    </row>
    <row r="2315" spans="1:14" x14ac:dyDescent="0.2">
      <c r="A2315" s="75">
        <v>1001</v>
      </c>
      <c r="B2315" s="70" t="s">
        <v>472</v>
      </c>
      <c r="C2315" s="69">
        <v>1588789</v>
      </c>
      <c r="D2315" s="69">
        <v>1218641</v>
      </c>
      <c r="E2315" s="69">
        <v>1168414</v>
      </c>
      <c r="F2315" s="69">
        <v>1205112</v>
      </c>
      <c r="G2315" s="69">
        <f t="shared" ref="G2315:G2328" si="335">F2315/$F$11*$G$11</f>
        <v>1446134.4</v>
      </c>
      <c r="H2315" s="69">
        <f>[3]Salary_Bdgt!$H$415</f>
        <v>3141922</v>
      </c>
      <c r="I2315" s="69">
        <f t="shared" ref="I2315:J2328" si="336">ROUND(H2315*1.08,0)</f>
        <v>3393276</v>
      </c>
      <c r="J2315" s="69">
        <f t="shared" si="336"/>
        <v>3664738</v>
      </c>
      <c r="M2315" s="57"/>
    </row>
    <row r="2316" spans="1:14" x14ac:dyDescent="0.2">
      <c r="A2316" s="75">
        <v>1005</v>
      </c>
      <c r="B2316" s="70" t="s">
        <v>473</v>
      </c>
      <c r="C2316" s="69">
        <v>76938</v>
      </c>
      <c r="D2316" s="69">
        <v>23174</v>
      </c>
      <c r="E2316" s="69">
        <f>+D2316+47206</f>
        <v>70380</v>
      </c>
      <c r="F2316" s="69">
        <v>76657</v>
      </c>
      <c r="G2316" s="69">
        <f t="shared" si="335"/>
        <v>91988.4</v>
      </c>
      <c r="H2316" s="69">
        <f>+[3]Salary_Bdgt!$L$415</f>
        <v>79769</v>
      </c>
      <c r="I2316" s="69">
        <f t="shared" si="336"/>
        <v>86151</v>
      </c>
      <c r="J2316" s="69">
        <f t="shared" si="336"/>
        <v>93043</v>
      </c>
      <c r="M2316" s="57"/>
    </row>
    <row r="2317" spans="1:14" x14ac:dyDescent="0.2">
      <c r="A2317" s="75">
        <v>1006</v>
      </c>
      <c r="B2317" s="70" t="s">
        <v>474</v>
      </c>
      <c r="C2317" s="69">
        <v>288667</v>
      </c>
      <c r="D2317" s="69">
        <v>99398</v>
      </c>
      <c r="E2317" s="69">
        <f>+D2317</f>
        <v>99398</v>
      </c>
      <c r="F2317" s="69">
        <v>219000</v>
      </c>
      <c r="G2317" s="69">
        <f t="shared" si="335"/>
        <v>262800</v>
      </c>
      <c r="H2317" s="69">
        <f>+[3]Salary_Bdgt!$N$415</f>
        <v>508469</v>
      </c>
      <c r="I2317" s="69">
        <f t="shared" si="336"/>
        <v>549147</v>
      </c>
      <c r="J2317" s="69">
        <f t="shared" si="336"/>
        <v>593079</v>
      </c>
      <c r="M2317" s="57"/>
      <c r="N2317" s="125"/>
    </row>
    <row r="2318" spans="1:14" x14ac:dyDescent="0.2">
      <c r="A2318" s="75">
        <v>1007</v>
      </c>
      <c r="B2318" s="70" t="s">
        <v>481</v>
      </c>
      <c r="C2318" s="69">
        <v>18088</v>
      </c>
      <c r="D2318" s="69">
        <v>23811</v>
      </c>
      <c r="E2318" s="69">
        <f>+D2318</f>
        <v>23811</v>
      </c>
      <c r="F2318" s="69">
        <v>13762</v>
      </c>
      <c r="G2318" s="69">
        <f t="shared" si="335"/>
        <v>16514.400000000001</v>
      </c>
      <c r="H2318" s="69">
        <f>+[3]Salary_Bdgt!$I$415</f>
        <v>61607</v>
      </c>
      <c r="I2318" s="69">
        <f t="shared" si="336"/>
        <v>66536</v>
      </c>
      <c r="J2318" s="69">
        <f t="shared" si="336"/>
        <v>71859</v>
      </c>
      <c r="M2318" s="57"/>
    </row>
    <row r="2319" spans="1:14" x14ac:dyDescent="0.2">
      <c r="A2319" s="75">
        <v>1009</v>
      </c>
      <c r="B2319" s="70" t="s">
        <v>482</v>
      </c>
      <c r="C2319" s="69">
        <v>1366</v>
      </c>
      <c r="D2319" s="69">
        <v>845</v>
      </c>
      <c r="E2319" s="69">
        <f>+D2319+91</f>
        <v>936</v>
      </c>
      <c r="F2319" s="69">
        <v>956</v>
      </c>
      <c r="G2319" s="69">
        <f t="shared" si="335"/>
        <v>1147.1999999999998</v>
      </c>
      <c r="H2319" s="69">
        <f>+[3]Salary_Bdgt!$M$415</f>
        <v>2205</v>
      </c>
      <c r="I2319" s="69">
        <f t="shared" si="336"/>
        <v>2381</v>
      </c>
      <c r="J2319" s="69">
        <f t="shared" si="336"/>
        <v>2571</v>
      </c>
      <c r="M2319" s="57"/>
    </row>
    <row r="2320" spans="1:14" x14ac:dyDescent="0.2">
      <c r="A2320" s="75">
        <v>1010</v>
      </c>
      <c r="B2320" s="70" t="s">
        <v>28</v>
      </c>
      <c r="C2320" s="69">
        <v>146261</v>
      </c>
      <c r="D2320" s="69">
        <v>101553</v>
      </c>
      <c r="E2320" s="69">
        <f>+D2320</f>
        <v>101553</v>
      </c>
      <c r="F2320" s="69">
        <v>101199</v>
      </c>
      <c r="G2320" s="69">
        <f t="shared" si="335"/>
        <v>121438.79999999999</v>
      </c>
      <c r="H2320" s="69">
        <f>+[3]Salary_Bdgt!$Q$415</f>
        <v>261827</v>
      </c>
      <c r="I2320" s="69">
        <f t="shared" si="336"/>
        <v>282773</v>
      </c>
      <c r="J2320" s="69">
        <f t="shared" si="336"/>
        <v>305395</v>
      </c>
      <c r="M2320" s="57"/>
    </row>
    <row r="2321" spans="1:13" x14ac:dyDescent="0.2">
      <c r="A2321" s="75">
        <v>1011</v>
      </c>
      <c r="B2321" s="70" t="s">
        <v>4045</v>
      </c>
      <c r="C2321" s="69">
        <v>2400</v>
      </c>
      <c r="D2321" s="69">
        <v>0</v>
      </c>
      <c r="E2321" s="69">
        <v>0</v>
      </c>
      <c r="F2321" s="69">
        <v>0</v>
      </c>
      <c r="G2321" s="69">
        <f t="shared" si="335"/>
        <v>0</v>
      </c>
      <c r="H2321" s="69">
        <f>+[3]Salary_Bdgt!$U$415</f>
        <v>0</v>
      </c>
      <c r="I2321" s="69">
        <f t="shared" si="336"/>
        <v>0</v>
      </c>
      <c r="J2321" s="69">
        <f t="shared" si="336"/>
        <v>0</v>
      </c>
      <c r="M2321" s="57"/>
    </row>
    <row r="2322" spans="1:13" x14ac:dyDescent="0.2">
      <c r="A2322" s="75">
        <v>1014</v>
      </c>
      <c r="B2322" s="70" t="s">
        <v>36</v>
      </c>
      <c r="C2322" s="69">
        <v>4364</v>
      </c>
      <c r="D2322" s="69">
        <v>0</v>
      </c>
      <c r="E2322" s="69">
        <v>2930</v>
      </c>
      <c r="F2322" s="69">
        <v>2590</v>
      </c>
      <c r="G2322" s="69">
        <f t="shared" si="335"/>
        <v>3108</v>
      </c>
      <c r="H2322" s="69">
        <f>+[3]Salary_Bdgt!$S$415</f>
        <v>0</v>
      </c>
      <c r="I2322" s="69">
        <f t="shared" si="336"/>
        <v>0</v>
      </c>
      <c r="J2322" s="69">
        <f t="shared" si="336"/>
        <v>0</v>
      </c>
      <c r="M2322" s="57"/>
    </row>
    <row r="2323" spans="1:13" x14ac:dyDescent="0.2">
      <c r="A2323" s="75">
        <v>1015</v>
      </c>
      <c r="B2323" s="70" t="s">
        <v>445</v>
      </c>
      <c r="C2323" s="69">
        <v>65343</v>
      </c>
      <c r="D2323" s="69">
        <v>42411</v>
      </c>
      <c r="E2323" s="69">
        <f>+D2323</f>
        <v>42411</v>
      </c>
      <c r="F2323" s="69">
        <v>59722</v>
      </c>
      <c r="G2323" s="69">
        <f t="shared" si="335"/>
        <v>71666.399999999994</v>
      </c>
      <c r="H2323" s="69">
        <f>+[3]Salary_Bdgt!$O$415+[3]Salary_Bdgt!$P$415+[3]Salary_Bdgt!$W$415</f>
        <v>69897</v>
      </c>
      <c r="I2323" s="69">
        <f t="shared" si="336"/>
        <v>75489</v>
      </c>
      <c r="J2323" s="69">
        <f t="shared" si="336"/>
        <v>81528</v>
      </c>
      <c r="M2323" s="57"/>
    </row>
    <row r="2324" spans="1:13" x14ac:dyDescent="0.2">
      <c r="A2324" s="75">
        <v>1016</v>
      </c>
      <c r="B2324" s="70" t="s">
        <v>475</v>
      </c>
      <c r="C2324" s="69">
        <v>0</v>
      </c>
      <c r="D2324" s="69">
        <v>9491</v>
      </c>
      <c r="E2324" s="69">
        <f>+D2324</f>
        <v>9491</v>
      </c>
      <c r="F2324" s="69">
        <f>200+23867</f>
        <v>24067</v>
      </c>
      <c r="G2324" s="69">
        <f t="shared" si="335"/>
        <v>28880.399999999998</v>
      </c>
      <c r="H2324" s="69">
        <f>+[3]Salary_Bdgt!$T$415+[3]Salary_Bdgt!$V$415</f>
        <v>49888</v>
      </c>
      <c r="I2324" s="69">
        <f t="shared" si="336"/>
        <v>53879</v>
      </c>
      <c r="J2324" s="69">
        <f t="shared" si="336"/>
        <v>58189</v>
      </c>
      <c r="M2324" s="57"/>
    </row>
    <row r="2325" spans="1:13" x14ac:dyDescent="0.2">
      <c r="A2325" s="75">
        <v>1017</v>
      </c>
      <c r="B2325" s="70" t="s">
        <v>4044</v>
      </c>
      <c r="C2325" s="69">
        <v>20975</v>
      </c>
      <c r="D2325" s="69">
        <v>24692</v>
      </c>
      <c r="E2325" s="69">
        <f>+D2325</f>
        <v>24692</v>
      </c>
      <c r="F2325" s="69">
        <v>6793</v>
      </c>
      <c r="G2325" s="69">
        <f t="shared" si="335"/>
        <v>8151.5999999999995</v>
      </c>
      <c r="H2325" s="69">
        <f>+[3]Salary_Bdgt!$J$415</f>
        <v>63845</v>
      </c>
      <c r="I2325" s="69">
        <f t="shared" si="336"/>
        <v>68953</v>
      </c>
      <c r="J2325" s="69">
        <f t="shared" si="336"/>
        <v>74469</v>
      </c>
      <c r="M2325" s="57"/>
    </row>
    <row r="2326" spans="1:13" x14ac:dyDescent="0.2">
      <c r="A2326" s="75">
        <v>1046</v>
      </c>
      <c r="B2326" s="70" t="s">
        <v>491</v>
      </c>
      <c r="C2326" s="69">
        <v>0</v>
      </c>
      <c r="D2326" s="69">
        <v>0</v>
      </c>
      <c r="E2326" s="69">
        <v>0</v>
      </c>
      <c r="F2326" s="69">
        <v>0</v>
      </c>
      <c r="G2326" s="69">
        <f t="shared" si="335"/>
        <v>0</v>
      </c>
      <c r="H2326" s="69">
        <f>+[3]Salary_Bdgt!$R$415</f>
        <v>0</v>
      </c>
      <c r="I2326" s="69">
        <f t="shared" si="336"/>
        <v>0</v>
      </c>
      <c r="J2326" s="69">
        <f t="shared" si="336"/>
        <v>0</v>
      </c>
      <c r="M2326" s="57"/>
    </row>
    <row r="2327" spans="1:13" x14ac:dyDescent="0.2">
      <c r="A2327" s="75">
        <v>1020</v>
      </c>
      <c r="B2327" s="70" t="s">
        <v>242</v>
      </c>
      <c r="C2327" s="69">
        <v>0</v>
      </c>
      <c r="D2327" s="69">
        <v>0</v>
      </c>
      <c r="E2327" s="69">
        <f>+D2327</f>
        <v>0</v>
      </c>
      <c r="F2327" s="69">
        <v>2970</v>
      </c>
      <c r="G2327" s="69">
        <f t="shared" si="335"/>
        <v>3564</v>
      </c>
      <c r="H2327" s="69">
        <f>ROUND(E2327*1.08,0)</f>
        <v>0</v>
      </c>
      <c r="I2327" s="69">
        <f t="shared" si="336"/>
        <v>0</v>
      </c>
      <c r="J2327" s="69">
        <f t="shared" si="336"/>
        <v>0</v>
      </c>
      <c r="M2327" s="57"/>
    </row>
    <row r="2328" spans="1:13" x14ac:dyDescent="0.2">
      <c r="A2328" s="75">
        <v>1182</v>
      </c>
      <c r="B2328" s="71" t="s">
        <v>1065</v>
      </c>
      <c r="C2328" s="56">
        <v>16006</v>
      </c>
      <c r="D2328" s="56">
        <v>22964</v>
      </c>
      <c r="E2328" s="56">
        <f>+D2328</f>
        <v>22964</v>
      </c>
      <c r="F2328" s="56">
        <v>0</v>
      </c>
      <c r="G2328" s="56">
        <f t="shared" si="335"/>
        <v>0</v>
      </c>
      <c r="H2328" s="56">
        <f>+[3]Salary_Bdgt!$K$415</f>
        <v>59376</v>
      </c>
      <c r="I2328" s="56">
        <f t="shared" si="336"/>
        <v>64126</v>
      </c>
      <c r="J2328" s="56">
        <f t="shared" si="336"/>
        <v>69256</v>
      </c>
      <c r="M2328" s="57"/>
    </row>
    <row r="2329" spans="1:13" s="9" customFormat="1" x14ac:dyDescent="0.2">
      <c r="A2329" s="37"/>
      <c r="B2329" s="58" t="s">
        <v>416</v>
      </c>
      <c r="C2329" s="72">
        <f t="shared" ref="C2329:J2329" si="337">SUM(C2315:C2328)</f>
        <v>2229197</v>
      </c>
      <c r="D2329" s="72">
        <f t="shared" si="337"/>
        <v>1566980</v>
      </c>
      <c r="E2329" s="72">
        <f t="shared" si="337"/>
        <v>1566980</v>
      </c>
      <c r="F2329" s="72">
        <f t="shared" si="337"/>
        <v>1712828</v>
      </c>
      <c r="G2329" s="72">
        <f t="shared" si="337"/>
        <v>2055393.5999999996</v>
      </c>
      <c r="H2329" s="72">
        <f t="shared" si="337"/>
        <v>4298805</v>
      </c>
      <c r="I2329" s="72">
        <f t="shared" si="337"/>
        <v>4642711</v>
      </c>
      <c r="J2329" s="72">
        <f t="shared" si="337"/>
        <v>5014127</v>
      </c>
      <c r="M2329" s="57"/>
    </row>
    <row r="2330" spans="1:13" x14ac:dyDescent="0.2">
      <c r="B2330" s="58"/>
      <c r="C2330" s="69"/>
      <c r="D2330" s="69"/>
      <c r="E2330" s="69"/>
      <c r="F2330" s="24"/>
      <c r="G2330" s="69"/>
      <c r="H2330" s="69"/>
      <c r="I2330" s="69"/>
      <c r="J2330" s="69"/>
      <c r="M2330" s="57"/>
    </row>
    <row r="2331" spans="1:13" x14ac:dyDescent="0.2">
      <c r="B2331" s="58" t="s">
        <v>430</v>
      </c>
      <c r="C2331" s="126"/>
      <c r="D2331" s="69"/>
      <c r="E2331" s="69"/>
      <c r="F2331" s="24"/>
      <c r="G2331" s="69"/>
      <c r="H2331" s="69"/>
      <c r="I2331" s="69"/>
      <c r="J2331" s="69"/>
      <c r="M2331" s="57"/>
    </row>
    <row r="2332" spans="1:13" x14ac:dyDescent="0.2">
      <c r="A2332" s="75">
        <v>2500</v>
      </c>
      <c r="B2332" s="71" t="s">
        <v>431</v>
      </c>
      <c r="C2332" s="56">
        <v>1247326</v>
      </c>
      <c r="D2332" s="56">
        <f>449763+421359-2100</f>
        <v>869022</v>
      </c>
      <c r="E2332" s="56">
        <f>869022</f>
        <v>869022</v>
      </c>
      <c r="F2332" s="56">
        <v>0</v>
      </c>
      <c r="G2332" s="56">
        <f>F2332/$F$11*$G$11</f>
        <v>0</v>
      </c>
      <c r="H2332" s="56">
        <f>ROUND(H2302*0.3,0)</f>
        <v>1037448</v>
      </c>
      <c r="I2332" s="56">
        <f>ROUND(I2302*0.3,0)+12469</f>
        <v>1205534</v>
      </c>
      <c r="J2332" s="56">
        <f>ROUND(J2302*0.3,0)+15104</f>
        <v>1387129</v>
      </c>
      <c r="M2332" s="57"/>
    </row>
    <row r="2333" spans="1:13" x14ac:dyDescent="0.2">
      <c r="B2333" s="58" t="s">
        <v>432</v>
      </c>
      <c r="C2333" s="72">
        <f t="shared" ref="C2333:J2333" si="338">SUM(C2332)</f>
        <v>1247326</v>
      </c>
      <c r="D2333" s="72">
        <f t="shared" si="338"/>
        <v>869022</v>
      </c>
      <c r="E2333" s="72">
        <f t="shared" si="338"/>
        <v>869022</v>
      </c>
      <c r="F2333" s="72">
        <f t="shared" si="338"/>
        <v>0</v>
      </c>
      <c r="G2333" s="72">
        <f t="shared" si="338"/>
        <v>0</v>
      </c>
      <c r="H2333" s="72">
        <f t="shared" si="338"/>
        <v>1037448</v>
      </c>
      <c r="I2333" s="72">
        <f t="shared" si="338"/>
        <v>1205534</v>
      </c>
      <c r="J2333" s="72">
        <f t="shared" si="338"/>
        <v>1387129</v>
      </c>
      <c r="M2333" s="57"/>
    </row>
    <row r="2334" spans="1:13" x14ac:dyDescent="0.2">
      <c r="B2334" s="58"/>
      <c r="C2334" s="69"/>
      <c r="D2334" s="69"/>
      <c r="E2334" s="69"/>
      <c r="G2334" s="69"/>
      <c r="H2334" s="69"/>
      <c r="I2334" s="69"/>
      <c r="J2334" s="69"/>
      <c r="M2334" s="57"/>
    </row>
    <row r="2335" spans="1:13" x14ac:dyDescent="0.2">
      <c r="B2335" s="58" t="s">
        <v>425</v>
      </c>
      <c r="C2335" s="69"/>
      <c r="D2335" s="69"/>
      <c r="E2335" s="69"/>
      <c r="G2335" s="69"/>
      <c r="H2335" s="69"/>
      <c r="I2335" s="69"/>
      <c r="J2335" s="69"/>
      <c r="M2335" s="57"/>
    </row>
    <row r="2336" spans="1:13" x14ac:dyDescent="0.2">
      <c r="A2336" s="111"/>
      <c r="B2336" s="71" t="s">
        <v>208</v>
      </c>
      <c r="C2336" s="56">
        <v>0</v>
      </c>
      <c r="D2336" s="56">
        <v>0</v>
      </c>
      <c r="E2336" s="56">
        <v>0</v>
      </c>
      <c r="F2336" s="56">
        <v>0</v>
      </c>
      <c r="G2336" s="56">
        <f>F2336/$F$11*$G$11</f>
        <v>0</v>
      </c>
      <c r="H2336" s="56">
        <v>0</v>
      </c>
      <c r="I2336" s="56">
        <v>0</v>
      </c>
      <c r="J2336" s="56">
        <v>0</v>
      </c>
      <c r="M2336" s="57"/>
    </row>
    <row r="2337" spans="1:13" x14ac:dyDescent="0.2">
      <c r="B2337" s="58" t="s">
        <v>426</v>
      </c>
      <c r="C2337" s="72">
        <f t="shared" ref="C2337:J2337" si="339">SUM(C2336:C2336)</f>
        <v>0</v>
      </c>
      <c r="D2337" s="72">
        <f t="shared" si="339"/>
        <v>0</v>
      </c>
      <c r="E2337" s="72">
        <f t="shared" si="339"/>
        <v>0</v>
      </c>
      <c r="F2337" s="72">
        <f t="shared" si="339"/>
        <v>0</v>
      </c>
      <c r="G2337" s="72">
        <f t="shared" si="339"/>
        <v>0</v>
      </c>
      <c r="H2337" s="72">
        <f t="shared" si="339"/>
        <v>0</v>
      </c>
      <c r="I2337" s="72">
        <f t="shared" si="339"/>
        <v>0</v>
      </c>
      <c r="J2337" s="72">
        <f t="shared" si="339"/>
        <v>0</v>
      </c>
      <c r="M2337" s="57"/>
    </row>
    <row r="2338" spans="1:13" x14ac:dyDescent="0.2">
      <c r="B2338" s="58"/>
      <c r="C2338" s="69"/>
      <c r="D2338" s="69"/>
      <c r="E2338" s="69"/>
      <c r="G2338" s="69"/>
      <c r="H2338" s="69"/>
      <c r="I2338" s="69"/>
      <c r="J2338" s="69"/>
      <c r="M2338" s="57"/>
    </row>
    <row r="2339" spans="1:13" x14ac:dyDescent="0.2">
      <c r="B2339" s="58" t="s">
        <v>4021</v>
      </c>
      <c r="C2339" s="69"/>
      <c r="D2339" s="69"/>
      <c r="E2339" s="69"/>
      <c r="G2339" s="69"/>
      <c r="H2339" s="69"/>
      <c r="I2339" s="69"/>
      <c r="J2339" s="69"/>
      <c r="M2339" s="57"/>
    </row>
    <row r="2340" spans="1:13" x14ac:dyDescent="0.2">
      <c r="A2340" s="75">
        <v>3206</v>
      </c>
      <c r="B2340" s="70" t="s">
        <v>39</v>
      </c>
      <c r="C2340" s="69">
        <v>345</v>
      </c>
      <c r="D2340" s="69">
        <v>5250</v>
      </c>
      <c r="E2340" s="69">
        <v>5250</v>
      </c>
      <c r="F2340" s="69">
        <v>1267</v>
      </c>
      <c r="G2340" s="69">
        <f>F2340/$F$11*$G$11</f>
        <v>1520.4</v>
      </c>
      <c r="H2340" s="69">
        <f>ROUND(E2340*1.05,0)</f>
        <v>5513</v>
      </c>
      <c r="I2340" s="69">
        <f t="shared" ref="I2340:J2344" si="340">ROUND(H2340*1.06,0)</f>
        <v>5844</v>
      </c>
      <c r="J2340" s="69">
        <f t="shared" si="340"/>
        <v>6195</v>
      </c>
      <c r="M2340" s="57"/>
    </row>
    <row r="2341" spans="1:13" x14ac:dyDescent="0.2">
      <c r="A2341" s="60">
        <v>3215</v>
      </c>
      <c r="B2341" s="70" t="s">
        <v>42</v>
      </c>
      <c r="C2341" s="69">
        <v>83626</v>
      </c>
      <c r="D2341" s="69">
        <v>105000</v>
      </c>
      <c r="E2341" s="69">
        <v>105000</v>
      </c>
      <c r="F2341" s="69">
        <v>75473</v>
      </c>
      <c r="G2341" s="69">
        <f>F2341/$F$11*$G$11</f>
        <v>90567.6</v>
      </c>
      <c r="H2341" s="69">
        <v>0</v>
      </c>
      <c r="I2341" s="69">
        <f t="shared" si="340"/>
        <v>0</v>
      </c>
      <c r="J2341" s="69">
        <f t="shared" si="340"/>
        <v>0</v>
      </c>
      <c r="M2341" s="57"/>
    </row>
    <row r="2342" spans="1:13" x14ac:dyDescent="0.2">
      <c r="A2342" s="60"/>
      <c r="B2342" s="70" t="s">
        <v>4106</v>
      </c>
      <c r="C2342" s="69">
        <v>0</v>
      </c>
      <c r="D2342" s="69">
        <v>105000</v>
      </c>
      <c r="E2342" s="69">
        <v>105000</v>
      </c>
      <c r="F2342" s="69">
        <v>0</v>
      </c>
      <c r="G2342" s="69">
        <f>F2342/$F$11*$G$11</f>
        <v>0</v>
      </c>
      <c r="H2342" s="69">
        <f>ROUND(E2342*1.05,0)</f>
        <v>110250</v>
      </c>
      <c r="I2342" s="69">
        <f t="shared" si="340"/>
        <v>116865</v>
      </c>
      <c r="J2342" s="69">
        <f t="shared" si="340"/>
        <v>123877</v>
      </c>
      <c r="M2342" s="57"/>
    </row>
    <row r="2343" spans="1:13" x14ac:dyDescent="0.2">
      <c r="A2343" s="75">
        <v>3340</v>
      </c>
      <c r="B2343" s="70" t="s">
        <v>4107</v>
      </c>
      <c r="C2343" s="69">
        <v>0</v>
      </c>
      <c r="D2343" s="69">
        <v>50000</v>
      </c>
      <c r="E2343" s="69">
        <v>50000</v>
      </c>
      <c r="F2343" s="69">
        <v>0</v>
      </c>
      <c r="G2343" s="69">
        <f>F2343/$F$11*$G$11</f>
        <v>0</v>
      </c>
      <c r="H2343" s="69">
        <f>ROUND(E2343*1.05,0)</f>
        <v>52500</v>
      </c>
      <c r="I2343" s="69">
        <f t="shared" si="340"/>
        <v>55650</v>
      </c>
      <c r="J2343" s="69">
        <f t="shared" si="340"/>
        <v>58989</v>
      </c>
      <c r="M2343" s="57"/>
    </row>
    <row r="2344" spans="1:13" x14ac:dyDescent="0.2">
      <c r="A2344" s="75">
        <v>3378</v>
      </c>
      <c r="B2344" s="71" t="s">
        <v>4108</v>
      </c>
      <c r="C2344" s="56">
        <v>0</v>
      </c>
      <c r="D2344" s="56">
        <v>63000</v>
      </c>
      <c r="E2344" s="56">
        <v>63000</v>
      </c>
      <c r="F2344" s="56">
        <v>0</v>
      </c>
      <c r="G2344" s="56">
        <f>F2344/$F$11*$G$11</f>
        <v>0</v>
      </c>
      <c r="H2344" s="56">
        <f>ROUND(E2344*1.05,0)</f>
        <v>66150</v>
      </c>
      <c r="I2344" s="56">
        <f t="shared" si="340"/>
        <v>70119</v>
      </c>
      <c r="J2344" s="56">
        <f t="shared" si="340"/>
        <v>74326</v>
      </c>
      <c r="M2344" s="57"/>
    </row>
    <row r="2345" spans="1:13" x14ac:dyDescent="0.2">
      <c r="B2345" s="58" t="s">
        <v>417</v>
      </c>
      <c r="C2345" s="72">
        <f>SUM(C2340:C2344)</f>
        <v>83971</v>
      </c>
      <c r="D2345" s="72">
        <f t="shared" ref="D2345:J2345" si="341">SUM(D2340:D2344)</f>
        <v>328250</v>
      </c>
      <c r="E2345" s="72">
        <f t="shared" si="341"/>
        <v>328250</v>
      </c>
      <c r="F2345" s="72">
        <f t="shared" si="341"/>
        <v>76740</v>
      </c>
      <c r="G2345" s="72">
        <f t="shared" si="341"/>
        <v>92088</v>
      </c>
      <c r="H2345" s="72">
        <f t="shared" si="341"/>
        <v>234413</v>
      </c>
      <c r="I2345" s="72">
        <f t="shared" si="341"/>
        <v>248478</v>
      </c>
      <c r="J2345" s="72">
        <f t="shared" si="341"/>
        <v>263387</v>
      </c>
      <c r="M2345" s="57"/>
    </row>
    <row r="2346" spans="1:13" x14ac:dyDescent="0.2">
      <c r="B2346" s="58"/>
      <c r="C2346" s="69"/>
      <c r="D2346" s="69"/>
      <c r="E2346" s="69"/>
      <c r="G2346" s="69"/>
      <c r="H2346" s="69"/>
      <c r="I2346" s="69"/>
      <c r="J2346" s="69"/>
      <c r="M2346" s="57"/>
    </row>
    <row r="2347" spans="1:13" x14ac:dyDescent="0.2">
      <c r="B2347" s="58" t="s">
        <v>435</v>
      </c>
      <c r="C2347" s="69"/>
      <c r="D2347" s="69"/>
      <c r="E2347" s="69"/>
      <c r="G2347" s="69"/>
      <c r="H2347" s="69"/>
      <c r="I2347" s="69"/>
      <c r="J2347" s="69"/>
      <c r="M2347" s="57"/>
    </row>
    <row r="2348" spans="1:13" x14ac:dyDescent="0.2">
      <c r="A2348" s="75">
        <v>2221</v>
      </c>
      <c r="B2348" s="70" t="s">
        <v>23</v>
      </c>
      <c r="C2348" s="69">
        <v>0</v>
      </c>
      <c r="D2348" s="69">
        <v>3733</v>
      </c>
      <c r="E2348" s="69">
        <v>0</v>
      </c>
      <c r="F2348" s="69">
        <v>330068</v>
      </c>
      <c r="G2348" s="69">
        <f t="shared" ref="G2348:G2360" si="342">F2348/$F$11*$G$11</f>
        <v>396081.60000000003</v>
      </c>
      <c r="H2348" s="69">
        <f>ROUND(E2348*1.05,0)</f>
        <v>0</v>
      </c>
      <c r="I2348" s="69">
        <f t="shared" ref="I2348:J2359" si="343">ROUND(H2348*1.06,0)</f>
        <v>0</v>
      </c>
      <c r="J2348" s="69">
        <f t="shared" si="343"/>
        <v>0</v>
      </c>
      <c r="M2348" s="57"/>
    </row>
    <row r="2349" spans="1:13" x14ac:dyDescent="0.2">
      <c r="A2349" s="75">
        <v>2224</v>
      </c>
      <c r="B2349" s="70" t="s">
        <v>2954</v>
      </c>
      <c r="C2349" s="69">
        <v>3560</v>
      </c>
      <c r="D2349" s="69">
        <v>5250</v>
      </c>
      <c r="E2349" s="69">
        <v>3733</v>
      </c>
      <c r="F2349" s="69">
        <v>0</v>
      </c>
      <c r="G2349" s="69">
        <f t="shared" si="342"/>
        <v>0</v>
      </c>
      <c r="H2349" s="69">
        <f>ROUND(E2349*1.05,0)</f>
        <v>3920</v>
      </c>
      <c r="I2349" s="69">
        <f t="shared" si="343"/>
        <v>4155</v>
      </c>
      <c r="J2349" s="69">
        <f t="shared" si="343"/>
        <v>4404</v>
      </c>
      <c r="M2349" s="57"/>
    </row>
    <row r="2350" spans="1:13" x14ac:dyDescent="0.2">
      <c r="A2350" s="75">
        <v>2227</v>
      </c>
      <c r="B2350" s="70" t="s">
        <v>448</v>
      </c>
      <c r="C2350" s="69">
        <v>4303</v>
      </c>
      <c r="D2350" s="69">
        <v>10500</v>
      </c>
      <c r="E2350" s="69">
        <v>5250</v>
      </c>
      <c r="F2350" s="69">
        <v>28746</v>
      </c>
      <c r="G2350" s="69">
        <f t="shared" si="342"/>
        <v>34495.199999999997</v>
      </c>
      <c r="H2350" s="69">
        <f>ROUND(E2350*1.05,0)</f>
        <v>5513</v>
      </c>
      <c r="I2350" s="69">
        <f t="shared" si="343"/>
        <v>5844</v>
      </c>
      <c r="J2350" s="69">
        <f t="shared" si="343"/>
        <v>6195</v>
      </c>
      <c r="M2350" s="57"/>
    </row>
    <row r="2351" spans="1:13" x14ac:dyDescent="0.2">
      <c r="A2351" s="60">
        <v>2233</v>
      </c>
      <c r="B2351" s="70" t="s">
        <v>497</v>
      </c>
      <c r="C2351" s="69">
        <v>0</v>
      </c>
      <c r="D2351" s="69">
        <v>5250</v>
      </c>
      <c r="E2351" s="69">
        <v>10500</v>
      </c>
      <c r="F2351" s="69">
        <v>0</v>
      </c>
      <c r="G2351" s="69">
        <f t="shared" si="342"/>
        <v>0</v>
      </c>
      <c r="H2351" s="69">
        <v>0</v>
      </c>
      <c r="I2351" s="69">
        <f t="shared" si="343"/>
        <v>0</v>
      </c>
      <c r="J2351" s="69">
        <f t="shared" si="343"/>
        <v>0</v>
      </c>
      <c r="M2351" s="57"/>
    </row>
    <row r="2352" spans="1:13" x14ac:dyDescent="0.2">
      <c r="A2352" s="75">
        <v>2238</v>
      </c>
      <c r="B2352" s="70" t="s">
        <v>479</v>
      </c>
      <c r="C2352" s="69">
        <v>0</v>
      </c>
      <c r="D2352" s="69">
        <v>2100</v>
      </c>
      <c r="E2352" s="69">
        <v>5250</v>
      </c>
      <c r="F2352" s="69">
        <v>160</v>
      </c>
      <c r="G2352" s="69">
        <f t="shared" si="342"/>
        <v>192</v>
      </c>
      <c r="H2352" s="69">
        <f t="shared" ref="H2352:H2358" si="344">ROUND(E2352*1.05,0)</f>
        <v>5513</v>
      </c>
      <c r="I2352" s="69">
        <f t="shared" si="343"/>
        <v>5844</v>
      </c>
      <c r="J2352" s="69">
        <f t="shared" si="343"/>
        <v>6195</v>
      </c>
      <c r="M2352" s="57"/>
    </row>
    <row r="2353" spans="1:13" x14ac:dyDescent="0.2">
      <c r="A2353" s="75">
        <v>2244</v>
      </c>
      <c r="B2353" s="70" t="s">
        <v>4109</v>
      </c>
      <c r="C2353" s="69">
        <v>48</v>
      </c>
      <c r="D2353" s="69">
        <v>28250</v>
      </c>
      <c r="E2353" s="69">
        <v>2100</v>
      </c>
      <c r="F2353" s="69">
        <v>1445</v>
      </c>
      <c r="G2353" s="69">
        <f t="shared" si="342"/>
        <v>1734</v>
      </c>
      <c r="H2353" s="69">
        <f t="shared" si="344"/>
        <v>2205</v>
      </c>
      <c r="I2353" s="69">
        <f t="shared" si="343"/>
        <v>2337</v>
      </c>
      <c r="J2353" s="69">
        <f t="shared" si="343"/>
        <v>2477</v>
      </c>
      <c r="M2353" s="57"/>
    </row>
    <row r="2354" spans="1:13" x14ac:dyDescent="0.2">
      <c r="A2354" s="60">
        <v>2246</v>
      </c>
      <c r="B2354" s="70" t="s">
        <v>2422</v>
      </c>
      <c r="C2354" s="69">
        <v>0</v>
      </c>
      <c r="D2354" s="69">
        <v>53000</v>
      </c>
      <c r="E2354" s="69">
        <v>28250</v>
      </c>
      <c r="F2354" s="69">
        <v>0</v>
      </c>
      <c r="G2354" s="69">
        <f t="shared" si="342"/>
        <v>0</v>
      </c>
      <c r="H2354" s="69">
        <f t="shared" si="344"/>
        <v>29663</v>
      </c>
      <c r="I2354" s="69">
        <f t="shared" si="343"/>
        <v>31443</v>
      </c>
      <c r="J2354" s="69">
        <f t="shared" si="343"/>
        <v>33330</v>
      </c>
      <c r="M2354" s="57"/>
    </row>
    <row r="2355" spans="1:13" x14ac:dyDescent="0.2">
      <c r="A2355" s="75">
        <v>2249</v>
      </c>
      <c r="B2355" s="70" t="s">
        <v>2955</v>
      </c>
      <c r="C2355" s="69">
        <v>23012</v>
      </c>
      <c r="D2355" s="69">
        <v>24150</v>
      </c>
      <c r="E2355" s="69">
        <v>53000</v>
      </c>
      <c r="F2355" s="69">
        <v>56015</v>
      </c>
      <c r="G2355" s="69">
        <f t="shared" si="342"/>
        <v>67218</v>
      </c>
      <c r="H2355" s="69">
        <f t="shared" si="344"/>
        <v>55650</v>
      </c>
      <c r="I2355" s="69">
        <f t="shared" si="343"/>
        <v>58989</v>
      </c>
      <c r="J2355" s="69">
        <f t="shared" si="343"/>
        <v>62528</v>
      </c>
      <c r="M2355" s="57"/>
    </row>
    <row r="2356" spans="1:13" x14ac:dyDescent="0.2">
      <c r="A2356" s="75">
        <v>2252</v>
      </c>
      <c r="B2356" s="70" t="s">
        <v>4052</v>
      </c>
      <c r="C2356" s="69">
        <v>0</v>
      </c>
      <c r="D2356" s="69">
        <v>0</v>
      </c>
      <c r="E2356" s="69">
        <v>24150</v>
      </c>
      <c r="F2356" s="69">
        <v>0</v>
      </c>
      <c r="G2356" s="69">
        <f t="shared" si="342"/>
        <v>0</v>
      </c>
      <c r="H2356" s="69">
        <f t="shared" si="344"/>
        <v>25358</v>
      </c>
      <c r="I2356" s="69">
        <f t="shared" si="343"/>
        <v>26879</v>
      </c>
      <c r="J2356" s="69">
        <f t="shared" si="343"/>
        <v>28492</v>
      </c>
      <c r="M2356" s="57"/>
    </row>
    <row r="2357" spans="1:13" x14ac:dyDescent="0.2">
      <c r="A2357" s="60">
        <v>2256</v>
      </c>
      <c r="B2357" s="70" t="s">
        <v>4054</v>
      </c>
      <c r="C2357" s="69">
        <v>246120</v>
      </c>
      <c r="D2357" s="69">
        <v>515836</v>
      </c>
      <c r="E2357" s="69">
        <v>515836</v>
      </c>
      <c r="F2357" s="69">
        <v>58668</v>
      </c>
      <c r="G2357" s="69">
        <f t="shared" si="342"/>
        <v>70401.600000000006</v>
      </c>
      <c r="H2357" s="69">
        <f t="shared" si="344"/>
        <v>541628</v>
      </c>
      <c r="I2357" s="69">
        <f t="shared" si="343"/>
        <v>574126</v>
      </c>
      <c r="J2357" s="69">
        <f t="shared" si="343"/>
        <v>608574</v>
      </c>
      <c r="M2357" s="57"/>
    </row>
    <row r="2358" spans="1:13" x14ac:dyDescent="0.2">
      <c r="A2358" s="60">
        <v>2305</v>
      </c>
      <c r="B2358" s="70" t="s">
        <v>1074</v>
      </c>
      <c r="C2358" s="69">
        <v>2394</v>
      </c>
      <c r="D2358" s="69">
        <v>0</v>
      </c>
      <c r="E2358" s="69">
        <v>0</v>
      </c>
      <c r="F2358" s="69">
        <v>0</v>
      </c>
      <c r="G2358" s="69">
        <f t="shared" si="342"/>
        <v>0</v>
      </c>
      <c r="H2358" s="69">
        <f t="shared" si="344"/>
        <v>0</v>
      </c>
      <c r="I2358" s="69">
        <f t="shared" si="343"/>
        <v>0</v>
      </c>
      <c r="J2358" s="69">
        <f t="shared" si="343"/>
        <v>0</v>
      </c>
      <c r="M2358" s="57"/>
    </row>
    <row r="2359" spans="1:13" x14ac:dyDescent="0.2">
      <c r="A2359" s="75">
        <v>2219</v>
      </c>
      <c r="B2359" s="70" t="s">
        <v>1075</v>
      </c>
      <c r="C2359" s="69">
        <v>1160283</v>
      </c>
      <c r="D2359" s="69">
        <v>1190676</v>
      </c>
      <c r="E2359" s="69">
        <v>1190676</v>
      </c>
      <c r="F2359" s="69">
        <v>0</v>
      </c>
      <c r="G2359" s="69">
        <f t="shared" si="342"/>
        <v>0</v>
      </c>
      <c r="H2359" s="69">
        <f>ROUND(1441221*1.05,0)</f>
        <v>1513282</v>
      </c>
      <c r="I2359" s="69">
        <f t="shared" si="343"/>
        <v>1604079</v>
      </c>
      <c r="J2359" s="69">
        <f t="shared" si="343"/>
        <v>1700324</v>
      </c>
      <c r="M2359" s="57"/>
    </row>
    <row r="2360" spans="1:13" x14ac:dyDescent="0.2">
      <c r="A2360" s="75"/>
      <c r="B2360" s="71" t="s">
        <v>241</v>
      </c>
      <c r="C2360" s="56">
        <v>0</v>
      </c>
      <c r="D2360" s="56">
        <v>31500</v>
      </c>
      <c r="E2360" s="56">
        <v>31500</v>
      </c>
      <c r="F2360" s="56">
        <v>0</v>
      </c>
      <c r="G2360" s="56">
        <f t="shared" si="342"/>
        <v>0</v>
      </c>
      <c r="H2360" s="56">
        <f>ROUND(E2360*1.05,0)</f>
        <v>33075</v>
      </c>
      <c r="I2360" s="56">
        <f>ROUND(H2360*1.065,0)</f>
        <v>35225</v>
      </c>
      <c r="J2360" s="56">
        <f>ROUND(I2360*1.06,0)</f>
        <v>37339</v>
      </c>
      <c r="M2360" s="57"/>
    </row>
    <row r="2361" spans="1:13" x14ac:dyDescent="0.2">
      <c r="B2361" s="58" t="s">
        <v>436</v>
      </c>
      <c r="C2361" s="116">
        <f t="shared" ref="C2361:J2361" si="345">SUM(C2348:C2360)</f>
        <v>1439720</v>
      </c>
      <c r="D2361" s="116">
        <f t="shared" si="345"/>
        <v>1870245</v>
      </c>
      <c r="E2361" s="116">
        <f t="shared" si="345"/>
        <v>1870245</v>
      </c>
      <c r="F2361" s="116">
        <f t="shared" si="345"/>
        <v>475102</v>
      </c>
      <c r="G2361" s="116">
        <f t="shared" si="345"/>
        <v>570122.4</v>
      </c>
      <c r="H2361" s="116">
        <f t="shared" si="345"/>
        <v>2215807</v>
      </c>
      <c r="I2361" s="116">
        <f t="shared" si="345"/>
        <v>2348921</v>
      </c>
      <c r="J2361" s="116">
        <f t="shared" si="345"/>
        <v>2489858</v>
      </c>
      <c r="M2361" s="57"/>
    </row>
    <row r="2362" spans="1:13" x14ac:dyDescent="0.2">
      <c r="B2362" s="61"/>
      <c r="C2362" s="89"/>
      <c r="D2362" s="89"/>
      <c r="E2362" s="89"/>
      <c r="F2362" s="89"/>
      <c r="G2362" s="89"/>
      <c r="H2362" s="89"/>
      <c r="I2362" s="89"/>
      <c r="J2362" s="89"/>
      <c r="M2362" s="57"/>
    </row>
    <row r="2363" spans="1:13" x14ac:dyDescent="0.2">
      <c r="B2363" s="58" t="s">
        <v>4055</v>
      </c>
      <c r="C2363" s="73">
        <f t="shared" ref="C2363:J2363" si="346">+C2329+C2333+C2337+C2345+C2361</f>
        <v>5000214</v>
      </c>
      <c r="D2363" s="73">
        <f t="shared" si="346"/>
        <v>4634497</v>
      </c>
      <c r="E2363" s="73">
        <f t="shared" si="346"/>
        <v>4634497</v>
      </c>
      <c r="F2363" s="73">
        <f t="shared" si="346"/>
        <v>2264670</v>
      </c>
      <c r="G2363" s="73">
        <f t="shared" si="346"/>
        <v>2717603.9999999995</v>
      </c>
      <c r="H2363" s="73">
        <f t="shared" si="346"/>
        <v>7786473</v>
      </c>
      <c r="I2363" s="73">
        <f t="shared" si="346"/>
        <v>8445644</v>
      </c>
      <c r="J2363" s="73">
        <f t="shared" si="346"/>
        <v>9154501</v>
      </c>
      <c r="M2363" s="57"/>
    </row>
    <row r="2364" spans="1:13" x14ac:dyDescent="0.2">
      <c r="B2364" s="58"/>
      <c r="C2364" s="73"/>
      <c r="D2364" s="73"/>
      <c r="E2364" s="73"/>
      <c r="G2364" s="69"/>
      <c r="H2364" s="69"/>
      <c r="I2364" s="73"/>
      <c r="J2364" s="73"/>
      <c r="M2364" s="57"/>
    </row>
    <row r="2365" spans="1:13" x14ac:dyDescent="0.2">
      <c r="B2365" s="58"/>
      <c r="C2365" s="72"/>
      <c r="D2365" s="72"/>
      <c r="E2365" s="72"/>
      <c r="G2365" s="69"/>
      <c r="H2365" s="69"/>
      <c r="I2365" s="72"/>
      <c r="J2365" s="72"/>
      <c r="M2365" s="57"/>
    </row>
    <row r="2366" spans="1:13" x14ac:dyDescent="0.2">
      <c r="G2366" s="69"/>
      <c r="H2366" s="69"/>
      <c r="M2366" s="57"/>
    </row>
    <row r="2367" spans="1:13" x14ac:dyDescent="0.2">
      <c r="A2367" s="6"/>
      <c r="B2367" s="6"/>
      <c r="C2367" s="6"/>
      <c r="D2367" s="6"/>
      <c r="E2367" s="6"/>
      <c r="G2367" s="69"/>
      <c r="H2367" s="69"/>
      <c r="I2367" s="6"/>
      <c r="J2367" s="6"/>
      <c r="M2367" s="57"/>
    </row>
    <row r="2368" spans="1:13" x14ac:dyDescent="0.2">
      <c r="A2368" s="6"/>
      <c r="B2368" s="6"/>
      <c r="C2368" s="6"/>
      <c r="D2368" s="6"/>
      <c r="E2368" s="6"/>
      <c r="G2368" s="69"/>
      <c r="H2368" s="69"/>
      <c r="I2368" s="6"/>
      <c r="J2368" s="6"/>
      <c r="M2368" s="57"/>
    </row>
    <row r="2369" spans="1:13" s="9" customFormat="1" x14ac:dyDescent="0.2">
      <c r="A2369" s="6"/>
      <c r="B2369" s="6"/>
      <c r="C2369" s="6"/>
      <c r="D2369" s="6"/>
      <c r="E2369" s="6"/>
      <c r="F2369" s="2"/>
      <c r="G2369" s="69"/>
      <c r="H2369" s="69"/>
      <c r="I2369" s="6"/>
      <c r="J2369" s="6"/>
      <c r="M2369" s="57"/>
    </row>
    <row r="2370" spans="1:13" x14ac:dyDescent="0.2">
      <c r="A2370" s="6"/>
      <c r="B2370" s="6"/>
      <c r="C2370" s="6"/>
      <c r="D2370" s="6"/>
      <c r="E2370" s="6"/>
      <c r="G2370" s="69"/>
      <c r="H2370" s="69"/>
      <c r="I2370" s="6"/>
      <c r="J2370" s="6"/>
      <c r="M2370" s="57"/>
    </row>
    <row r="2371" spans="1:13" x14ac:dyDescent="0.2">
      <c r="A2371" s="6"/>
      <c r="B2371" s="6"/>
      <c r="C2371" s="6"/>
      <c r="D2371" s="6"/>
      <c r="E2371" s="6"/>
      <c r="G2371" s="69"/>
      <c r="H2371" s="69"/>
      <c r="I2371" s="6"/>
      <c r="J2371" s="6"/>
      <c r="M2371" s="57"/>
    </row>
    <row r="2372" spans="1:13" ht="15" x14ac:dyDescent="0.25">
      <c r="A2372" s="91">
        <v>1810</v>
      </c>
      <c r="B2372" s="48" t="s">
        <v>635</v>
      </c>
      <c r="C2372" s="72"/>
      <c r="D2372" s="72"/>
      <c r="E2372" s="72"/>
      <c r="G2372" s="69"/>
      <c r="H2372" s="69"/>
      <c r="I2372" s="72"/>
      <c r="J2372" s="72"/>
      <c r="M2372" s="57"/>
    </row>
    <row r="2373" spans="1:13" x14ac:dyDescent="0.2">
      <c r="B2373" s="58"/>
      <c r="C2373" s="72"/>
      <c r="D2373" s="72"/>
      <c r="E2373" s="72"/>
      <c r="G2373" s="69"/>
      <c r="H2373" s="69"/>
      <c r="I2373" s="72"/>
      <c r="J2373" s="72"/>
      <c r="M2373" s="57"/>
    </row>
    <row r="2374" spans="1:13" x14ac:dyDescent="0.2">
      <c r="B2374" s="58" t="s">
        <v>4027</v>
      </c>
      <c r="C2374" s="96"/>
      <c r="D2374" s="96"/>
      <c r="E2374" s="96"/>
      <c r="G2374" s="69"/>
      <c r="H2374" s="69"/>
      <c r="I2374" s="96"/>
      <c r="J2374" s="96"/>
      <c r="M2374" s="57"/>
    </row>
    <row r="2375" spans="1:13" x14ac:dyDescent="0.2">
      <c r="A2375" s="111"/>
      <c r="B2375" s="71" t="s">
        <v>208</v>
      </c>
      <c r="C2375" s="56">
        <v>0</v>
      </c>
      <c r="D2375" s="56">
        <v>0</v>
      </c>
      <c r="E2375" s="56">
        <v>0</v>
      </c>
      <c r="F2375" s="56">
        <v>0</v>
      </c>
      <c r="G2375" s="56">
        <f>F2375/$F$11*$G$11</f>
        <v>0</v>
      </c>
      <c r="H2375" s="56">
        <v>0</v>
      </c>
      <c r="I2375" s="56">
        <v>0</v>
      </c>
      <c r="J2375" s="56">
        <v>0</v>
      </c>
      <c r="M2375" s="57"/>
    </row>
    <row r="2376" spans="1:13" x14ac:dyDescent="0.2">
      <c r="B2376" s="58" t="s">
        <v>433</v>
      </c>
      <c r="C2376" s="96">
        <f t="shared" ref="C2376:J2376" si="347">SUM(C2375)</f>
        <v>0</v>
      </c>
      <c r="D2376" s="96">
        <f t="shared" si="347"/>
        <v>0</v>
      </c>
      <c r="E2376" s="96">
        <f t="shared" si="347"/>
        <v>0</v>
      </c>
      <c r="F2376" s="96">
        <f t="shared" si="347"/>
        <v>0</v>
      </c>
      <c r="G2376" s="96">
        <f t="shared" si="347"/>
        <v>0</v>
      </c>
      <c r="H2376" s="96">
        <f t="shared" si="347"/>
        <v>0</v>
      </c>
      <c r="I2376" s="96">
        <f t="shared" si="347"/>
        <v>0</v>
      </c>
      <c r="J2376" s="96">
        <f t="shared" si="347"/>
        <v>0</v>
      </c>
      <c r="M2376" s="57"/>
    </row>
    <row r="2377" spans="1:13" x14ac:dyDescent="0.2">
      <c r="B2377" s="58"/>
      <c r="C2377" s="72"/>
      <c r="D2377" s="72"/>
      <c r="E2377" s="72"/>
      <c r="G2377" s="69"/>
      <c r="H2377" s="69"/>
      <c r="I2377" s="72"/>
      <c r="J2377" s="72"/>
      <c r="M2377" s="57"/>
    </row>
    <row r="2378" spans="1:13" x14ac:dyDescent="0.2">
      <c r="A2378" s="75"/>
      <c r="B2378" s="58" t="s">
        <v>418</v>
      </c>
      <c r="C2378" s="69"/>
      <c r="D2378" s="69"/>
      <c r="E2378" s="69"/>
      <c r="G2378" s="69"/>
      <c r="H2378" s="69"/>
      <c r="I2378" s="69"/>
      <c r="J2378" s="69"/>
      <c r="M2378" s="57"/>
    </row>
    <row r="2379" spans="1:13" x14ac:dyDescent="0.2">
      <c r="A2379" s="75">
        <v>4204</v>
      </c>
      <c r="B2379" s="70" t="s">
        <v>4058</v>
      </c>
      <c r="C2379" s="69">
        <v>63174</v>
      </c>
      <c r="D2379" s="69">
        <v>58732</v>
      </c>
      <c r="E2379" s="69">
        <v>58732</v>
      </c>
      <c r="F2379" s="69">
        <v>0</v>
      </c>
      <c r="G2379" s="69">
        <f>F2379/$F$11*$G$11</f>
        <v>0</v>
      </c>
      <c r="H2379" s="69">
        <f>ROUND(E2379*1.08,0)</f>
        <v>63431</v>
      </c>
      <c r="I2379" s="69">
        <f t="shared" ref="I2379:J2381" si="348">ROUND(H2379*1.08,0)</f>
        <v>68505</v>
      </c>
      <c r="J2379" s="69">
        <f t="shared" si="348"/>
        <v>73985</v>
      </c>
      <c r="M2379" s="57"/>
    </row>
    <row r="2380" spans="1:13" x14ac:dyDescent="0.2">
      <c r="A2380" s="75">
        <v>4209</v>
      </c>
      <c r="B2380" s="70" t="s">
        <v>237</v>
      </c>
      <c r="C2380" s="69">
        <v>30145</v>
      </c>
      <c r="D2380" s="69">
        <v>0</v>
      </c>
      <c r="E2380" s="69">
        <v>0</v>
      </c>
      <c r="F2380" s="69">
        <v>0</v>
      </c>
      <c r="G2380" s="69">
        <f>F2380/$F$11*$G$11</f>
        <v>0</v>
      </c>
      <c r="H2380" s="69">
        <f>ROUND(E2380*1.08,0)</f>
        <v>0</v>
      </c>
      <c r="I2380" s="69">
        <f t="shared" si="348"/>
        <v>0</v>
      </c>
      <c r="J2380" s="69">
        <f t="shared" si="348"/>
        <v>0</v>
      </c>
      <c r="M2380" s="57"/>
    </row>
    <row r="2381" spans="1:13" x14ac:dyDescent="0.2">
      <c r="A2381" s="75">
        <v>4207</v>
      </c>
      <c r="B2381" s="71" t="s">
        <v>222</v>
      </c>
      <c r="C2381" s="56">
        <v>85080</v>
      </c>
      <c r="D2381" s="56">
        <v>67814</v>
      </c>
      <c r="E2381" s="56">
        <v>67814</v>
      </c>
      <c r="F2381" s="56">
        <v>0</v>
      </c>
      <c r="G2381" s="56">
        <f>F2381/$F$11*$G$11</f>
        <v>0</v>
      </c>
      <c r="H2381" s="56">
        <f>ROUND(E2381*1.08,0)</f>
        <v>73239</v>
      </c>
      <c r="I2381" s="56">
        <f t="shared" si="348"/>
        <v>79098</v>
      </c>
      <c r="J2381" s="56">
        <f t="shared" si="348"/>
        <v>85426</v>
      </c>
      <c r="M2381" s="57"/>
    </row>
    <row r="2382" spans="1:13" x14ac:dyDescent="0.2">
      <c r="A2382" s="75"/>
      <c r="B2382" s="58" t="s">
        <v>419</v>
      </c>
      <c r="C2382" s="59">
        <f t="shared" ref="C2382:J2382" si="349">SUM(C2379:C2381)</f>
        <v>178399</v>
      </c>
      <c r="D2382" s="59">
        <f t="shared" si="349"/>
        <v>126546</v>
      </c>
      <c r="E2382" s="59">
        <f t="shared" si="349"/>
        <v>126546</v>
      </c>
      <c r="F2382" s="59">
        <f t="shared" si="349"/>
        <v>0</v>
      </c>
      <c r="G2382" s="59">
        <f t="shared" si="349"/>
        <v>0</v>
      </c>
      <c r="H2382" s="59">
        <f t="shared" si="349"/>
        <v>136670</v>
      </c>
      <c r="I2382" s="59">
        <f t="shared" si="349"/>
        <v>147603</v>
      </c>
      <c r="J2382" s="59">
        <f t="shared" si="349"/>
        <v>159411</v>
      </c>
      <c r="M2382" s="57"/>
    </row>
    <row r="2383" spans="1:13" x14ac:dyDescent="0.2">
      <c r="B2383" s="61"/>
      <c r="C2383" s="97"/>
      <c r="D2383" s="97"/>
      <c r="E2383" s="97"/>
      <c r="F2383" s="97"/>
      <c r="G2383" s="97"/>
      <c r="H2383" s="97"/>
      <c r="I2383" s="97"/>
      <c r="J2383" s="97"/>
      <c r="M2383" s="57"/>
    </row>
    <row r="2384" spans="1:13" x14ac:dyDescent="0.2">
      <c r="B2384" s="58" t="s">
        <v>4029</v>
      </c>
      <c r="C2384" s="73">
        <f t="shared" ref="C2384:J2384" si="350">C2363+C2376+C2382</f>
        <v>5178613</v>
      </c>
      <c r="D2384" s="73">
        <f t="shared" si="350"/>
        <v>4761043</v>
      </c>
      <c r="E2384" s="73">
        <f t="shared" si="350"/>
        <v>4761043</v>
      </c>
      <c r="F2384" s="73">
        <f t="shared" si="350"/>
        <v>2264670</v>
      </c>
      <c r="G2384" s="73">
        <f t="shared" si="350"/>
        <v>2717603.9999999995</v>
      </c>
      <c r="H2384" s="73">
        <f t="shared" si="350"/>
        <v>7923143</v>
      </c>
      <c r="I2384" s="73">
        <f t="shared" si="350"/>
        <v>8593247</v>
      </c>
      <c r="J2384" s="73">
        <f t="shared" si="350"/>
        <v>9313912</v>
      </c>
      <c r="M2384" s="57"/>
    </row>
    <row r="2385" spans="2:13" x14ac:dyDescent="0.2">
      <c r="B2385" s="58"/>
      <c r="C2385" s="96"/>
      <c r="D2385" s="96"/>
      <c r="E2385" s="96"/>
      <c r="G2385" s="69"/>
      <c r="H2385" s="69"/>
      <c r="I2385" s="96"/>
      <c r="J2385" s="96"/>
      <c r="M2385" s="57"/>
    </row>
    <row r="2386" spans="2:13" ht="13.5" thickBot="1" x14ac:dyDescent="0.25">
      <c r="B2386" s="65" t="s">
        <v>4033</v>
      </c>
      <c r="C2386" s="76">
        <f t="shared" ref="C2386:J2386" si="351">C2384</f>
        <v>5178613</v>
      </c>
      <c r="D2386" s="76">
        <f t="shared" si="351"/>
        <v>4761043</v>
      </c>
      <c r="E2386" s="76">
        <f t="shared" si="351"/>
        <v>4761043</v>
      </c>
      <c r="F2386" s="76">
        <f t="shared" si="351"/>
        <v>2264670</v>
      </c>
      <c r="G2386" s="76">
        <f t="shared" si="351"/>
        <v>2717603.9999999995</v>
      </c>
      <c r="H2386" s="76">
        <f t="shared" si="351"/>
        <v>7923143</v>
      </c>
      <c r="I2386" s="76">
        <f t="shared" si="351"/>
        <v>8593247</v>
      </c>
      <c r="J2386" s="76">
        <f t="shared" si="351"/>
        <v>9313912</v>
      </c>
      <c r="M2386" s="57"/>
    </row>
    <row r="2387" spans="2:13" ht="13.5" thickTop="1" x14ac:dyDescent="0.2">
      <c r="B2387" s="58"/>
      <c r="C2387" s="72"/>
      <c r="D2387" s="72"/>
      <c r="E2387" s="72"/>
      <c r="F2387" s="72"/>
      <c r="G2387" s="72"/>
      <c r="H2387" s="72"/>
      <c r="I2387" s="72"/>
      <c r="J2387" s="72"/>
      <c r="M2387" s="57"/>
    </row>
    <row r="2388" spans="2:13" ht="13.5" thickBot="1" x14ac:dyDescent="0.25">
      <c r="B2388" s="65" t="s">
        <v>4059</v>
      </c>
      <c r="C2388" s="77">
        <f t="shared" ref="C2388:J2388" si="352">C2310-C2386</f>
        <v>0</v>
      </c>
      <c r="D2388" s="77">
        <f t="shared" si="352"/>
        <v>0</v>
      </c>
      <c r="E2388" s="77">
        <f t="shared" si="352"/>
        <v>0</v>
      </c>
      <c r="F2388" s="77">
        <f t="shared" si="352"/>
        <v>339058</v>
      </c>
      <c r="G2388" s="77">
        <f t="shared" si="352"/>
        <v>2047308.6</v>
      </c>
      <c r="H2388" s="77">
        <f t="shared" si="352"/>
        <v>0</v>
      </c>
      <c r="I2388" s="77">
        <f t="shared" si="352"/>
        <v>0</v>
      </c>
      <c r="J2388" s="77">
        <f t="shared" si="352"/>
        <v>0</v>
      </c>
      <c r="M2388" s="57"/>
    </row>
    <row r="2389" spans="2:13" ht="13.5" thickTop="1" x14ac:dyDescent="0.2">
      <c r="B2389" s="58"/>
      <c r="C2389" s="78"/>
      <c r="D2389" s="78"/>
      <c r="E2389" s="78"/>
      <c r="G2389" s="69"/>
      <c r="H2389" s="69"/>
      <c r="I2389" s="78"/>
      <c r="J2389" s="78"/>
      <c r="M2389" s="57"/>
    </row>
    <row r="2390" spans="2:13" x14ac:dyDescent="0.2">
      <c r="B2390" s="58"/>
      <c r="C2390" s="78"/>
      <c r="D2390" s="78"/>
      <c r="E2390" s="78"/>
      <c r="G2390" s="69"/>
      <c r="H2390" s="126"/>
      <c r="I2390" s="78"/>
      <c r="J2390" s="78"/>
      <c r="M2390" s="57"/>
    </row>
    <row r="2391" spans="2:13" x14ac:dyDescent="0.2">
      <c r="B2391" s="58"/>
      <c r="C2391" s="78"/>
      <c r="D2391" s="78"/>
      <c r="E2391" s="78"/>
      <c r="G2391" s="69"/>
      <c r="H2391" s="69"/>
      <c r="I2391" s="78"/>
      <c r="J2391" s="78"/>
      <c r="M2391" s="57"/>
    </row>
    <row r="2392" spans="2:13" x14ac:dyDescent="0.2">
      <c r="B2392" s="58"/>
      <c r="C2392" s="78"/>
      <c r="D2392" s="78"/>
      <c r="E2392" s="78"/>
      <c r="G2392" s="69"/>
      <c r="H2392" s="69"/>
      <c r="I2392" s="78"/>
      <c r="J2392" s="78"/>
      <c r="M2392" s="57"/>
    </row>
    <row r="2393" spans="2:13" x14ac:dyDescent="0.2">
      <c r="B2393" s="58"/>
      <c r="C2393" s="78"/>
      <c r="D2393" s="78"/>
      <c r="E2393" s="78"/>
      <c r="G2393" s="69"/>
      <c r="H2393" s="69"/>
      <c r="I2393" s="78"/>
      <c r="J2393" s="78"/>
      <c r="M2393" s="57"/>
    </row>
    <row r="2394" spans="2:13" x14ac:dyDescent="0.2">
      <c r="B2394" s="58"/>
      <c r="C2394" s="78"/>
      <c r="D2394" s="78"/>
      <c r="E2394" s="78"/>
      <c r="G2394" s="69"/>
      <c r="H2394" s="69"/>
      <c r="I2394" s="78"/>
      <c r="J2394" s="78"/>
      <c r="M2394" s="57"/>
    </row>
    <row r="2395" spans="2:13" x14ac:dyDescent="0.2">
      <c r="B2395" s="58"/>
      <c r="C2395" s="78"/>
      <c r="D2395" s="78"/>
      <c r="E2395" s="78"/>
      <c r="G2395" s="69"/>
      <c r="H2395" s="69"/>
      <c r="I2395" s="78"/>
      <c r="J2395" s="78"/>
      <c r="M2395" s="57"/>
    </row>
    <row r="2396" spans="2:13" x14ac:dyDescent="0.2">
      <c r="B2396" s="58"/>
      <c r="C2396" s="78"/>
      <c r="D2396" s="78"/>
      <c r="E2396" s="78"/>
      <c r="G2396" s="69"/>
      <c r="H2396" s="69"/>
      <c r="I2396" s="78"/>
      <c r="J2396" s="78"/>
      <c r="M2396" s="57"/>
    </row>
    <row r="2397" spans="2:13" x14ac:dyDescent="0.2">
      <c r="B2397" s="58"/>
      <c r="C2397" s="78"/>
      <c r="D2397" s="78"/>
      <c r="E2397" s="78"/>
      <c r="G2397" s="69"/>
      <c r="H2397" s="69"/>
      <c r="I2397" s="78"/>
      <c r="J2397" s="78"/>
      <c r="M2397" s="57"/>
    </row>
    <row r="2398" spans="2:13" x14ac:dyDescent="0.2">
      <c r="B2398" s="58"/>
      <c r="C2398" s="78"/>
      <c r="D2398" s="78"/>
      <c r="E2398" s="78"/>
      <c r="G2398" s="69"/>
      <c r="H2398" s="69"/>
      <c r="I2398" s="78"/>
      <c r="J2398" s="78"/>
      <c r="M2398" s="57"/>
    </row>
    <row r="2399" spans="2:13" x14ac:dyDescent="0.2">
      <c r="B2399" s="58"/>
      <c r="C2399" s="78"/>
      <c r="D2399" s="78"/>
      <c r="E2399" s="78"/>
      <c r="G2399" s="69"/>
      <c r="H2399" s="69"/>
      <c r="I2399" s="78"/>
      <c r="J2399" s="78"/>
      <c r="M2399" s="57"/>
    </row>
    <row r="2400" spans="2:13" x14ac:dyDescent="0.2">
      <c r="B2400" s="58"/>
      <c r="C2400" s="78"/>
      <c r="D2400" s="78"/>
      <c r="E2400" s="78"/>
      <c r="G2400" s="69"/>
      <c r="H2400" s="69"/>
      <c r="I2400" s="78"/>
      <c r="J2400" s="78"/>
      <c r="M2400" s="57"/>
    </row>
    <row r="2401" spans="2:13" x14ac:dyDescent="0.2">
      <c r="B2401" s="58"/>
      <c r="C2401" s="78"/>
      <c r="D2401" s="78"/>
      <c r="E2401" s="78"/>
      <c r="G2401" s="69"/>
      <c r="H2401" s="69"/>
      <c r="I2401" s="78"/>
      <c r="J2401" s="78"/>
      <c r="M2401" s="57"/>
    </row>
    <row r="2402" spans="2:13" x14ac:dyDescent="0.2">
      <c r="B2402" s="58"/>
      <c r="C2402" s="78"/>
      <c r="D2402" s="78"/>
      <c r="E2402" s="78"/>
      <c r="G2402" s="69"/>
      <c r="H2402" s="69"/>
      <c r="I2402" s="78"/>
      <c r="J2402" s="78"/>
      <c r="M2402" s="57"/>
    </row>
    <row r="2403" spans="2:13" x14ac:dyDescent="0.2">
      <c r="B2403" s="58"/>
      <c r="C2403" s="78"/>
      <c r="D2403" s="78"/>
      <c r="E2403" s="78"/>
      <c r="G2403" s="69"/>
      <c r="H2403" s="69"/>
      <c r="I2403" s="78"/>
      <c r="J2403" s="78"/>
      <c r="M2403" s="57"/>
    </row>
    <row r="2404" spans="2:13" x14ac:dyDescent="0.2">
      <c r="B2404" s="58"/>
      <c r="C2404" s="78"/>
      <c r="D2404" s="78"/>
      <c r="E2404" s="78"/>
      <c r="G2404" s="69"/>
      <c r="H2404" s="69"/>
      <c r="I2404" s="78"/>
      <c r="J2404" s="78"/>
      <c r="M2404" s="57"/>
    </row>
    <row r="2405" spans="2:13" x14ac:dyDescent="0.2">
      <c r="B2405" s="58"/>
      <c r="C2405" s="78"/>
      <c r="D2405" s="78"/>
      <c r="E2405" s="78"/>
      <c r="G2405" s="69"/>
      <c r="H2405" s="69"/>
      <c r="I2405" s="78"/>
      <c r="J2405" s="78"/>
      <c r="M2405" s="57"/>
    </row>
    <row r="2406" spans="2:13" x14ac:dyDescent="0.2">
      <c r="B2406" s="58"/>
      <c r="C2406" s="78"/>
      <c r="D2406" s="78"/>
      <c r="E2406" s="78"/>
      <c r="G2406" s="69"/>
      <c r="H2406" s="69"/>
      <c r="I2406" s="78"/>
      <c r="J2406" s="78"/>
      <c r="M2406" s="57"/>
    </row>
    <row r="2407" spans="2:13" x14ac:dyDescent="0.2">
      <c r="B2407" s="58"/>
      <c r="C2407" s="78"/>
      <c r="D2407" s="78"/>
      <c r="E2407" s="78"/>
      <c r="G2407" s="69"/>
      <c r="H2407" s="69"/>
      <c r="I2407" s="78"/>
      <c r="J2407" s="78"/>
      <c r="M2407" s="57"/>
    </row>
    <row r="2408" spans="2:13" x14ac:dyDescent="0.2">
      <c r="B2408" s="58"/>
      <c r="C2408" s="78"/>
      <c r="D2408" s="78"/>
      <c r="E2408" s="78"/>
      <c r="G2408" s="69"/>
      <c r="H2408" s="69"/>
      <c r="I2408" s="78"/>
      <c r="J2408" s="78"/>
      <c r="M2408" s="57"/>
    </row>
    <row r="2409" spans="2:13" x14ac:dyDescent="0.2">
      <c r="B2409" s="58"/>
      <c r="C2409" s="78"/>
      <c r="D2409" s="78"/>
      <c r="E2409" s="78"/>
      <c r="G2409" s="69"/>
      <c r="H2409" s="69"/>
      <c r="I2409" s="78"/>
      <c r="J2409" s="78"/>
      <c r="M2409" s="57"/>
    </row>
    <row r="2410" spans="2:13" x14ac:dyDescent="0.2">
      <c r="B2410" s="58"/>
      <c r="C2410" s="78"/>
      <c r="D2410" s="78"/>
      <c r="E2410" s="78"/>
      <c r="G2410" s="69"/>
      <c r="H2410" s="69"/>
      <c r="I2410" s="78"/>
      <c r="J2410" s="78"/>
      <c r="M2410" s="57"/>
    </row>
    <row r="2411" spans="2:13" x14ac:dyDescent="0.2">
      <c r="B2411" s="58"/>
      <c r="C2411" s="78"/>
      <c r="D2411" s="78"/>
      <c r="E2411" s="78"/>
      <c r="G2411" s="69"/>
      <c r="H2411" s="69"/>
      <c r="I2411" s="78"/>
      <c r="J2411" s="78"/>
      <c r="M2411" s="57"/>
    </row>
    <row r="2412" spans="2:13" x14ac:dyDescent="0.2">
      <c r="B2412" s="58"/>
      <c r="C2412" s="78"/>
      <c r="D2412" s="78"/>
      <c r="E2412" s="78"/>
      <c r="G2412" s="69"/>
      <c r="H2412" s="69"/>
      <c r="I2412" s="78"/>
      <c r="J2412" s="78"/>
      <c r="M2412" s="57"/>
    </row>
    <row r="2413" spans="2:13" x14ac:dyDescent="0.2">
      <c r="B2413" s="58"/>
      <c r="C2413" s="78"/>
      <c r="D2413" s="78"/>
      <c r="E2413" s="78"/>
      <c r="G2413" s="69"/>
      <c r="H2413" s="69"/>
      <c r="I2413" s="78"/>
      <c r="J2413" s="78"/>
      <c r="M2413" s="57"/>
    </row>
    <row r="2414" spans="2:13" x14ac:dyDescent="0.2">
      <c r="B2414" s="58"/>
      <c r="C2414" s="78"/>
      <c r="D2414" s="78"/>
      <c r="E2414" s="78"/>
      <c r="G2414" s="69"/>
      <c r="H2414" s="69"/>
      <c r="I2414" s="78"/>
      <c r="J2414" s="78"/>
      <c r="M2414" s="57"/>
    </row>
    <row r="2415" spans="2:13" x14ac:dyDescent="0.2">
      <c r="B2415" s="58"/>
      <c r="C2415" s="78"/>
      <c r="D2415" s="78"/>
      <c r="E2415" s="78"/>
      <c r="G2415" s="69"/>
      <c r="H2415" s="69"/>
      <c r="I2415" s="78"/>
      <c r="J2415" s="78"/>
      <c r="M2415" s="57"/>
    </row>
    <row r="2416" spans="2:13" x14ac:dyDescent="0.2">
      <c r="B2416" s="58"/>
      <c r="C2416" s="78"/>
      <c r="D2416" s="78"/>
      <c r="E2416" s="78"/>
      <c r="G2416" s="69"/>
      <c r="H2416" s="69"/>
      <c r="I2416" s="78"/>
      <c r="J2416" s="78"/>
      <c r="M2416" s="57"/>
    </row>
    <row r="2417" spans="2:13" x14ac:dyDescent="0.2">
      <c r="B2417" s="58"/>
      <c r="C2417" s="78"/>
      <c r="D2417" s="78"/>
      <c r="E2417" s="78"/>
      <c r="G2417" s="69"/>
      <c r="H2417" s="69"/>
      <c r="I2417" s="78"/>
      <c r="J2417" s="78"/>
      <c r="M2417" s="57"/>
    </row>
    <row r="2418" spans="2:13" x14ac:dyDescent="0.2">
      <c r="B2418" s="58"/>
      <c r="C2418" s="78"/>
      <c r="D2418" s="78"/>
      <c r="E2418" s="78"/>
      <c r="G2418" s="69"/>
      <c r="H2418" s="69"/>
      <c r="I2418" s="78"/>
      <c r="J2418" s="78"/>
      <c r="M2418" s="57"/>
    </row>
    <row r="2419" spans="2:13" x14ac:dyDescent="0.2">
      <c r="B2419" s="58"/>
      <c r="C2419" s="78"/>
      <c r="D2419" s="78"/>
      <c r="E2419" s="78"/>
      <c r="G2419" s="69"/>
      <c r="H2419" s="69"/>
      <c r="I2419" s="78"/>
      <c r="J2419" s="78"/>
      <c r="M2419" s="57"/>
    </row>
    <row r="2420" spans="2:13" x14ac:dyDescent="0.2">
      <c r="B2420" s="58"/>
      <c r="C2420" s="78"/>
      <c r="D2420" s="78"/>
      <c r="E2420" s="78"/>
      <c r="G2420" s="69"/>
      <c r="H2420" s="69"/>
      <c r="I2420" s="78"/>
      <c r="J2420" s="78"/>
      <c r="M2420" s="57"/>
    </row>
    <row r="2421" spans="2:13" x14ac:dyDescent="0.2">
      <c r="B2421" s="58"/>
      <c r="C2421" s="78"/>
      <c r="D2421" s="78"/>
      <c r="E2421" s="78"/>
      <c r="G2421" s="69"/>
      <c r="H2421" s="69"/>
      <c r="I2421" s="78"/>
      <c r="J2421" s="78"/>
      <c r="M2421" s="57"/>
    </row>
    <row r="2422" spans="2:13" x14ac:dyDescent="0.2">
      <c r="B2422" s="58"/>
      <c r="C2422" s="78"/>
      <c r="D2422" s="78"/>
      <c r="E2422" s="78"/>
      <c r="G2422" s="69"/>
      <c r="H2422" s="69"/>
      <c r="I2422" s="78"/>
      <c r="J2422" s="78"/>
      <c r="M2422" s="57"/>
    </row>
    <row r="2423" spans="2:13" x14ac:dyDescent="0.2">
      <c r="B2423" s="58"/>
      <c r="C2423" s="78"/>
      <c r="D2423" s="78"/>
      <c r="E2423" s="78"/>
      <c r="G2423" s="69"/>
      <c r="H2423" s="69"/>
      <c r="I2423" s="78"/>
      <c r="J2423" s="78"/>
      <c r="M2423" s="57"/>
    </row>
    <row r="2424" spans="2:13" x14ac:dyDescent="0.2">
      <c r="B2424" s="58"/>
      <c r="C2424" s="78"/>
      <c r="D2424" s="78"/>
      <c r="E2424" s="78"/>
      <c r="G2424" s="69"/>
      <c r="H2424" s="69"/>
      <c r="I2424" s="78"/>
      <c r="J2424" s="78"/>
      <c r="M2424" s="57"/>
    </row>
    <row r="2425" spans="2:13" x14ac:dyDescent="0.2">
      <c r="B2425" s="58"/>
      <c r="C2425" s="78"/>
      <c r="D2425" s="78"/>
      <c r="E2425" s="78"/>
      <c r="G2425" s="69"/>
      <c r="H2425" s="69"/>
      <c r="I2425" s="78"/>
      <c r="J2425" s="78"/>
      <c r="M2425" s="57"/>
    </row>
    <row r="2426" spans="2:13" x14ac:dyDescent="0.2">
      <c r="B2426" s="58"/>
      <c r="C2426" s="78"/>
      <c r="D2426" s="78"/>
      <c r="E2426" s="78"/>
      <c r="G2426" s="69"/>
      <c r="H2426" s="69"/>
      <c r="I2426" s="78"/>
      <c r="J2426" s="78"/>
      <c r="M2426" s="57"/>
    </row>
    <row r="2427" spans="2:13" x14ac:dyDescent="0.2">
      <c r="B2427" s="58"/>
      <c r="C2427" s="78"/>
      <c r="D2427" s="78"/>
      <c r="E2427" s="78"/>
      <c r="G2427" s="69"/>
      <c r="H2427" s="69"/>
      <c r="I2427" s="78"/>
      <c r="J2427" s="78"/>
      <c r="M2427" s="57"/>
    </row>
    <row r="2428" spans="2:13" x14ac:dyDescent="0.2">
      <c r="B2428" s="58"/>
      <c r="C2428" s="78"/>
      <c r="D2428" s="78"/>
      <c r="E2428" s="78"/>
      <c r="G2428" s="69"/>
      <c r="H2428" s="69"/>
      <c r="I2428" s="78"/>
      <c r="J2428" s="78"/>
      <c r="M2428" s="57"/>
    </row>
    <row r="2429" spans="2:13" x14ac:dyDescent="0.2">
      <c r="B2429" s="58"/>
      <c r="C2429" s="78"/>
      <c r="D2429" s="78"/>
      <c r="E2429" s="78"/>
      <c r="G2429" s="69"/>
      <c r="H2429" s="69"/>
      <c r="I2429" s="78"/>
      <c r="J2429" s="78"/>
      <c r="M2429" s="57"/>
    </row>
    <row r="2430" spans="2:13" x14ac:dyDescent="0.2">
      <c r="B2430" s="58"/>
      <c r="C2430" s="78"/>
      <c r="D2430" s="78"/>
      <c r="E2430" s="78"/>
      <c r="G2430" s="69"/>
      <c r="H2430" s="69"/>
      <c r="I2430" s="78"/>
      <c r="J2430" s="78"/>
      <c r="M2430" s="57"/>
    </row>
    <row r="2431" spans="2:13" x14ac:dyDescent="0.2">
      <c r="B2431" s="58"/>
      <c r="C2431" s="78"/>
      <c r="D2431" s="78"/>
      <c r="E2431" s="78"/>
      <c r="G2431" s="69"/>
      <c r="H2431" s="69"/>
      <c r="I2431" s="78"/>
      <c r="J2431" s="78"/>
      <c r="M2431" s="57"/>
    </row>
    <row r="2432" spans="2:13" x14ac:dyDescent="0.2">
      <c r="B2432" s="58"/>
      <c r="C2432" s="78"/>
      <c r="D2432" s="78"/>
      <c r="E2432" s="78"/>
      <c r="G2432" s="69"/>
      <c r="H2432" s="69"/>
      <c r="I2432" s="78"/>
      <c r="J2432" s="78"/>
      <c r="M2432" s="57"/>
    </row>
    <row r="2433" spans="1:13" x14ac:dyDescent="0.2">
      <c r="B2433" s="58"/>
      <c r="C2433" s="78"/>
      <c r="D2433" s="78"/>
      <c r="E2433" s="78"/>
      <c r="G2433" s="69"/>
      <c r="H2433" s="69"/>
      <c r="I2433" s="78"/>
      <c r="J2433" s="78"/>
      <c r="M2433" s="57"/>
    </row>
    <row r="2434" spans="1:13" x14ac:dyDescent="0.2">
      <c r="B2434" s="58"/>
      <c r="C2434" s="78"/>
      <c r="D2434" s="78"/>
      <c r="E2434" s="78"/>
      <c r="G2434" s="69"/>
      <c r="H2434" s="69"/>
      <c r="I2434" s="78"/>
      <c r="J2434" s="78"/>
      <c r="M2434" s="57"/>
    </row>
    <row r="2435" spans="1:13" x14ac:dyDescent="0.2">
      <c r="B2435" s="58"/>
      <c r="C2435" s="78"/>
      <c r="D2435" s="78"/>
      <c r="E2435" s="78"/>
      <c r="G2435" s="69"/>
      <c r="H2435" s="69"/>
      <c r="I2435" s="78"/>
      <c r="J2435" s="78"/>
      <c r="M2435" s="57"/>
    </row>
    <row r="2436" spans="1:13" x14ac:dyDescent="0.2">
      <c r="B2436" s="58"/>
      <c r="C2436" s="78"/>
      <c r="D2436" s="78"/>
      <c r="E2436" s="78"/>
      <c r="G2436" s="69"/>
      <c r="H2436" s="69"/>
      <c r="I2436" s="78"/>
      <c r="J2436" s="78"/>
      <c r="M2436" s="57"/>
    </row>
    <row r="2437" spans="1:13" x14ac:dyDescent="0.2">
      <c r="B2437" s="58"/>
      <c r="C2437" s="78"/>
      <c r="D2437" s="78"/>
      <c r="E2437" s="78"/>
      <c r="G2437" s="69"/>
      <c r="H2437" s="69"/>
      <c r="I2437" s="78"/>
      <c r="J2437" s="78"/>
      <c r="M2437" s="57"/>
    </row>
    <row r="2438" spans="1:13" x14ac:dyDescent="0.2">
      <c r="B2438" s="58"/>
      <c r="C2438" s="78"/>
      <c r="D2438" s="78"/>
      <c r="E2438" s="78"/>
      <c r="G2438" s="69"/>
      <c r="H2438" s="69"/>
      <c r="I2438" s="78"/>
      <c r="J2438" s="78"/>
      <c r="M2438" s="57"/>
    </row>
    <row r="2439" spans="1:13" x14ac:dyDescent="0.2">
      <c r="B2439" s="58"/>
      <c r="C2439" s="78"/>
      <c r="D2439" s="78"/>
      <c r="E2439" s="78"/>
      <c r="G2439" s="69"/>
      <c r="H2439" s="69"/>
      <c r="I2439" s="78"/>
      <c r="J2439" s="78"/>
      <c r="M2439" s="57"/>
    </row>
    <row r="2440" spans="1:13" x14ac:dyDescent="0.2">
      <c r="B2440" s="58"/>
      <c r="C2440" s="78"/>
      <c r="D2440" s="78"/>
      <c r="E2440" s="78"/>
      <c r="G2440" s="69"/>
      <c r="H2440" s="69"/>
      <c r="I2440" s="78"/>
      <c r="J2440" s="78"/>
      <c r="M2440" s="57"/>
    </row>
    <row r="2441" spans="1:13" x14ac:dyDescent="0.2">
      <c r="G2441" s="69"/>
      <c r="H2441" s="69"/>
      <c r="M2441" s="57"/>
    </row>
    <row r="2442" spans="1:13" x14ac:dyDescent="0.2">
      <c r="A2442" s="6"/>
      <c r="B2442" s="6"/>
      <c r="C2442" s="6"/>
      <c r="D2442" s="6"/>
      <c r="E2442" s="6"/>
      <c r="G2442" s="69"/>
      <c r="H2442" s="69"/>
      <c r="I2442" s="6"/>
      <c r="J2442" s="6"/>
      <c r="M2442" s="57"/>
    </row>
    <row r="2443" spans="1:13" x14ac:dyDescent="0.2">
      <c r="A2443" s="6"/>
      <c r="B2443" s="6"/>
      <c r="C2443" s="6"/>
      <c r="D2443" s="6"/>
      <c r="E2443" s="6"/>
      <c r="G2443" s="69"/>
      <c r="H2443" s="69"/>
      <c r="I2443" s="6"/>
      <c r="J2443" s="6"/>
      <c r="M2443" s="57"/>
    </row>
    <row r="2444" spans="1:13" x14ac:dyDescent="0.2">
      <c r="A2444" s="6"/>
      <c r="B2444" s="6"/>
      <c r="C2444" s="6"/>
      <c r="D2444" s="6"/>
      <c r="E2444" s="6"/>
      <c r="G2444" s="69"/>
      <c r="H2444" s="69"/>
      <c r="I2444" s="6"/>
      <c r="J2444" s="6"/>
      <c r="M2444" s="57"/>
    </row>
    <row r="2445" spans="1:13" x14ac:dyDescent="0.2">
      <c r="A2445" s="6"/>
      <c r="B2445" s="6"/>
      <c r="C2445" s="6"/>
      <c r="D2445" s="6"/>
      <c r="E2445" s="6"/>
      <c r="G2445" s="69"/>
      <c r="H2445" s="69"/>
      <c r="I2445" s="6"/>
      <c r="J2445" s="6"/>
      <c r="L2445" s="2"/>
    </row>
    <row r="2446" spans="1:13" ht="15.75" x14ac:dyDescent="0.25">
      <c r="A2446" s="98">
        <v>1900</v>
      </c>
      <c r="B2446" s="118" t="s">
        <v>4110</v>
      </c>
      <c r="G2446" s="69"/>
      <c r="H2446" s="69"/>
      <c r="M2446" s="57"/>
    </row>
    <row r="2447" spans="1:13" ht="15" x14ac:dyDescent="0.25">
      <c r="A2447" s="91">
        <v>1910</v>
      </c>
      <c r="B2447" s="48" t="s">
        <v>44</v>
      </c>
      <c r="C2447" s="48"/>
      <c r="D2447" s="48"/>
      <c r="E2447" s="48"/>
      <c r="G2447" s="69"/>
      <c r="H2447" s="69"/>
      <c r="M2447" s="57"/>
    </row>
    <row r="2448" spans="1:13" ht="15" x14ac:dyDescent="0.25">
      <c r="B2448" s="48"/>
      <c r="C2448" s="48"/>
      <c r="D2448" s="48"/>
      <c r="E2448" s="48"/>
      <c r="G2448" s="69"/>
      <c r="H2448" s="69"/>
      <c r="M2448" s="57"/>
    </row>
    <row r="2449" spans="1:14" x14ac:dyDescent="0.2">
      <c r="B2449" s="50" t="s">
        <v>61</v>
      </c>
      <c r="C2449" s="50"/>
      <c r="D2449" s="50"/>
      <c r="E2449" s="50"/>
      <c r="G2449" s="69"/>
      <c r="H2449" s="69"/>
      <c r="M2449" s="57"/>
    </row>
    <row r="2450" spans="1:14" x14ac:dyDescent="0.2">
      <c r="B2450" s="46"/>
      <c r="C2450" s="46"/>
      <c r="D2450" s="46"/>
      <c r="E2450" s="46"/>
      <c r="G2450" s="69"/>
      <c r="H2450" s="69"/>
      <c r="I2450" s="171"/>
      <c r="M2450" s="57"/>
    </row>
    <row r="2451" spans="1:14" x14ac:dyDescent="0.2">
      <c r="B2451" s="58" t="s">
        <v>636</v>
      </c>
      <c r="C2451" s="99"/>
      <c r="D2451" s="99"/>
      <c r="E2451" s="99"/>
      <c r="F2451" s="14"/>
      <c r="G2451" s="69"/>
      <c r="H2451" s="69"/>
      <c r="L2451" s="168" t="s">
        <v>1084</v>
      </c>
      <c r="M2451" s="169" t="s">
        <v>1083</v>
      </c>
      <c r="N2451" s="170" t="s">
        <v>1085</v>
      </c>
    </row>
    <row r="2452" spans="1:14" x14ac:dyDescent="0.2">
      <c r="A2452" s="101">
        <v>5617</v>
      </c>
      <c r="B2452" s="71" t="s">
        <v>4111</v>
      </c>
      <c r="C2452" s="56">
        <v>3471379</v>
      </c>
      <c r="D2452" s="56">
        <f>ROUND(3457812*1.37,0)</f>
        <v>4737202</v>
      </c>
      <c r="E2452" s="56">
        <v>4737202</v>
      </c>
      <c r="F2452" s="56">
        <v>3898111</v>
      </c>
      <c r="G2452" s="56">
        <f>F2452/$F$11*$G$11</f>
        <v>4677733.1999999993</v>
      </c>
      <c r="H2452" s="56">
        <f>ROUND(96768*L2452,0)</f>
        <v>5128704</v>
      </c>
      <c r="I2452" s="56">
        <f>ROUND(96768*M2452,0)</f>
        <v>5898010</v>
      </c>
      <c r="J2452" s="56">
        <f>ROUND(96768*N2452,0)</f>
        <v>7233408</v>
      </c>
      <c r="L2452">
        <v>53</v>
      </c>
      <c r="M2452" s="57">
        <f>+L2452*1.15</f>
        <v>60.949999999999996</v>
      </c>
      <c r="N2452" s="24">
        <f>65*1.15</f>
        <v>74.75</v>
      </c>
    </row>
    <row r="2453" spans="1:14" x14ac:dyDescent="0.2">
      <c r="B2453" s="58" t="s">
        <v>637</v>
      </c>
      <c r="C2453" s="100">
        <f t="shared" ref="C2453:J2453" si="353">SUM(C2452:C2452)</f>
        <v>3471379</v>
      </c>
      <c r="D2453" s="100">
        <f t="shared" si="353"/>
        <v>4737202</v>
      </c>
      <c r="E2453" s="100">
        <f t="shared" si="353"/>
        <v>4737202</v>
      </c>
      <c r="F2453" s="100">
        <f t="shared" si="353"/>
        <v>3898111</v>
      </c>
      <c r="G2453" s="100">
        <f t="shared" si="353"/>
        <v>4677733.1999999993</v>
      </c>
      <c r="H2453" s="100">
        <f t="shared" si="353"/>
        <v>5128704</v>
      </c>
      <c r="I2453" s="100">
        <f t="shared" si="353"/>
        <v>5898010</v>
      </c>
      <c r="J2453" s="100">
        <f t="shared" si="353"/>
        <v>7233408</v>
      </c>
      <c r="L2453" s="2"/>
    </row>
    <row r="2454" spans="1:14" x14ac:dyDescent="0.2">
      <c r="B2454" s="58"/>
      <c r="C2454" s="99"/>
      <c r="D2454" s="99"/>
      <c r="E2454" s="99"/>
      <c r="F2454" s="24"/>
      <c r="G2454" s="69"/>
      <c r="H2454" s="69"/>
      <c r="I2454" s="99"/>
      <c r="J2454" s="99"/>
      <c r="M2454" s="57"/>
    </row>
    <row r="2455" spans="1:14" x14ac:dyDescent="0.2">
      <c r="B2455" s="58" t="s">
        <v>423</v>
      </c>
      <c r="C2455" s="99"/>
      <c r="D2455" s="99"/>
      <c r="E2455" s="99"/>
      <c r="G2455" s="69"/>
      <c r="H2455" s="69"/>
      <c r="I2455" s="99"/>
      <c r="J2455" s="99"/>
      <c r="M2455" s="57"/>
    </row>
    <row r="2456" spans="1:14" x14ac:dyDescent="0.2">
      <c r="B2456" s="70" t="s">
        <v>45</v>
      </c>
      <c r="C2456" s="99">
        <v>8236</v>
      </c>
      <c r="D2456" s="99">
        <v>0</v>
      </c>
      <c r="E2456" s="99">
        <v>4600</v>
      </c>
      <c r="F2456" s="69">
        <v>1982</v>
      </c>
      <c r="G2456" s="69">
        <f>F2456/$F$11*$G$11</f>
        <v>2378.3999999999996</v>
      </c>
      <c r="H2456" s="69">
        <f>ROUND(G2456*1.1,0)</f>
        <v>2616</v>
      </c>
      <c r="I2456" s="69">
        <f>ROUND(H2456*1.06,0)</f>
        <v>2773</v>
      </c>
      <c r="J2456" s="69">
        <f>ROUND(I2456*1.06,0)</f>
        <v>2939</v>
      </c>
      <c r="M2456" s="57"/>
    </row>
    <row r="2457" spans="1:14" x14ac:dyDescent="0.2">
      <c r="A2457" s="101">
        <v>5815</v>
      </c>
      <c r="B2457" s="71" t="s">
        <v>2419</v>
      </c>
      <c r="C2457" s="56">
        <v>4422</v>
      </c>
      <c r="D2457" s="56">
        <v>11000</v>
      </c>
      <c r="E2457" s="56">
        <v>11000</v>
      </c>
      <c r="F2457" s="56">
        <v>4961</v>
      </c>
      <c r="G2457" s="56">
        <f>F2457/$F$11*$G$11</f>
        <v>5953.2000000000007</v>
      </c>
      <c r="H2457" s="56">
        <f>ROUND(G2457*1.1,0)</f>
        <v>6549</v>
      </c>
      <c r="I2457" s="56">
        <f>ROUND(H2457*1.06,0)</f>
        <v>6942</v>
      </c>
      <c r="J2457" s="56">
        <f>ROUND(I2457*1.06,0)</f>
        <v>7359</v>
      </c>
      <c r="M2457" s="57"/>
    </row>
    <row r="2458" spans="1:14" x14ac:dyDescent="0.2">
      <c r="B2458" s="58" t="s">
        <v>424</v>
      </c>
      <c r="C2458" s="100">
        <f>SUM(C2456:C2457)</f>
        <v>12658</v>
      </c>
      <c r="D2458" s="100">
        <f t="shared" ref="D2458:J2458" si="354">SUM(D2456:D2457)</f>
        <v>11000</v>
      </c>
      <c r="E2458" s="100">
        <f t="shared" si="354"/>
        <v>15600</v>
      </c>
      <c r="F2458" s="100">
        <f t="shared" si="354"/>
        <v>6943</v>
      </c>
      <c r="G2458" s="100">
        <f t="shared" si="354"/>
        <v>8331.6</v>
      </c>
      <c r="H2458" s="100">
        <f t="shared" si="354"/>
        <v>9165</v>
      </c>
      <c r="I2458" s="100">
        <f t="shared" si="354"/>
        <v>9715</v>
      </c>
      <c r="J2458" s="100">
        <f t="shared" si="354"/>
        <v>10298</v>
      </c>
      <c r="M2458" s="57"/>
    </row>
    <row r="2459" spans="1:14" x14ac:dyDescent="0.2">
      <c r="B2459" s="61"/>
      <c r="C2459" s="62"/>
      <c r="D2459" s="62"/>
      <c r="E2459" s="62"/>
      <c r="F2459" s="62"/>
      <c r="G2459" s="62"/>
      <c r="H2459" s="62"/>
      <c r="I2459" s="62"/>
      <c r="J2459" s="62"/>
      <c r="M2459" s="57"/>
    </row>
    <row r="2460" spans="1:14" x14ac:dyDescent="0.2">
      <c r="B2460" s="58" t="s">
        <v>235</v>
      </c>
      <c r="C2460" s="73">
        <f t="shared" ref="C2460:J2460" si="355">C2453+C2458</f>
        <v>3484037</v>
      </c>
      <c r="D2460" s="73">
        <f t="shared" si="355"/>
        <v>4748202</v>
      </c>
      <c r="E2460" s="73">
        <f t="shared" si="355"/>
        <v>4752802</v>
      </c>
      <c r="F2460" s="73">
        <f t="shared" si="355"/>
        <v>3905054</v>
      </c>
      <c r="G2460" s="73">
        <f t="shared" si="355"/>
        <v>4686064.7999999989</v>
      </c>
      <c r="H2460" s="73">
        <f t="shared" si="355"/>
        <v>5137869</v>
      </c>
      <c r="I2460" s="73">
        <f t="shared" si="355"/>
        <v>5907725</v>
      </c>
      <c r="J2460" s="73">
        <f t="shared" si="355"/>
        <v>7243706</v>
      </c>
      <c r="M2460" s="57"/>
    </row>
    <row r="2461" spans="1:14" x14ac:dyDescent="0.2">
      <c r="B2461" s="58"/>
      <c r="C2461" s="73"/>
      <c r="D2461" s="73"/>
      <c r="E2461" s="73"/>
      <c r="G2461" s="69"/>
      <c r="H2461" s="69"/>
      <c r="I2461" s="73"/>
      <c r="J2461" s="73"/>
      <c r="M2461" s="57"/>
    </row>
    <row r="2462" spans="1:14" x14ac:dyDescent="0.2">
      <c r="B2462" s="58" t="s">
        <v>1087</v>
      </c>
      <c r="C2462" s="99"/>
      <c r="D2462" s="99"/>
      <c r="E2462" s="99"/>
      <c r="G2462" s="69"/>
      <c r="H2462" s="69"/>
      <c r="I2462" s="99"/>
      <c r="J2462" s="99"/>
      <c r="M2462" s="57"/>
    </row>
    <row r="2463" spans="1:14" x14ac:dyDescent="0.2">
      <c r="B2463" s="71" t="s">
        <v>4112</v>
      </c>
      <c r="C2463" s="56">
        <v>0</v>
      </c>
      <c r="D2463" s="56">
        <v>0</v>
      </c>
      <c r="E2463" s="56">
        <v>0</v>
      </c>
      <c r="F2463" s="56">
        <v>0</v>
      </c>
      <c r="G2463" s="56">
        <f>F2463/$F$11*$G$11</f>
        <v>0</v>
      </c>
      <c r="H2463" s="56">
        <v>0</v>
      </c>
      <c r="I2463" s="56">
        <v>0</v>
      </c>
      <c r="J2463" s="56">
        <v>0</v>
      </c>
      <c r="M2463" s="57"/>
    </row>
    <row r="2464" spans="1:14" x14ac:dyDescent="0.2">
      <c r="B2464" s="58" t="s">
        <v>1088</v>
      </c>
      <c r="C2464" s="100">
        <f t="shared" ref="C2464:J2464" si="356">SUM(C2463)</f>
        <v>0</v>
      </c>
      <c r="D2464" s="100">
        <f t="shared" si="356"/>
        <v>0</v>
      </c>
      <c r="E2464" s="100">
        <f t="shared" si="356"/>
        <v>0</v>
      </c>
      <c r="F2464" s="100">
        <f t="shared" si="356"/>
        <v>0</v>
      </c>
      <c r="G2464" s="100">
        <f t="shared" si="356"/>
        <v>0</v>
      </c>
      <c r="H2464" s="100">
        <f t="shared" si="356"/>
        <v>0</v>
      </c>
      <c r="I2464" s="100">
        <f t="shared" si="356"/>
        <v>0</v>
      </c>
      <c r="J2464" s="100">
        <f t="shared" si="356"/>
        <v>0</v>
      </c>
      <c r="M2464" s="57"/>
    </row>
    <row r="2465" spans="1:14" x14ac:dyDescent="0.2">
      <c r="B2465" s="58"/>
      <c r="C2465" s="96"/>
      <c r="D2465" s="96"/>
      <c r="E2465" s="96"/>
      <c r="G2465" s="69"/>
      <c r="H2465" s="69"/>
      <c r="I2465" s="96"/>
      <c r="J2465" s="96"/>
      <c r="M2465" s="57"/>
    </row>
    <row r="2466" spans="1:14" x14ac:dyDescent="0.2">
      <c r="B2466" s="58" t="s">
        <v>413</v>
      </c>
      <c r="C2466" s="69"/>
      <c r="D2466" s="69"/>
      <c r="E2466" s="69"/>
      <c r="G2466" s="69"/>
      <c r="H2466" s="69"/>
      <c r="I2466" s="69"/>
      <c r="J2466" s="69"/>
      <c r="M2466" s="57"/>
    </row>
    <row r="2467" spans="1:14" x14ac:dyDescent="0.2">
      <c r="A2467" s="75">
        <v>5501</v>
      </c>
      <c r="B2467" s="71" t="s">
        <v>2405</v>
      </c>
      <c r="C2467" s="62">
        <v>4009531</v>
      </c>
      <c r="D2467" s="56">
        <f>2536923+106859</f>
        <v>2643782</v>
      </c>
      <c r="E2467" s="56">
        <f>2643782-100000-4600</f>
        <v>2539182</v>
      </c>
      <c r="F2467" s="56">
        <v>0</v>
      </c>
      <c r="G2467" s="56">
        <f>F2467/$F$11*$G$11</f>
        <v>0</v>
      </c>
      <c r="H2467" s="56">
        <f>+H2560-H2460</f>
        <v>3134164</v>
      </c>
      <c r="I2467" s="56">
        <f>+I2560-I2460</f>
        <v>3029635</v>
      </c>
      <c r="J2467" s="56">
        <f>+J2560-J2460</f>
        <v>2438507</v>
      </c>
      <c r="M2467" s="57"/>
    </row>
    <row r="2468" spans="1:14" x14ac:dyDescent="0.2">
      <c r="B2468" s="58" t="s">
        <v>414</v>
      </c>
      <c r="C2468" s="100">
        <f t="shared" ref="C2468:J2468" si="357">SUM(C2467)</f>
        <v>4009531</v>
      </c>
      <c r="D2468" s="100">
        <f t="shared" si="357"/>
        <v>2643782</v>
      </c>
      <c r="E2468" s="100">
        <f t="shared" si="357"/>
        <v>2539182</v>
      </c>
      <c r="F2468" s="100">
        <f t="shared" si="357"/>
        <v>0</v>
      </c>
      <c r="G2468" s="100">
        <f t="shared" si="357"/>
        <v>0</v>
      </c>
      <c r="H2468" s="100">
        <f t="shared" si="357"/>
        <v>3134164</v>
      </c>
      <c r="I2468" s="100">
        <f t="shared" si="357"/>
        <v>3029635</v>
      </c>
      <c r="J2468" s="100">
        <f t="shared" si="357"/>
        <v>2438507</v>
      </c>
      <c r="M2468" s="57"/>
    </row>
    <row r="2469" spans="1:14" x14ac:dyDescent="0.2">
      <c r="B2469" s="58"/>
      <c r="C2469" s="99"/>
      <c r="D2469" s="99"/>
      <c r="E2469" s="99"/>
      <c r="G2469" s="69"/>
      <c r="H2469" s="69"/>
      <c r="I2469" s="99"/>
      <c r="J2469" s="99"/>
      <c r="M2469" s="57"/>
    </row>
    <row r="2470" spans="1:14" ht="13.5" thickBot="1" x14ac:dyDescent="0.25">
      <c r="B2470" s="65" t="s">
        <v>4017</v>
      </c>
      <c r="C2470" s="66">
        <f t="shared" ref="C2470:J2470" si="358">C2460+C2468+C2464</f>
        <v>7493568</v>
      </c>
      <c r="D2470" s="66">
        <f t="shared" si="358"/>
        <v>7391984</v>
      </c>
      <c r="E2470" s="66">
        <f t="shared" si="358"/>
        <v>7291984</v>
      </c>
      <c r="F2470" s="66">
        <f t="shared" si="358"/>
        <v>3905054</v>
      </c>
      <c r="G2470" s="66">
        <f t="shared" si="358"/>
        <v>4686064.7999999989</v>
      </c>
      <c r="H2470" s="66">
        <f t="shared" si="358"/>
        <v>8272033</v>
      </c>
      <c r="I2470" s="66">
        <f t="shared" si="358"/>
        <v>8937360</v>
      </c>
      <c r="J2470" s="66">
        <f t="shared" si="358"/>
        <v>9682213</v>
      </c>
      <c r="M2470" s="57"/>
    </row>
    <row r="2471" spans="1:14" ht="13.5" thickTop="1" x14ac:dyDescent="0.2">
      <c r="B2471" s="68"/>
      <c r="C2471" s="68"/>
      <c r="D2471" s="68"/>
      <c r="E2471" s="68"/>
      <c r="G2471" s="69"/>
      <c r="H2471" s="69"/>
      <c r="I2471" s="68"/>
      <c r="J2471" s="68"/>
      <c r="M2471" s="57"/>
    </row>
    <row r="2472" spans="1:14" x14ac:dyDescent="0.2">
      <c r="B2472" s="50" t="s">
        <v>4018</v>
      </c>
      <c r="C2472" s="50"/>
      <c r="D2472" s="50"/>
      <c r="E2472" s="50"/>
      <c r="G2472" s="69"/>
      <c r="H2472" s="69"/>
      <c r="I2472" s="50"/>
      <c r="J2472" s="50"/>
      <c r="M2472" s="57"/>
    </row>
    <row r="2473" spans="1:14" x14ac:dyDescent="0.2">
      <c r="B2473" s="50"/>
      <c r="C2473" s="50"/>
      <c r="D2473" s="50"/>
      <c r="E2473" s="50"/>
      <c r="G2473" s="69"/>
      <c r="H2473" s="69"/>
      <c r="I2473" s="50"/>
      <c r="J2473" s="50"/>
      <c r="M2473" s="57"/>
    </row>
    <row r="2474" spans="1:14" x14ac:dyDescent="0.2">
      <c r="B2474" s="58" t="s">
        <v>4019</v>
      </c>
      <c r="C2474" s="69"/>
      <c r="D2474" s="69"/>
      <c r="E2474" s="69"/>
      <c r="G2474" s="69"/>
      <c r="H2474" s="69"/>
      <c r="I2474" s="69"/>
      <c r="J2474" s="69"/>
      <c r="M2474" s="57"/>
    </row>
    <row r="2475" spans="1:14" x14ac:dyDescent="0.2">
      <c r="A2475" s="75">
        <v>1001</v>
      </c>
      <c r="B2475" s="70" t="s">
        <v>472</v>
      </c>
      <c r="C2475" s="69">
        <v>2401820</v>
      </c>
      <c r="D2475" s="69">
        <v>2370298</v>
      </c>
      <c r="E2475" s="69">
        <v>2370298</v>
      </c>
      <c r="F2475" s="69">
        <v>2524728</v>
      </c>
      <c r="G2475" s="69">
        <f t="shared" ref="G2475:G2487" si="359">F2475/$F$11*$G$11</f>
        <v>3029673.5999999996</v>
      </c>
      <c r="H2475" s="69">
        <f>[3]Salary_Bdgt!$H$470</f>
        <v>2305833</v>
      </c>
      <c r="I2475" s="69">
        <f t="shared" ref="I2475:J2487" si="360">ROUND(H2475*1.08,0)</f>
        <v>2490300</v>
      </c>
      <c r="J2475" s="69">
        <f t="shared" si="360"/>
        <v>2689524</v>
      </c>
      <c r="M2475" s="57"/>
    </row>
    <row r="2476" spans="1:14" x14ac:dyDescent="0.2">
      <c r="A2476" s="75">
        <v>1005</v>
      </c>
      <c r="B2476" s="70" t="s">
        <v>473</v>
      </c>
      <c r="C2476" s="69">
        <v>76892</v>
      </c>
      <c r="D2476" s="69">
        <v>53333</v>
      </c>
      <c r="E2476" s="69">
        <f>+D2476</f>
        <v>53333</v>
      </c>
      <c r="F2476" s="69">
        <v>104569</v>
      </c>
      <c r="G2476" s="69">
        <f t="shared" si="359"/>
        <v>125482.79999999999</v>
      </c>
      <c r="H2476" s="69">
        <f>[3]Salary_Bdgt!$L$470</f>
        <v>102694</v>
      </c>
      <c r="I2476" s="69">
        <f t="shared" si="360"/>
        <v>110910</v>
      </c>
      <c r="J2476" s="69">
        <f t="shared" si="360"/>
        <v>119783</v>
      </c>
      <c r="M2476" s="57"/>
      <c r="N2476" s="125"/>
    </row>
    <row r="2477" spans="1:14" x14ac:dyDescent="0.2">
      <c r="A2477" s="75">
        <v>1006</v>
      </c>
      <c r="B2477" s="70" t="s">
        <v>474</v>
      </c>
      <c r="C2477" s="69">
        <v>443320</v>
      </c>
      <c r="D2477" s="69">
        <v>239302</v>
      </c>
      <c r="E2477" s="69">
        <f>+D2477</f>
        <v>239302</v>
      </c>
      <c r="F2477" s="69">
        <v>487496</v>
      </c>
      <c r="G2477" s="69">
        <f t="shared" si="359"/>
        <v>584995.19999999995</v>
      </c>
      <c r="H2477" s="69">
        <f>[3]Salary_Bdgt!$N$470</f>
        <v>385817</v>
      </c>
      <c r="I2477" s="69">
        <f t="shared" si="360"/>
        <v>416682</v>
      </c>
      <c r="J2477" s="69">
        <f t="shared" si="360"/>
        <v>450017</v>
      </c>
      <c r="M2477" s="57"/>
    </row>
    <row r="2478" spans="1:14" x14ac:dyDescent="0.2">
      <c r="A2478" s="75">
        <v>1007</v>
      </c>
      <c r="B2478" s="70" t="s">
        <v>481</v>
      </c>
      <c r="C2478" s="69">
        <v>28446</v>
      </c>
      <c r="D2478" s="69">
        <v>48113</v>
      </c>
      <c r="E2478" s="69">
        <f>+D2478</f>
        <v>48113</v>
      </c>
      <c r="F2478" s="69">
        <v>31132</v>
      </c>
      <c r="G2478" s="69">
        <f t="shared" si="359"/>
        <v>37358.399999999994</v>
      </c>
      <c r="H2478" s="69">
        <f>[3]Salary_Bdgt!$I$470</f>
        <v>43550</v>
      </c>
      <c r="I2478" s="69">
        <f t="shared" si="360"/>
        <v>47034</v>
      </c>
      <c r="J2478" s="69">
        <f t="shared" si="360"/>
        <v>50797</v>
      </c>
      <c r="M2478" s="57"/>
    </row>
    <row r="2479" spans="1:14" x14ac:dyDescent="0.2">
      <c r="A2479" s="75">
        <v>1009</v>
      </c>
      <c r="B2479" s="70" t="s">
        <v>482</v>
      </c>
      <c r="C2479" s="69">
        <v>1815</v>
      </c>
      <c r="D2479" s="69">
        <v>1536</v>
      </c>
      <c r="E2479" s="69">
        <f>+D2479</f>
        <v>1536</v>
      </c>
      <c r="F2479" s="69">
        <v>1763</v>
      </c>
      <c r="G2479" s="69">
        <f t="shared" si="359"/>
        <v>2115.6000000000004</v>
      </c>
      <c r="H2479" s="69">
        <f>[3]Salary_Bdgt!$M$470</f>
        <v>1620</v>
      </c>
      <c r="I2479" s="69">
        <f t="shared" si="360"/>
        <v>1750</v>
      </c>
      <c r="J2479" s="69">
        <f t="shared" si="360"/>
        <v>1890</v>
      </c>
      <c r="M2479" s="57"/>
    </row>
    <row r="2480" spans="1:14" x14ac:dyDescent="0.2">
      <c r="A2480" s="75">
        <v>1010</v>
      </c>
      <c r="B2480" s="70" t="s">
        <v>28</v>
      </c>
      <c r="C2480" s="69">
        <v>196621</v>
      </c>
      <c r="D2480" s="69">
        <v>197525</v>
      </c>
      <c r="E2480" s="69">
        <f>+D2480</f>
        <v>197525</v>
      </c>
      <c r="F2480" s="69">
        <v>208575</v>
      </c>
      <c r="G2480" s="69">
        <f t="shared" si="359"/>
        <v>250290</v>
      </c>
      <c r="H2480" s="69">
        <f>[3]Salary_Bdgt!$Q$470</f>
        <v>192153</v>
      </c>
      <c r="I2480" s="69">
        <f t="shared" si="360"/>
        <v>207525</v>
      </c>
      <c r="J2480" s="69">
        <f t="shared" si="360"/>
        <v>224127</v>
      </c>
      <c r="M2480" s="57"/>
    </row>
    <row r="2481" spans="1:13" x14ac:dyDescent="0.2">
      <c r="A2481" s="75">
        <v>1011</v>
      </c>
      <c r="B2481" s="70" t="s">
        <v>4045</v>
      </c>
      <c r="C2481" s="69">
        <v>4400</v>
      </c>
      <c r="D2481" s="69">
        <v>0</v>
      </c>
      <c r="E2481" s="69">
        <v>0</v>
      </c>
      <c r="F2481" s="69">
        <v>0</v>
      </c>
      <c r="G2481" s="69">
        <f t="shared" si="359"/>
        <v>0</v>
      </c>
      <c r="H2481" s="69">
        <f>[3]Salary_Bdgt!$U$470</f>
        <v>0</v>
      </c>
      <c r="I2481" s="69">
        <f t="shared" si="360"/>
        <v>0</v>
      </c>
      <c r="J2481" s="69">
        <f t="shared" si="360"/>
        <v>0</v>
      </c>
      <c r="M2481" s="57"/>
    </row>
    <row r="2482" spans="1:13" x14ac:dyDescent="0.2">
      <c r="A2482" s="75">
        <v>1015</v>
      </c>
      <c r="B2482" s="70" t="s">
        <v>445</v>
      </c>
      <c r="C2482" s="69">
        <v>317245</v>
      </c>
      <c r="D2482" s="69">
        <v>408922</v>
      </c>
      <c r="E2482" s="69">
        <f>+D2482</f>
        <v>408922</v>
      </c>
      <c r="F2482" s="69">
        <v>377403</v>
      </c>
      <c r="G2482" s="69">
        <f t="shared" si="359"/>
        <v>452883.60000000003</v>
      </c>
      <c r="H2482" s="69">
        <f>[3]Salary_Bdgt!$O$470+[3]Salary_Bdgt!$P$470+[3]Salary_Bdgt!$W$470</f>
        <v>164832</v>
      </c>
      <c r="I2482" s="69">
        <f t="shared" si="360"/>
        <v>178019</v>
      </c>
      <c r="J2482" s="69">
        <f t="shared" si="360"/>
        <v>192261</v>
      </c>
      <c r="M2482" s="57"/>
    </row>
    <row r="2483" spans="1:13" x14ac:dyDescent="0.2">
      <c r="A2483" s="75">
        <v>1016</v>
      </c>
      <c r="B2483" s="70" t="s">
        <v>475</v>
      </c>
      <c r="C2483" s="69">
        <v>4800</v>
      </c>
      <c r="D2483" s="69">
        <v>37180</v>
      </c>
      <c r="E2483" s="69">
        <f>+D2483</f>
        <v>37180</v>
      </c>
      <c r="F2483" s="69">
        <f>1000+55371</f>
        <v>56371</v>
      </c>
      <c r="G2483" s="69">
        <f t="shared" si="359"/>
        <v>67645.200000000012</v>
      </c>
      <c r="H2483" s="69">
        <f>[3]Salary_Bdgt!$T$470+[3]Salary_Bdgt!$V$470</f>
        <v>104984</v>
      </c>
      <c r="I2483" s="69">
        <f t="shared" si="360"/>
        <v>113383</v>
      </c>
      <c r="J2483" s="69">
        <f t="shared" si="360"/>
        <v>122454</v>
      </c>
      <c r="M2483" s="57"/>
    </row>
    <row r="2484" spans="1:13" x14ac:dyDescent="0.2">
      <c r="A2484" s="75">
        <v>1017</v>
      </c>
      <c r="B2484" s="70" t="s">
        <v>4044</v>
      </c>
      <c r="C2484" s="69">
        <v>32985</v>
      </c>
      <c r="D2484" s="69">
        <v>49943</v>
      </c>
      <c r="E2484" s="69">
        <f>+D2484</f>
        <v>49943</v>
      </c>
      <c r="F2484" s="69">
        <v>16239</v>
      </c>
      <c r="G2484" s="69">
        <f t="shared" si="359"/>
        <v>19486.800000000003</v>
      </c>
      <c r="H2484" s="69">
        <f>[3]Salary_Bdgt!$J$470</f>
        <v>46814</v>
      </c>
      <c r="I2484" s="69">
        <f t="shared" si="360"/>
        <v>50559</v>
      </c>
      <c r="J2484" s="69">
        <f t="shared" si="360"/>
        <v>54604</v>
      </c>
      <c r="M2484" s="57"/>
    </row>
    <row r="2485" spans="1:13" x14ac:dyDescent="0.2">
      <c r="A2485" s="75">
        <v>1046</v>
      </c>
      <c r="B2485" s="70" t="s">
        <v>491</v>
      </c>
      <c r="C2485" s="69">
        <v>0</v>
      </c>
      <c r="D2485" s="69">
        <v>0</v>
      </c>
      <c r="E2485" s="69">
        <v>0</v>
      </c>
      <c r="F2485" s="69">
        <v>0</v>
      </c>
      <c r="G2485" s="69">
        <f t="shared" si="359"/>
        <v>0</v>
      </c>
      <c r="H2485" s="69">
        <f>[3]Salary_Bdgt!$R$470</f>
        <v>0</v>
      </c>
      <c r="I2485" s="69">
        <f t="shared" si="360"/>
        <v>0</v>
      </c>
      <c r="J2485" s="69">
        <f t="shared" si="360"/>
        <v>0</v>
      </c>
      <c r="M2485" s="57"/>
    </row>
    <row r="2486" spans="1:13" x14ac:dyDescent="0.2">
      <c r="A2486" s="75">
        <v>1020</v>
      </c>
      <c r="B2486" s="70" t="s">
        <v>242</v>
      </c>
      <c r="C2486" s="69">
        <v>151396</v>
      </c>
      <c r="D2486" s="69">
        <v>0</v>
      </c>
      <c r="E2486" s="69">
        <f>+D2486</f>
        <v>0</v>
      </c>
      <c r="F2486" s="69">
        <v>127606</v>
      </c>
      <c r="G2486" s="69">
        <f t="shared" si="359"/>
        <v>153127.20000000001</v>
      </c>
      <c r="H2486" s="69">
        <f>ROUND(E2486*1.08,0)</f>
        <v>0</v>
      </c>
      <c r="I2486" s="69">
        <f t="shared" si="360"/>
        <v>0</v>
      </c>
      <c r="J2486" s="69">
        <f t="shared" si="360"/>
        <v>0</v>
      </c>
      <c r="M2486" s="57"/>
    </row>
    <row r="2487" spans="1:13" x14ac:dyDescent="0.2">
      <c r="A2487" s="75">
        <v>1182</v>
      </c>
      <c r="B2487" s="71" t="s">
        <v>1065</v>
      </c>
      <c r="C2487" s="56">
        <v>26858</v>
      </c>
      <c r="D2487" s="56">
        <v>46447</v>
      </c>
      <c r="E2487" s="56">
        <f>+D2487</f>
        <v>46447</v>
      </c>
      <c r="F2487" s="56">
        <v>0</v>
      </c>
      <c r="G2487" s="56">
        <f t="shared" si="359"/>
        <v>0</v>
      </c>
      <c r="H2487" s="56">
        <f>[3]Salary_Bdgt!$K$470</f>
        <v>43537</v>
      </c>
      <c r="I2487" s="56">
        <f t="shared" si="360"/>
        <v>47020</v>
      </c>
      <c r="J2487" s="56">
        <f t="shared" si="360"/>
        <v>50782</v>
      </c>
      <c r="M2487" s="57"/>
    </row>
    <row r="2488" spans="1:13" s="9" customFormat="1" x14ac:dyDescent="0.2">
      <c r="A2488" s="37"/>
      <c r="B2488" s="58" t="s">
        <v>416</v>
      </c>
      <c r="C2488" s="72">
        <f t="shared" ref="C2488:J2488" si="361">SUM(C2475:C2487)</f>
        <v>3686598</v>
      </c>
      <c r="D2488" s="72">
        <f t="shared" si="361"/>
        <v>3452599</v>
      </c>
      <c r="E2488" s="72">
        <f t="shared" si="361"/>
        <v>3452599</v>
      </c>
      <c r="F2488" s="72">
        <f t="shared" si="361"/>
        <v>3935882</v>
      </c>
      <c r="G2488" s="72">
        <f t="shared" si="361"/>
        <v>4723058.3999999994</v>
      </c>
      <c r="H2488" s="72">
        <f t="shared" si="361"/>
        <v>3391834</v>
      </c>
      <c r="I2488" s="72">
        <f t="shared" si="361"/>
        <v>3663182</v>
      </c>
      <c r="J2488" s="72">
        <f t="shared" si="361"/>
        <v>3956239</v>
      </c>
      <c r="M2488" s="57"/>
    </row>
    <row r="2489" spans="1:13" x14ac:dyDescent="0.2">
      <c r="B2489" s="58"/>
      <c r="C2489" s="69"/>
      <c r="D2489" s="69"/>
      <c r="E2489" s="69"/>
      <c r="F2489" s="24"/>
      <c r="G2489" s="69"/>
      <c r="H2489" s="69"/>
      <c r="I2489" s="69"/>
      <c r="J2489" s="69"/>
      <c r="M2489" s="57"/>
    </row>
    <row r="2490" spans="1:13" x14ac:dyDescent="0.2">
      <c r="B2490" s="58" t="s">
        <v>430</v>
      </c>
      <c r="C2490" s="126"/>
      <c r="D2490" s="69"/>
      <c r="E2490" s="69"/>
      <c r="F2490" s="24"/>
      <c r="G2490" s="69"/>
      <c r="H2490" s="69"/>
      <c r="I2490" s="126"/>
      <c r="J2490" s="69"/>
      <c r="M2490" s="57"/>
    </row>
    <row r="2491" spans="1:13" x14ac:dyDescent="0.2">
      <c r="A2491" s="75">
        <v>2500</v>
      </c>
      <c r="B2491" s="71" t="s">
        <v>431</v>
      </c>
      <c r="C2491" s="56">
        <v>1600716</v>
      </c>
      <c r="D2491" s="56">
        <f>600363+259058-2100</f>
        <v>857321</v>
      </c>
      <c r="E2491" s="56">
        <v>857321</v>
      </c>
      <c r="F2491" s="56">
        <v>0</v>
      </c>
      <c r="G2491" s="56">
        <f>F2491/$F$11*$G$11</f>
        <v>0</v>
      </c>
      <c r="H2491" s="56">
        <f>ROUND(G2453*0.25,0)-92568</f>
        <v>1076865</v>
      </c>
      <c r="I2491" s="56">
        <f>ROUND(H2453*0.25,0)-15960</f>
        <v>1266216</v>
      </c>
      <c r="J2491" s="56">
        <f>ROUND(I2453*0.25,0)+26304</f>
        <v>1500807</v>
      </c>
      <c r="M2491" s="57"/>
    </row>
    <row r="2492" spans="1:13" x14ac:dyDescent="0.2">
      <c r="B2492" s="58" t="s">
        <v>432</v>
      </c>
      <c r="C2492" s="72">
        <f t="shared" ref="C2492:J2492" si="362">SUM(C2491)</f>
        <v>1600716</v>
      </c>
      <c r="D2492" s="72">
        <f t="shared" si="362"/>
        <v>857321</v>
      </c>
      <c r="E2492" s="72">
        <f t="shared" si="362"/>
        <v>857321</v>
      </c>
      <c r="F2492" s="72">
        <f t="shared" si="362"/>
        <v>0</v>
      </c>
      <c r="G2492" s="72">
        <f t="shared" si="362"/>
        <v>0</v>
      </c>
      <c r="H2492" s="72">
        <f t="shared" si="362"/>
        <v>1076865</v>
      </c>
      <c r="I2492" s="72">
        <f t="shared" si="362"/>
        <v>1266216</v>
      </c>
      <c r="J2492" s="72">
        <f t="shared" si="362"/>
        <v>1500807</v>
      </c>
      <c r="M2492" s="57"/>
    </row>
    <row r="2493" spans="1:13" x14ac:dyDescent="0.2">
      <c r="B2493" s="58"/>
      <c r="C2493" s="69"/>
      <c r="D2493" s="69"/>
      <c r="E2493" s="69"/>
      <c r="G2493" s="69"/>
      <c r="H2493" s="69"/>
      <c r="I2493" s="69"/>
      <c r="J2493" s="69"/>
      <c r="M2493" s="57"/>
    </row>
    <row r="2494" spans="1:13" x14ac:dyDescent="0.2">
      <c r="B2494" s="58" t="s">
        <v>425</v>
      </c>
      <c r="C2494" s="69"/>
      <c r="D2494" s="69"/>
      <c r="E2494" s="69"/>
      <c r="G2494" s="69"/>
      <c r="H2494" s="69"/>
      <c r="I2494" s="69"/>
      <c r="J2494" s="69"/>
      <c r="M2494" s="57"/>
    </row>
    <row r="2495" spans="1:13" x14ac:dyDescent="0.2">
      <c r="A2495" s="101">
        <v>4002</v>
      </c>
      <c r="B2495" s="71" t="s">
        <v>20</v>
      </c>
      <c r="C2495" s="56">
        <v>476943</v>
      </c>
      <c r="D2495" s="56">
        <f>88264+101478</f>
        <v>189742</v>
      </c>
      <c r="E2495" s="56">
        <v>189742</v>
      </c>
      <c r="F2495" s="56">
        <v>168000</v>
      </c>
      <c r="G2495" s="56">
        <f>+F2495</f>
        <v>168000</v>
      </c>
      <c r="H2495" s="56">
        <v>197033</v>
      </c>
      <c r="I2495" s="56">
        <v>163186</v>
      </c>
      <c r="J2495" s="56">
        <v>124910</v>
      </c>
      <c r="M2495" s="57"/>
    </row>
    <row r="2496" spans="1:13" x14ac:dyDescent="0.2">
      <c r="B2496" s="58" t="s">
        <v>426</v>
      </c>
      <c r="C2496" s="72">
        <f t="shared" ref="C2496:J2496" si="363">SUM(C2495)</f>
        <v>476943</v>
      </c>
      <c r="D2496" s="72">
        <f t="shared" si="363"/>
        <v>189742</v>
      </c>
      <c r="E2496" s="72">
        <f t="shared" si="363"/>
        <v>189742</v>
      </c>
      <c r="F2496" s="72">
        <f t="shared" si="363"/>
        <v>168000</v>
      </c>
      <c r="G2496" s="72">
        <f t="shared" si="363"/>
        <v>168000</v>
      </c>
      <c r="H2496" s="72">
        <f t="shared" si="363"/>
        <v>197033</v>
      </c>
      <c r="I2496" s="72">
        <f t="shared" si="363"/>
        <v>163186</v>
      </c>
      <c r="J2496" s="72">
        <f t="shared" si="363"/>
        <v>124910</v>
      </c>
      <c r="M2496" s="57"/>
    </row>
    <row r="2497" spans="1:13" x14ac:dyDescent="0.2">
      <c r="B2497" s="58"/>
      <c r="C2497" s="69"/>
      <c r="D2497" s="69"/>
      <c r="E2497" s="69"/>
      <c r="G2497" s="69"/>
      <c r="H2497" s="69"/>
      <c r="I2497" s="69"/>
      <c r="J2497" s="69"/>
      <c r="M2497" s="57"/>
    </row>
    <row r="2498" spans="1:13" x14ac:dyDescent="0.2">
      <c r="B2498" s="58" t="s">
        <v>4021</v>
      </c>
      <c r="C2498" s="69"/>
      <c r="D2498" s="69"/>
      <c r="E2498" s="69"/>
      <c r="G2498" s="69"/>
      <c r="H2498" s="69"/>
      <c r="I2498" s="69"/>
      <c r="J2498" s="69"/>
      <c r="M2498" s="57"/>
    </row>
    <row r="2499" spans="1:13" x14ac:dyDescent="0.2">
      <c r="A2499" s="60">
        <v>3205</v>
      </c>
      <c r="B2499" s="70" t="s">
        <v>446</v>
      </c>
      <c r="C2499" s="69">
        <v>238</v>
      </c>
      <c r="D2499" s="69">
        <v>21000</v>
      </c>
      <c r="E2499" s="69">
        <v>21000</v>
      </c>
      <c r="F2499" s="69">
        <v>1071</v>
      </c>
      <c r="G2499" s="69">
        <f>F2499/$F$11*$G$11</f>
        <v>1285.1999999999998</v>
      </c>
      <c r="H2499" s="69">
        <f>ROUND(E2499*1.05,0)</f>
        <v>22050</v>
      </c>
      <c r="I2499" s="69">
        <f t="shared" ref="I2499:J2503" si="364">ROUND(H2499*1.06,0)</f>
        <v>23373</v>
      </c>
      <c r="J2499" s="69">
        <f t="shared" si="364"/>
        <v>24775</v>
      </c>
      <c r="M2499" s="57"/>
    </row>
    <row r="2500" spans="1:13" x14ac:dyDescent="0.2">
      <c r="A2500" s="75">
        <v>3206</v>
      </c>
      <c r="B2500" s="70" t="s">
        <v>39</v>
      </c>
      <c r="C2500" s="69">
        <v>1088</v>
      </c>
      <c r="D2500" s="69">
        <v>24150</v>
      </c>
      <c r="E2500" s="69">
        <v>24150</v>
      </c>
      <c r="F2500" s="69">
        <v>214</v>
      </c>
      <c r="G2500" s="69">
        <f>F2500/$F$11*$G$11</f>
        <v>256.79999999999995</v>
      </c>
      <c r="H2500" s="69">
        <f>ROUND(E2500*1.05,0)</f>
        <v>25358</v>
      </c>
      <c r="I2500" s="69">
        <f t="shared" si="364"/>
        <v>26879</v>
      </c>
      <c r="J2500" s="69">
        <f t="shared" si="364"/>
        <v>28492</v>
      </c>
      <c r="M2500" s="57"/>
    </row>
    <row r="2501" spans="1:13" x14ac:dyDescent="0.2">
      <c r="A2501" s="60">
        <v>3215</v>
      </c>
      <c r="B2501" s="70" t="s">
        <v>42</v>
      </c>
      <c r="C2501" s="69">
        <v>48596</v>
      </c>
      <c r="D2501" s="69">
        <v>341250</v>
      </c>
      <c r="E2501" s="69">
        <f>341250-100000</f>
        <v>241250</v>
      </c>
      <c r="F2501" s="69">
        <v>37804</v>
      </c>
      <c r="G2501" s="69">
        <f>F2501/$F$11*$G$11</f>
        <v>45364.800000000003</v>
      </c>
      <c r="H2501" s="69">
        <v>0</v>
      </c>
      <c r="I2501" s="69">
        <f t="shared" si="364"/>
        <v>0</v>
      </c>
      <c r="J2501" s="69">
        <f t="shared" si="364"/>
        <v>0</v>
      </c>
      <c r="M2501" s="57"/>
    </row>
    <row r="2502" spans="1:13" x14ac:dyDescent="0.2">
      <c r="A2502" s="75">
        <v>3293</v>
      </c>
      <c r="B2502" s="70" t="s">
        <v>443</v>
      </c>
      <c r="C2502" s="69">
        <v>108752</v>
      </c>
      <c r="D2502" s="69">
        <v>105000</v>
      </c>
      <c r="E2502" s="69">
        <v>105000</v>
      </c>
      <c r="F2502" s="69">
        <v>51609</v>
      </c>
      <c r="G2502" s="69">
        <f>F2502/$F$11*$G$11</f>
        <v>61930.799999999996</v>
      </c>
      <c r="H2502" s="69">
        <f>ROUND(E2502*1.05,0)</f>
        <v>110250</v>
      </c>
      <c r="I2502" s="69">
        <f t="shared" si="364"/>
        <v>116865</v>
      </c>
      <c r="J2502" s="69">
        <f t="shared" si="364"/>
        <v>123877</v>
      </c>
      <c r="M2502" s="57"/>
    </row>
    <row r="2503" spans="1:13" x14ac:dyDescent="0.2">
      <c r="A2503" s="75">
        <v>3378</v>
      </c>
      <c r="B2503" s="71" t="s">
        <v>447</v>
      </c>
      <c r="C2503" s="56">
        <v>118096</v>
      </c>
      <c r="D2503" s="56">
        <v>157500</v>
      </c>
      <c r="E2503" s="56">
        <v>157500</v>
      </c>
      <c r="F2503" s="56">
        <v>29213</v>
      </c>
      <c r="G2503" s="56">
        <f>F2503/$F$11*$G$11</f>
        <v>35055.600000000006</v>
      </c>
      <c r="H2503" s="56">
        <f>ROUND(E2503*1.05,0)</f>
        <v>165375</v>
      </c>
      <c r="I2503" s="56">
        <f t="shared" si="364"/>
        <v>175298</v>
      </c>
      <c r="J2503" s="56">
        <f t="shared" si="364"/>
        <v>185816</v>
      </c>
      <c r="M2503" s="57"/>
    </row>
    <row r="2504" spans="1:13" x14ac:dyDescent="0.2">
      <c r="B2504" s="58" t="s">
        <v>417</v>
      </c>
      <c r="C2504" s="72">
        <f>SUM(C2499:C2503)</f>
        <v>276770</v>
      </c>
      <c r="D2504" s="72">
        <f t="shared" ref="D2504:J2504" si="365">SUM(D2499:D2503)</f>
        <v>648900</v>
      </c>
      <c r="E2504" s="72">
        <f t="shared" si="365"/>
        <v>548900</v>
      </c>
      <c r="F2504" s="72">
        <f t="shared" si="365"/>
        <v>119911</v>
      </c>
      <c r="G2504" s="72">
        <f t="shared" si="365"/>
        <v>143893.20000000001</v>
      </c>
      <c r="H2504" s="72">
        <f t="shared" si="365"/>
        <v>323033</v>
      </c>
      <c r="I2504" s="72">
        <f t="shared" si="365"/>
        <v>342415</v>
      </c>
      <c r="J2504" s="72">
        <f t="shared" si="365"/>
        <v>362960</v>
      </c>
      <c r="M2504" s="57"/>
    </row>
    <row r="2505" spans="1:13" x14ac:dyDescent="0.2">
      <c r="B2505" s="58"/>
      <c r="C2505" s="72"/>
      <c r="D2505" s="72"/>
      <c r="E2505" s="72"/>
      <c r="G2505" s="69"/>
      <c r="H2505" s="69"/>
      <c r="I2505" s="72"/>
      <c r="J2505" s="72"/>
      <c r="M2505" s="57"/>
    </row>
    <row r="2506" spans="1:13" x14ac:dyDescent="0.2">
      <c r="B2506" s="58"/>
      <c r="C2506" s="72"/>
      <c r="D2506" s="72"/>
      <c r="E2506" s="72"/>
      <c r="G2506" s="69"/>
      <c r="H2506" s="69"/>
      <c r="I2506" s="72"/>
      <c r="J2506" s="72"/>
      <c r="M2506" s="57"/>
    </row>
    <row r="2507" spans="1:13" x14ac:dyDescent="0.2">
      <c r="B2507" s="58"/>
      <c r="C2507" s="72"/>
      <c r="D2507" s="72"/>
      <c r="E2507" s="72"/>
      <c r="G2507" s="69"/>
      <c r="H2507" s="69"/>
      <c r="I2507" s="72"/>
      <c r="J2507" s="72"/>
      <c r="M2507" s="57"/>
    </row>
    <row r="2508" spans="1:13" x14ac:dyDescent="0.2">
      <c r="B2508" s="58"/>
      <c r="C2508" s="72"/>
      <c r="D2508" s="72"/>
      <c r="E2508" s="72"/>
      <c r="G2508" s="69"/>
      <c r="H2508" s="69"/>
      <c r="I2508" s="72"/>
      <c r="J2508" s="72"/>
      <c r="M2508" s="57"/>
    </row>
    <row r="2509" spans="1:13" x14ac:dyDescent="0.2">
      <c r="B2509" s="58"/>
      <c r="C2509" s="72"/>
      <c r="D2509" s="72"/>
      <c r="E2509" s="72"/>
      <c r="G2509" s="69"/>
      <c r="H2509" s="69"/>
      <c r="I2509" s="72"/>
      <c r="J2509" s="72"/>
      <c r="M2509" s="57"/>
    </row>
    <row r="2510" spans="1:13" x14ac:dyDescent="0.2">
      <c r="B2510" s="58"/>
      <c r="C2510" s="72"/>
      <c r="D2510" s="72"/>
      <c r="E2510" s="72"/>
      <c r="G2510" s="69"/>
      <c r="H2510" s="69"/>
      <c r="I2510" s="72"/>
      <c r="J2510" s="72"/>
      <c r="M2510" s="57"/>
    </row>
    <row r="2511" spans="1:13" x14ac:dyDescent="0.2">
      <c r="B2511" s="58"/>
      <c r="C2511" s="72"/>
      <c r="D2511" s="72"/>
      <c r="E2511" s="72"/>
      <c r="G2511" s="69"/>
      <c r="H2511" s="69"/>
      <c r="I2511" s="72"/>
      <c r="J2511" s="72"/>
      <c r="M2511" s="57"/>
    </row>
    <row r="2512" spans="1:13" x14ac:dyDescent="0.2">
      <c r="B2512" s="58"/>
      <c r="C2512" s="72"/>
      <c r="D2512" s="72"/>
      <c r="E2512" s="72"/>
      <c r="G2512" s="69"/>
      <c r="H2512" s="69"/>
      <c r="I2512" s="72"/>
      <c r="J2512" s="72"/>
      <c r="M2512" s="57"/>
    </row>
    <row r="2513" spans="1:13" x14ac:dyDescent="0.2">
      <c r="B2513" s="58"/>
      <c r="C2513" s="72"/>
      <c r="D2513" s="72"/>
      <c r="E2513" s="72"/>
      <c r="G2513" s="69"/>
      <c r="H2513" s="69"/>
      <c r="I2513" s="72"/>
      <c r="J2513" s="72"/>
      <c r="M2513" s="57"/>
    </row>
    <row r="2514" spans="1:13" x14ac:dyDescent="0.2">
      <c r="B2514" s="58"/>
      <c r="C2514" s="72"/>
      <c r="D2514" s="72"/>
      <c r="E2514" s="72"/>
      <c r="G2514" s="69"/>
      <c r="H2514" s="69"/>
      <c r="I2514" s="72"/>
      <c r="J2514" s="72"/>
      <c r="M2514" s="57"/>
    </row>
    <row r="2515" spans="1:13" x14ac:dyDescent="0.2">
      <c r="B2515" s="58"/>
      <c r="C2515" s="72"/>
      <c r="D2515" s="72"/>
      <c r="E2515" s="72"/>
      <c r="G2515" s="69"/>
      <c r="H2515" s="69"/>
      <c r="I2515" s="72"/>
      <c r="J2515" s="72"/>
      <c r="M2515" s="57"/>
    </row>
    <row r="2516" spans="1:13" x14ac:dyDescent="0.2">
      <c r="G2516" s="69"/>
      <c r="H2516" s="69"/>
      <c r="M2516" s="57"/>
    </row>
    <row r="2517" spans="1:13" x14ac:dyDescent="0.2">
      <c r="A2517" s="6"/>
      <c r="B2517" s="6"/>
      <c r="C2517" s="6"/>
      <c r="D2517" s="6"/>
      <c r="E2517" s="6"/>
      <c r="G2517" s="69"/>
      <c r="H2517" s="69"/>
      <c r="I2517" s="6"/>
      <c r="J2517" s="6"/>
      <c r="M2517" s="57"/>
    </row>
    <row r="2518" spans="1:13" x14ac:dyDescent="0.2">
      <c r="A2518" s="6"/>
      <c r="B2518" s="6"/>
      <c r="C2518" s="6"/>
      <c r="D2518" s="6"/>
      <c r="E2518" s="6"/>
      <c r="G2518" s="69"/>
      <c r="H2518" s="69"/>
      <c r="I2518" s="6"/>
      <c r="J2518" s="6"/>
      <c r="M2518" s="57"/>
    </row>
    <row r="2519" spans="1:13" x14ac:dyDescent="0.2">
      <c r="A2519" s="6"/>
      <c r="B2519" s="6"/>
      <c r="C2519" s="6"/>
      <c r="D2519" s="6"/>
      <c r="E2519" s="6"/>
      <c r="G2519" s="69"/>
      <c r="H2519" s="69"/>
      <c r="I2519" s="6"/>
      <c r="J2519" s="6"/>
      <c r="M2519" s="57"/>
    </row>
    <row r="2520" spans="1:13" x14ac:dyDescent="0.2">
      <c r="A2520" s="6"/>
      <c r="B2520" s="6"/>
      <c r="C2520" s="6"/>
      <c r="D2520" s="6"/>
      <c r="E2520" s="6"/>
      <c r="G2520" s="69"/>
      <c r="H2520" s="69"/>
      <c r="I2520" s="6"/>
      <c r="J2520" s="6"/>
      <c r="M2520" s="57"/>
    </row>
    <row r="2521" spans="1:13" x14ac:dyDescent="0.2">
      <c r="A2521" s="6"/>
      <c r="B2521" s="6"/>
      <c r="C2521" s="6"/>
      <c r="D2521" s="6"/>
      <c r="E2521" s="6"/>
      <c r="G2521" s="69"/>
      <c r="H2521" s="69"/>
      <c r="I2521" s="6"/>
      <c r="J2521" s="6"/>
      <c r="M2521" s="57"/>
    </row>
    <row r="2522" spans="1:13" ht="15" x14ac:dyDescent="0.25">
      <c r="A2522" s="91">
        <v>1910</v>
      </c>
      <c r="B2522" s="48" t="s">
        <v>4113</v>
      </c>
      <c r="C2522" s="72"/>
      <c r="D2522" s="72"/>
      <c r="E2522" s="72"/>
      <c r="G2522" s="69"/>
      <c r="H2522" s="69"/>
      <c r="I2522" s="72"/>
      <c r="J2522" s="72"/>
      <c r="M2522" s="57"/>
    </row>
    <row r="2523" spans="1:13" x14ac:dyDescent="0.2">
      <c r="B2523" s="58"/>
      <c r="C2523" s="72"/>
      <c r="D2523" s="72"/>
      <c r="E2523" s="72"/>
      <c r="G2523" s="69"/>
      <c r="H2523" s="69"/>
      <c r="I2523" s="72"/>
      <c r="J2523" s="72"/>
      <c r="M2523" s="57"/>
    </row>
    <row r="2524" spans="1:13" x14ac:dyDescent="0.2">
      <c r="B2524" s="58" t="s">
        <v>435</v>
      </c>
      <c r="C2524" s="69"/>
      <c r="D2524" s="69"/>
      <c r="E2524" s="69"/>
      <c r="F2524" s="24"/>
      <c r="G2524" s="69"/>
      <c r="H2524" s="69"/>
      <c r="I2524" s="69"/>
      <c r="J2524" s="69"/>
      <c r="M2524" s="57"/>
    </row>
    <row r="2525" spans="1:13" x14ac:dyDescent="0.2">
      <c r="A2525" s="60">
        <v>2113</v>
      </c>
      <c r="B2525" s="70" t="s">
        <v>21</v>
      </c>
      <c r="C2525" s="69">
        <v>0</v>
      </c>
      <c r="D2525" s="69">
        <v>10500</v>
      </c>
      <c r="E2525" s="69">
        <v>10500</v>
      </c>
      <c r="F2525" s="69">
        <v>0</v>
      </c>
      <c r="G2525" s="69">
        <f t="shared" ref="G2525:G2540" si="366">F2525/$F$11*$G$11</f>
        <v>0</v>
      </c>
      <c r="H2525" s="69">
        <f t="shared" ref="H2525:H2530" si="367">ROUND(E2525*1.05,0)</f>
        <v>11025</v>
      </c>
      <c r="I2525" s="69">
        <f t="shared" ref="I2525:J2540" si="368">ROUND(H2525*1.06,0)</f>
        <v>11687</v>
      </c>
      <c r="J2525" s="69">
        <f t="shared" si="368"/>
        <v>12388</v>
      </c>
      <c r="M2525" s="57"/>
    </row>
    <row r="2526" spans="1:13" x14ac:dyDescent="0.2">
      <c r="A2526" s="75">
        <v>2116</v>
      </c>
      <c r="B2526" s="70" t="s">
        <v>30</v>
      </c>
      <c r="C2526" s="69">
        <v>0</v>
      </c>
      <c r="D2526" s="69">
        <v>195000</v>
      </c>
      <c r="E2526" s="69">
        <v>195000</v>
      </c>
      <c r="F2526" s="69">
        <v>0</v>
      </c>
      <c r="G2526" s="69">
        <f t="shared" si="366"/>
        <v>0</v>
      </c>
      <c r="H2526" s="69">
        <f t="shared" si="367"/>
        <v>204750</v>
      </c>
      <c r="I2526" s="69">
        <f t="shared" si="368"/>
        <v>217035</v>
      </c>
      <c r="J2526" s="69">
        <f t="shared" si="368"/>
        <v>230057</v>
      </c>
      <c r="M2526" s="57"/>
    </row>
    <row r="2527" spans="1:13" x14ac:dyDescent="0.2">
      <c r="A2527" s="60">
        <v>2212</v>
      </c>
      <c r="B2527" s="70" t="s">
        <v>488</v>
      </c>
      <c r="C2527" s="69">
        <v>41</v>
      </c>
      <c r="D2527" s="69">
        <v>2100</v>
      </c>
      <c r="E2527" s="69">
        <v>2100</v>
      </c>
      <c r="F2527" s="69">
        <v>0</v>
      </c>
      <c r="G2527" s="69">
        <f t="shared" si="366"/>
        <v>0</v>
      </c>
      <c r="H2527" s="69">
        <f t="shared" si="367"/>
        <v>2205</v>
      </c>
      <c r="I2527" s="69">
        <f t="shared" si="368"/>
        <v>2337</v>
      </c>
      <c r="J2527" s="69">
        <f t="shared" si="368"/>
        <v>2477</v>
      </c>
      <c r="M2527" s="57"/>
    </row>
    <row r="2528" spans="1:13" x14ac:dyDescent="0.2">
      <c r="A2528" s="75">
        <v>2217</v>
      </c>
      <c r="B2528" s="70" t="s">
        <v>252</v>
      </c>
      <c r="C2528" s="69">
        <v>16793</v>
      </c>
      <c r="D2528" s="69">
        <v>21000</v>
      </c>
      <c r="E2528" s="69">
        <v>21000</v>
      </c>
      <c r="F2528" s="69">
        <v>25300</v>
      </c>
      <c r="G2528" s="69">
        <f t="shared" si="366"/>
        <v>30360</v>
      </c>
      <c r="H2528" s="69">
        <f t="shared" si="367"/>
        <v>22050</v>
      </c>
      <c r="I2528" s="69">
        <f t="shared" si="368"/>
        <v>23373</v>
      </c>
      <c r="J2528" s="69">
        <f t="shared" si="368"/>
        <v>24775</v>
      </c>
      <c r="M2528" s="57"/>
    </row>
    <row r="2529" spans="1:13" x14ac:dyDescent="0.2">
      <c r="A2529" s="60">
        <v>2224</v>
      </c>
      <c r="B2529" s="70" t="s">
        <v>2954</v>
      </c>
      <c r="C2529" s="69">
        <v>1238</v>
      </c>
      <c r="D2529" s="69">
        <v>1659</v>
      </c>
      <c r="E2529" s="69">
        <v>1659</v>
      </c>
      <c r="F2529" s="69">
        <v>0</v>
      </c>
      <c r="G2529" s="69">
        <f t="shared" si="366"/>
        <v>0</v>
      </c>
      <c r="H2529" s="69">
        <f t="shared" si="367"/>
        <v>1742</v>
      </c>
      <c r="I2529" s="69">
        <f t="shared" si="368"/>
        <v>1847</v>
      </c>
      <c r="J2529" s="69">
        <f t="shared" si="368"/>
        <v>1958</v>
      </c>
      <c r="M2529" s="57"/>
    </row>
    <row r="2530" spans="1:13" x14ac:dyDescent="0.2">
      <c r="A2530" s="75">
        <v>2227</v>
      </c>
      <c r="B2530" s="70" t="s">
        <v>448</v>
      </c>
      <c r="C2530" s="69">
        <v>74</v>
      </c>
      <c r="D2530" s="69">
        <v>15750</v>
      </c>
      <c r="E2530" s="69">
        <v>15750</v>
      </c>
      <c r="F2530" s="69">
        <v>8206</v>
      </c>
      <c r="G2530" s="69">
        <f t="shared" si="366"/>
        <v>9847.2000000000007</v>
      </c>
      <c r="H2530" s="69">
        <f t="shared" si="367"/>
        <v>16538</v>
      </c>
      <c r="I2530" s="69">
        <f t="shared" si="368"/>
        <v>17530</v>
      </c>
      <c r="J2530" s="69">
        <f t="shared" si="368"/>
        <v>18582</v>
      </c>
      <c r="M2530" s="57"/>
    </row>
    <row r="2531" spans="1:13" x14ac:dyDescent="0.2">
      <c r="A2531" s="75">
        <v>2233</v>
      </c>
      <c r="B2531" s="70" t="s">
        <v>497</v>
      </c>
      <c r="C2531" s="69">
        <v>0</v>
      </c>
      <c r="D2531" s="69">
        <v>10500</v>
      </c>
      <c r="E2531" s="69">
        <v>10500</v>
      </c>
      <c r="F2531" s="69">
        <v>0</v>
      </c>
      <c r="G2531" s="69">
        <f t="shared" si="366"/>
        <v>0</v>
      </c>
      <c r="H2531" s="69">
        <v>0</v>
      </c>
      <c r="I2531" s="69">
        <f t="shared" si="368"/>
        <v>0</v>
      </c>
      <c r="J2531" s="69">
        <f t="shared" si="368"/>
        <v>0</v>
      </c>
      <c r="M2531" s="57"/>
    </row>
    <row r="2532" spans="1:13" x14ac:dyDescent="0.2">
      <c r="A2532" s="75">
        <v>2238</v>
      </c>
      <c r="B2532" s="70" t="s">
        <v>479</v>
      </c>
      <c r="C2532" s="69">
        <v>585</v>
      </c>
      <c r="D2532" s="69">
        <v>10500</v>
      </c>
      <c r="E2532" s="69">
        <v>10500</v>
      </c>
      <c r="F2532" s="69">
        <v>4563</v>
      </c>
      <c r="G2532" s="69">
        <f t="shared" si="366"/>
        <v>5475.6</v>
      </c>
      <c r="H2532" s="69">
        <f t="shared" ref="H2532:H2538" si="369">ROUND(E2532*1.05,0)</f>
        <v>11025</v>
      </c>
      <c r="I2532" s="69">
        <f t="shared" si="368"/>
        <v>11687</v>
      </c>
      <c r="J2532" s="69">
        <f t="shared" si="368"/>
        <v>12388</v>
      </c>
      <c r="M2532" s="57"/>
    </row>
    <row r="2533" spans="1:13" x14ac:dyDescent="0.2">
      <c r="A2533" s="75">
        <v>2244</v>
      </c>
      <c r="B2533" s="70" t="s">
        <v>4109</v>
      </c>
      <c r="C2533" s="69">
        <v>0</v>
      </c>
      <c r="D2533" s="69">
        <v>5250</v>
      </c>
      <c r="E2533" s="69">
        <v>5250</v>
      </c>
      <c r="F2533" s="69">
        <v>977</v>
      </c>
      <c r="G2533" s="69">
        <f t="shared" si="366"/>
        <v>1172.4000000000001</v>
      </c>
      <c r="H2533" s="69">
        <f t="shared" si="369"/>
        <v>5513</v>
      </c>
      <c r="I2533" s="69">
        <f t="shared" si="368"/>
        <v>5844</v>
      </c>
      <c r="J2533" s="69">
        <f t="shared" si="368"/>
        <v>6195</v>
      </c>
      <c r="M2533" s="57"/>
    </row>
    <row r="2534" spans="1:13" x14ac:dyDescent="0.2">
      <c r="A2534" s="60">
        <v>2246</v>
      </c>
      <c r="B2534" s="70" t="s">
        <v>2422</v>
      </c>
      <c r="C2534" s="69">
        <v>0</v>
      </c>
      <c r="D2534" s="69">
        <v>25650</v>
      </c>
      <c r="E2534" s="69">
        <v>25650</v>
      </c>
      <c r="F2534" s="69">
        <v>0</v>
      </c>
      <c r="G2534" s="69">
        <f t="shared" si="366"/>
        <v>0</v>
      </c>
      <c r="H2534" s="69">
        <f t="shared" si="369"/>
        <v>26933</v>
      </c>
      <c r="I2534" s="69">
        <f t="shared" si="368"/>
        <v>28549</v>
      </c>
      <c r="J2534" s="69">
        <f t="shared" si="368"/>
        <v>30262</v>
      </c>
      <c r="M2534" s="57"/>
    </row>
    <row r="2535" spans="1:13" x14ac:dyDescent="0.2">
      <c r="A2535" s="75">
        <v>2249</v>
      </c>
      <c r="B2535" s="70" t="s">
        <v>2955</v>
      </c>
      <c r="C2535" s="69">
        <v>29216</v>
      </c>
      <c r="D2535" s="69">
        <v>63000</v>
      </c>
      <c r="E2535" s="69">
        <v>63000</v>
      </c>
      <c r="F2535" s="69">
        <v>61023</v>
      </c>
      <c r="G2535" s="69">
        <f t="shared" si="366"/>
        <v>73227.600000000006</v>
      </c>
      <c r="H2535" s="69">
        <f t="shared" si="369"/>
        <v>66150</v>
      </c>
      <c r="I2535" s="69">
        <f t="shared" si="368"/>
        <v>70119</v>
      </c>
      <c r="J2535" s="69">
        <f t="shared" si="368"/>
        <v>74326</v>
      </c>
      <c r="M2535" s="57"/>
    </row>
    <row r="2536" spans="1:13" x14ac:dyDescent="0.2">
      <c r="A2536" s="60">
        <v>2252</v>
      </c>
      <c r="B2536" s="70" t="s">
        <v>4052</v>
      </c>
      <c r="C2536" s="69">
        <v>0</v>
      </c>
      <c r="D2536" s="69">
        <v>24150</v>
      </c>
      <c r="E2536" s="69">
        <v>24150</v>
      </c>
      <c r="F2536" s="69">
        <v>0</v>
      </c>
      <c r="G2536" s="69">
        <f t="shared" si="366"/>
        <v>0</v>
      </c>
      <c r="H2536" s="69">
        <f t="shared" si="369"/>
        <v>25358</v>
      </c>
      <c r="I2536" s="69">
        <f t="shared" si="368"/>
        <v>26879</v>
      </c>
      <c r="J2536" s="69">
        <f t="shared" si="368"/>
        <v>28492</v>
      </c>
      <c r="M2536" s="57"/>
    </row>
    <row r="2537" spans="1:13" x14ac:dyDescent="0.2">
      <c r="A2537" s="60">
        <v>2256</v>
      </c>
      <c r="B2537" s="70" t="s">
        <v>4054</v>
      </c>
      <c r="C2537" s="69">
        <v>137184</v>
      </c>
      <c r="D2537" s="69">
        <v>427438</v>
      </c>
      <c r="E2537" s="69">
        <v>427438</v>
      </c>
      <c r="F2537" s="69">
        <v>14003</v>
      </c>
      <c r="G2537" s="69">
        <f t="shared" si="366"/>
        <v>16803.599999999999</v>
      </c>
      <c r="H2537" s="69">
        <f t="shared" si="369"/>
        <v>448810</v>
      </c>
      <c r="I2537" s="69">
        <f t="shared" si="368"/>
        <v>475739</v>
      </c>
      <c r="J2537" s="69">
        <f t="shared" si="368"/>
        <v>504283</v>
      </c>
      <c r="M2537" s="57"/>
    </row>
    <row r="2538" spans="1:13" x14ac:dyDescent="0.2">
      <c r="A2538" s="75">
        <v>2305</v>
      </c>
      <c r="B2538" s="70" t="s">
        <v>31</v>
      </c>
      <c r="C2538" s="69">
        <v>4377</v>
      </c>
      <c r="D2538" s="69">
        <v>1050</v>
      </c>
      <c r="E2538" s="69">
        <v>1050</v>
      </c>
      <c r="F2538" s="69">
        <v>1191</v>
      </c>
      <c r="G2538" s="69">
        <f t="shared" si="366"/>
        <v>1429.1999999999998</v>
      </c>
      <c r="H2538" s="69">
        <f t="shared" si="369"/>
        <v>1103</v>
      </c>
      <c r="I2538" s="69">
        <f t="shared" si="368"/>
        <v>1169</v>
      </c>
      <c r="J2538" s="69">
        <f t="shared" si="368"/>
        <v>1239</v>
      </c>
      <c r="M2538" s="57"/>
    </row>
    <row r="2539" spans="1:13" s="9" customFormat="1" x14ac:dyDescent="0.2">
      <c r="A2539" s="75">
        <v>2219</v>
      </c>
      <c r="B2539" s="70" t="s">
        <v>1075</v>
      </c>
      <c r="C2539" s="69">
        <v>1163577</v>
      </c>
      <c r="D2539" s="69">
        <v>1218900</v>
      </c>
      <c r="E2539" s="69">
        <v>1218900</v>
      </c>
      <c r="F2539" s="69">
        <v>0</v>
      </c>
      <c r="G2539" s="69">
        <f t="shared" si="366"/>
        <v>0</v>
      </c>
      <c r="H2539" s="69">
        <f>ROUND(1866539*1.05,0)</f>
        <v>1959866</v>
      </c>
      <c r="I2539" s="69">
        <f t="shared" si="368"/>
        <v>2077458</v>
      </c>
      <c r="J2539" s="69">
        <f t="shared" si="368"/>
        <v>2202105</v>
      </c>
      <c r="M2539" s="57"/>
    </row>
    <row r="2540" spans="1:13" x14ac:dyDescent="0.2">
      <c r="A2540" s="75"/>
      <c r="B2540" s="71" t="s">
        <v>241</v>
      </c>
      <c r="C2540" s="56">
        <v>0</v>
      </c>
      <c r="D2540" s="56">
        <v>31500</v>
      </c>
      <c r="E2540" s="56">
        <v>31500</v>
      </c>
      <c r="F2540" s="56">
        <v>0</v>
      </c>
      <c r="G2540" s="56">
        <f t="shared" si="366"/>
        <v>0</v>
      </c>
      <c r="H2540" s="56">
        <f>ROUND(E2540*1.05,0)</f>
        <v>33075</v>
      </c>
      <c r="I2540" s="56">
        <f t="shared" si="368"/>
        <v>35060</v>
      </c>
      <c r="J2540" s="56">
        <f t="shared" si="368"/>
        <v>37164</v>
      </c>
      <c r="M2540" s="57"/>
    </row>
    <row r="2541" spans="1:13" x14ac:dyDescent="0.2">
      <c r="B2541" s="58" t="s">
        <v>436</v>
      </c>
      <c r="C2541" s="72">
        <f t="shared" ref="C2541:J2541" si="370">SUM(C2525:C2540)</f>
        <v>1353085</v>
      </c>
      <c r="D2541" s="72">
        <f t="shared" si="370"/>
        <v>2063947</v>
      </c>
      <c r="E2541" s="72">
        <f t="shared" si="370"/>
        <v>2063947</v>
      </c>
      <c r="F2541" s="72">
        <f t="shared" si="370"/>
        <v>115263</v>
      </c>
      <c r="G2541" s="72">
        <f t="shared" si="370"/>
        <v>138315.6</v>
      </c>
      <c r="H2541" s="72">
        <f t="shared" si="370"/>
        <v>2836143</v>
      </c>
      <c r="I2541" s="72">
        <f t="shared" si="370"/>
        <v>3006313</v>
      </c>
      <c r="J2541" s="72">
        <f t="shared" si="370"/>
        <v>3186691</v>
      </c>
      <c r="M2541" s="57"/>
    </row>
    <row r="2542" spans="1:13" x14ac:dyDescent="0.2">
      <c r="B2542" s="61"/>
      <c r="C2542" s="97"/>
      <c r="D2542" s="97"/>
      <c r="E2542" s="97"/>
      <c r="F2542" s="97"/>
      <c r="G2542" s="97"/>
      <c r="H2542" s="97"/>
      <c r="I2542" s="97"/>
      <c r="J2542" s="97"/>
      <c r="M2542" s="57"/>
    </row>
    <row r="2543" spans="1:13" x14ac:dyDescent="0.2">
      <c r="B2543" s="58" t="s">
        <v>4055</v>
      </c>
      <c r="C2543" s="73">
        <f t="shared" ref="C2543:J2543" si="371">C2488+C2492+C2496+C2504+C2541</f>
        <v>7394112</v>
      </c>
      <c r="D2543" s="73">
        <f t="shared" si="371"/>
        <v>7212509</v>
      </c>
      <c r="E2543" s="73">
        <f t="shared" si="371"/>
        <v>7112509</v>
      </c>
      <c r="F2543" s="73">
        <f t="shared" si="371"/>
        <v>4339056</v>
      </c>
      <c r="G2543" s="73">
        <f t="shared" si="371"/>
        <v>5173267.1999999993</v>
      </c>
      <c r="H2543" s="73">
        <f t="shared" si="371"/>
        <v>7824908</v>
      </c>
      <c r="I2543" s="73">
        <f t="shared" si="371"/>
        <v>8441312</v>
      </c>
      <c r="J2543" s="73">
        <f t="shared" si="371"/>
        <v>9131607</v>
      </c>
      <c r="M2543" s="57"/>
    </row>
    <row r="2544" spans="1:13" x14ac:dyDescent="0.2">
      <c r="B2544" s="58"/>
      <c r="C2544" s="96"/>
      <c r="D2544" s="96"/>
      <c r="E2544" s="96"/>
      <c r="G2544" s="69"/>
      <c r="H2544" s="69"/>
      <c r="I2544" s="96"/>
      <c r="J2544" s="96"/>
      <c r="M2544" s="57"/>
    </row>
    <row r="2545" spans="1:13" x14ac:dyDescent="0.2">
      <c r="B2545" s="58" t="s">
        <v>4027</v>
      </c>
      <c r="C2545" s="96"/>
      <c r="D2545" s="96"/>
      <c r="E2545" s="96"/>
      <c r="G2545" s="69"/>
      <c r="H2545" s="69"/>
      <c r="I2545" s="96"/>
      <c r="J2545" s="96"/>
      <c r="M2545" s="57"/>
    </row>
    <row r="2546" spans="1:13" x14ac:dyDescent="0.2">
      <c r="A2546" s="111"/>
      <c r="B2546" s="71" t="s">
        <v>4114</v>
      </c>
      <c r="C2546" s="56">
        <v>0</v>
      </c>
      <c r="D2546" s="56">
        <v>0</v>
      </c>
      <c r="E2546" s="56">
        <v>0</v>
      </c>
      <c r="F2546" s="56">
        <v>336000</v>
      </c>
      <c r="G2546" s="56">
        <f>+F2546</f>
        <v>336000</v>
      </c>
      <c r="H2546" s="56">
        <v>258676</v>
      </c>
      <c r="I2546" s="56">
        <v>292523</v>
      </c>
      <c r="J2546" s="56">
        <v>330799</v>
      </c>
      <c r="M2546" s="57"/>
    </row>
    <row r="2547" spans="1:13" s="5" customFormat="1" x14ac:dyDescent="0.2">
      <c r="A2547" s="37"/>
      <c r="B2547" s="58" t="s">
        <v>433</v>
      </c>
      <c r="C2547" s="73">
        <f t="shared" ref="C2547:J2547" si="372">SUM(C2546)</f>
        <v>0</v>
      </c>
      <c r="D2547" s="73">
        <f t="shared" si="372"/>
        <v>0</v>
      </c>
      <c r="E2547" s="73">
        <f t="shared" si="372"/>
        <v>0</v>
      </c>
      <c r="F2547" s="73">
        <f t="shared" si="372"/>
        <v>336000</v>
      </c>
      <c r="G2547" s="73">
        <f t="shared" si="372"/>
        <v>336000</v>
      </c>
      <c r="H2547" s="73">
        <f t="shared" si="372"/>
        <v>258676</v>
      </c>
      <c r="I2547" s="73">
        <f t="shared" si="372"/>
        <v>292523</v>
      </c>
      <c r="J2547" s="73">
        <f t="shared" si="372"/>
        <v>330799</v>
      </c>
      <c r="M2547" s="57"/>
    </row>
    <row r="2548" spans="1:13" s="5" customFormat="1" x14ac:dyDescent="0.2">
      <c r="A2548" s="37"/>
      <c r="B2548" s="58"/>
      <c r="C2548" s="96"/>
      <c r="D2548" s="96"/>
      <c r="E2548" s="96"/>
      <c r="F2548" s="2"/>
      <c r="G2548" s="69"/>
      <c r="H2548" s="69"/>
      <c r="I2548" s="96"/>
      <c r="J2548" s="96"/>
      <c r="M2548" s="57"/>
    </row>
    <row r="2549" spans="1:13" s="5" customFormat="1" x14ac:dyDescent="0.2">
      <c r="A2549" s="75"/>
      <c r="B2549" s="58" t="s">
        <v>418</v>
      </c>
      <c r="C2549" s="69"/>
      <c r="D2549" s="69"/>
      <c r="E2549" s="69"/>
      <c r="F2549" s="2"/>
      <c r="G2549" s="69"/>
      <c r="H2549" s="69"/>
      <c r="I2549" s="69"/>
      <c r="J2549" s="69"/>
      <c r="M2549" s="57"/>
    </row>
    <row r="2550" spans="1:13" s="5" customFormat="1" x14ac:dyDescent="0.2">
      <c r="A2550" s="75">
        <v>4204</v>
      </c>
      <c r="B2550" s="70" t="s">
        <v>4058</v>
      </c>
      <c r="C2550" s="69">
        <v>11948</v>
      </c>
      <c r="D2550" s="69">
        <v>79192</v>
      </c>
      <c r="E2550" s="69">
        <v>79192</v>
      </c>
      <c r="F2550" s="69">
        <v>0</v>
      </c>
      <c r="G2550" s="69">
        <f>F2550/$F$11*$G$11</f>
        <v>0</v>
      </c>
      <c r="H2550" s="69">
        <f>ROUND(E2550*1.05,0)</f>
        <v>83152</v>
      </c>
      <c r="I2550" s="69">
        <f>ROUND(H2550*1.08,0)</f>
        <v>89804</v>
      </c>
      <c r="J2550" s="69">
        <f>ROUND(I2550*1.08,0)</f>
        <v>96988</v>
      </c>
      <c r="M2550" s="57"/>
    </row>
    <row r="2551" spans="1:13" s="5" customFormat="1" x14ac:dyDescent="0.2">
      <c r="A2551" s="75">
        <v>4209</v>
      </c>
      <c r="B2551" s="70" t="s">
        <v>237</v>
      </c>
      <c r="C2551" s="69">
        <v>34840</v>
      </c>
      <c r="D2551" s="69">
        <v>0</v>
      </c>
      <c r="E2551" s="69">
        <v>0</v>
      </c>
      <c r="F2551" s="69">
        <v>0</v>
      </c>
      <c r="G2551" s="69">
        <f>F2551/$F$11*$G$11</f>
        <v>0</v>
      </c>
      <c r="H2551" s="69">
        <f>ROUND(E2551*1.05,0)</f>
        <v>0</v>
      </c>
      <c r="I2551" s="69">
        <f>ROUND(H2551*1.05,0)</f>
        <v>0</v>
      </c>
      <c r="J2551" s="69">
        <f>ROUND(I2551*1.05,0)</f>
        <v>0</v>
      </c>
      <c r="M2551" s="57"/>
    </row>
    <row r="2552" spans="1:13" x14ac:dyDescent="0.2">
      <c r="A2552" s="75">
        <v>4207</v>
      </c>
      <c r="B2552" s="70" t="s">
        <v>222</v>
      </c>
      <c r="C2552" s="69">
        <v>33815</v>
      </c>
      <c r="D2552" s="69">
        <v>100283</v>
      </c>
      <c r="E2552" s="69">
        <v>100283</v>
      </c>
      <c r="F2552" s="69">
        <v>0</v>
      </c>
      <c r="G2552" s="69">
        <f>F2552/$F$11*$G$11</f>
        <v>0</v>
      </c>
      <c r="H2552" s="69">
        <f>ROUND(E2552*1.05,0)</f>
        <v>105297</v>
      </c>
      <c r="I2552" s="69">
        <f>ROUND(H2552*1.08,0)</f>
        <v>113721</v>
      </c>
      <c r="J2552" s="69">
        <f>ROUND(I2552*1.08,0)</f>
        <v>122819</v>
      </c>
      <c r="M2552" s="57"/>
    </row>
    <row r="2553" spans="1:13" x14ac:dyDescent="0.2">
      <c r="A2553" s="75">
        <v>4103</v>
      </c>
      <c r="B2553" s="71" t="s">
        <v>1061</v>
      </c>
      <c r="C2553" s="56">
        <v>18853</v>
      </c>
      <c r="D2553" s="56">
        <v>0</v>
      </c>
      <c r="E2553" s="56">
        <v>0</v>
      </c>
      <c r="F2553" s="56">
        <v>0</v>
      </c>
      <c r="G2553" s="56">
        <f>F2553/$F$11*$G$11</f>
        <v>0</v>
      </c>
      <c r="H2553" s="56">
        <f>ROUND(E2553*1.05,0)</f>
        <v>0</v>
      </c>
      <c r="I2553" s="56">
        <f>ROUND(H2553*1.05,0)</f>
        <v>0</v>
      </c>
      <c r="J2553" s="56">
        <f>ROUND(I2553*1.05,0)</f>
        <v>0</v>
      </c>
      <c r="M2553" s="57"/>
    </row>
    <row r="2554" spans="1:13" x14ac:dyDescent="0.2">
      <c r="A2554" s="112"/>
      <c r="B2554" s="58" t="s">
        <v>419</v>
      </c>
      <c r="C2554" s="72">
        <f t="shared" ref="C2554:J2554" si="373">SUM(C2550:C2553)</f>
        <v>99456</v>
      </c>
      <c r="D2554" s="72">
        <f t="shared" si="373"/>
        <v>179475</v>
      </c>
      <c r="E2554" s="72">
        <f t="shared" si="373"/>
        <v>179475</v>
      </c>
      <c r="F2554" s="72">
        <f t="shared" si="373"/>
        <v>0</v>
      </c>
      <c r="G2554" s="72">
        <f t="shared" si="373"/>
        <v>0</v>
      </c>
      <c r="H2554" s="72">
        <f t="shared" si="373"/>
        <v>188449</v>
      </c>
      <c r="I2554" s="72">
        <f t="shared" si="373"/>
        <v>203525</v>
      </c>
      <c r="J2554" s="72">
        <f t="shared" si="373"/>
        <v>219807</v>
      </c>
      <c r="M2554" s="57"/>
    </row>
    <row r="2555" spans="1:13" x14ac:dyDescent="0.2">
      <c r="A2555" s="112"/>
      <c r="B2555" s="58"/>
      <c r="C2555" s="72"/>
      <c r="D2555" s="72"/>
      <c r="E2555" s="72"/>
      <c r="F2555" s="5"/>
      <c r="G2555" s="69"/>
      <c r="H2555" s="69"/>
      <c r="I2555" s="72"/>
      <c r="J2555" s="72"/>
      <c r="M2555" s="57"/>
    </row>
    <row r="2556" spans="1:13" x14ac:dyDescent="0.2">
      <c r="A2556" s="112"/>
      <c r="B2556" s="58" t="s">
        <v>4032</v>
      </c>
      <c r="C2556" s="72"/>
      <c r="D2556" s="72"/>
      <c r="E2556" s="72"/>
      <c r="F2556" s="5"/>
      <c r="G2556" s="69"/>
      <c r="H2556" s="69"/>
      <c r="I2556" s="72"/>
      <c r="J2556" s="72"/>
      <c r="M2556" s="57"/>
    </row>
    <row r="2557" spans="1:13" x14ac:dyDescent="0.2">
      <c r="A2557" s="112"/>
      <c r="B2557" s="71" t="s">
        <v>4112</v>
      </c>
      <c r="C2557" s="56">
        <v>0</v>
      </c>
      <c r="D2557" s="56">
        <f>D2463</f>
        <v>0</v>
      </c>
      <c r="E2557" s="56">
        <v>0</v>
      </c>
      <c r="F2557" s="56">
        <v>0</v>
      </c>
      <c r="G2557" s="56">
        <f>F2557/$F$11*$G$11</f>
        <v>0</v>
      </c>
      <c r="H2557" s="56">
        <v>0</v>
      </c>
      <c r="I2557" s="56">
        <f>I2463</f>
        <v>0</v>
      </c>
      <c r="J2557" s="56">
        <f>J2463</f>
        <v>0</v>
      </c>
      <c r="M2557" s="57"/>
    </row>
    <row r="2558" spans="1:13" x14ac:dyDescent="0.2">
      <c r="A2558" s="112"/>
      <c r="B2558" s="58" t="s">
        <v>638</v>
      </c>
      <c r="C2558" s="72">
        <f t="shared" ref="C2558:J2558" si="374">SUM(C2556:C2557)</f>
        <v>0</v>
      </c>
      <c r="D2558" s="72">
        <f t="shared" si="374"/>
        <v>0</v>
      </c>
      <c r="E2558" s="72">
        <f t="shared" si="374"/>
        <v>0</v>
      </c>
      <c r="F2558" s="72">
        <f t="shared" si="374"/>
        <v>0</v>
      </c>
      <c r="G2558" s="72">
        <f t="shared" si="374"/>
        <v>0</v>
      </c>
      <c r="H2558" s="72">
        <f t="shared" si="374"/>
        <v>0</v>
      </c>
      <c r="I2558" s="72">
        <f t="shared" si="374"/>
        <v>0</v>
      </c>
      <c r="J2558" s="72">
        <f t="shared" si="374"/>
        <v>0</v>
      </c>
      <c r="M2558" s="57"/>
    </row>
    <row r="2559" spans="1:13" x14ac:dyDescent="0.2">
      <c r="B2559" s="58"/>
      <c r="C2559" s="69"/>
      <c r="D2559" s="69"/>
      <c r="E2559" s="69"/>
      <c r="G2559" s="69"/>
      <c r="H2559" s="69"/>
      <c r="I2559" s="69"/>
      <c r="J2559" s="69"/>
      <c r="M2559" s="57"/>
    </row>
    <row r="2560" spans="1:13" ht="13.5" thickBot="1" x14ac:dyDescent="0.25">
      <c r="B2560" s="65" t="s">
        <v>4033</v>
      </c>
      <c r="C2560" s="76">
        <f t="shared" ref="C2560:J2560" si="375">+C2543+C2547+C2554+C2558</f>
        <v>7493568</v>
      </c>
      <c r="D2560" s="76">
        <f t="shared" si="375"/>
        <v>7391984</v>
      </c>
      <c r="E2560" s="76">
        <f t="shared" si="375"/>
        <v>7291984</v>
      </c>
      <c r="F2560" s="76">
        <f t="shared" si="375"/>
        <v>4675056</v>
      </c>
      <c r="G2560" s="76">
        <f t="shared" si="375"/>
        <v>5509267.1999999993</v>
      </c>
      <c r="H2560" s="76">
        <f t="shared" si="375"/>
        <v>8272033</v>
      </c>
      <c r="I2560" s="76">
        <f t="shared" si="375"/>
        <v>8937360</v>
      </c>
      <c r="J2560" s="76">
        <f t="shared" si="375"/>
        <v>9682213</v>
      </c>
      <c r="M2560" s="57"/>
    </row>
    <row r="2561" spans="2:13" ht="13.5" thickTop="1" x14ac:dyDescent="0.2">
      <c r="B2561" s="58"/>
      <c r="C2561" s="72"/>
      <c r="D2561" s="72"/>
      <c r="E2561" s="72"/>
      <c r="F2561" s="72"/>
      <c r="G2561" s="72"/>
      <c r="H2561" s="72"/>
      <c r="I2561" s="72"/>
      <c r="J2561" s="72"/>
      <c r="M2561" s="57"/>
    </row>
    <row r="2562" spans="2:13" ht="13.5" thickBot="1" x14ac:dyDescent="0.25">
      <c r="B2562" s="65" t="s">
        <v>4059</v>
      </c>
      <c r="C2562" s="77">
        <f t="shared" ref="C2562:J2562" si="376">C2470-C2560</f>
        <v>0</v>
      </c>
      <c r="D2562" s="77">
        <f t="shared" si="376"/>
        <v>0</v>
      </c>
      <c r="E2562" s="77">
        <f t="shared" si="376"/>
        <v>0</v>
      </c>
      <c r="F2562" s="77">
        <f t="shared" si="376"/>
        <v>-770002</v>
      </c>
      <c r="G2562" s="77">
        <f t="shared" si="376"/>
        <v>-823202.40000000037</v>
      </c>
      <c r="H2562" s="77">
        <f t="shared" si="376"/>
        <v>0</v>
      </c>
      <c r="I2562" s="77">
        <f t="shared" si="376"/>
        <v>0</v>
      </c>
      <c r="J2562" s="77">
        <f t="shared" si="376"/>
        <v>0</v>
      </c>
      <c r="M2562" s="57"/>
    </row>
    <row r="2563" spans="2:13" ht="13.5" thickTop="1" x14ac:dyDescent="0.2">
      <c r="B2563" s="58"/>
      <c r="C2563" s="78"/>
      <c r="D2563" s="78"/>
      <c r="E2563" s="78"/>
      <c r="G2563" s="69"/>
      <c r="H2563" s="69"/>
      <c r="I2563" s="78"/>
      <c r="J2563" s="78"/>
      <c r="M2563" s="57"/>
    </row>
    <row r="2564" spans="2:13" x14ac:dyDescent="0.2">
      <c r="C2564" s="117"/>
      <c r="G2564" s="69"/>
      <c r="H2564" s="69"/>
      <c r="I2564" s="171"/>
      <c r="M2564" s="57"/>
    </row>
    <row r="2565" spans="2:13" x14ac:dyDescent="0.2">
      <c r="C2565" s="117"/>
      <c r="G2565" s="69"/>
      <c r="H2565" s="69"/>
      <c r="M2565" s="57"/>
    </row>
    <row r="2566" spans="2:13" x14ac:dyDescent="0.2">
      <c r="C2566" s="117"/>
      <c r="G2566" s="69"/>
      <c r="H2566" s="69"/>
      <c r="M2566" s="57"/>
    </row>
    <row r="2567" spans="2:13" x14ac:dyDescent="0.2">
      <c r="C2567" s="117"/>
      <c r="G2567" s="69"/>
      <c r="H2567" s="69"/>
      <c r="M2567" s="57"/>
    </row>
    <row r="2568" spans="2:13" x14ac:dyDescent="0.2">
      <c r="C2568" s="117"/>
      <c r="G2568" s="69"/>
      <c r="H2568" s="69"/>
      <c r="M2568" s="57"/>
    </row>
    <row r="2569" spans="2:13" x14ac:dyDescent="0.2">
      <c r="C2569" s="117"/>
      <c r="G2569" s="69"/>
      <c r="H2569" s="69"/>
      <c r="M2569" s="57"/>
    </row>
    <row r="2570" spans="2:13" x14ac:dyDescent="0.2">
      <c r="C2570" s="117"/>
      <c r="G2570" s="69"/>
      <c r="H2570" s="69"/>
      <c r="M2570" s="57"/>
    </row>
    <row r="2571" spans="2:13" x14ac:dyDescent="0.2">
      <c r="C2571" s="117"/>
      <c r="G2571" s="69"/>
      <c r="H2571" s="69"/>
      <c r="M2571" s="57"/>
    </row>
    <row r="2572" spans="2:13" x14ac:dyDescent="0.2">
      <c r="C2572" s="117"/>
      <c r="G2572" s="69"/>
      <c r="H2572" s="69"/>
      <c r="M2572" s="57"/>
    </row>
    <row r="2573" spans="2:13" x14ac:dyDescent="0.2">
      <c r="C2573" s="117"/>
      <c r="G2573" s="69"/>
      <c r="H2573" s="69"/>
      <c r="M2573" s="57"/>
    </row>
    <row r="2574" spans="2:13" x14ac:dyDescent="0.2">
      <c r="C2574" s="117"/>
      <c r="G2574" s="69"/>
      <c r="H2574" s="69"/>
      <c r="M2574" s="57"/>
    </row>
    <row r="2575" spans="2:13" x14ac:dyDescent="0.2">
      <c r="C2575" s="117"/>
      <c r="G2575" s="69"/>
      <c r="H2575" s="69"/>
      <c r="M2575" s="57"/>
    </row>
    <row r="2576" spans="2:13" x14ac:dyDescent="0.2">
      <c r="C2576" s="117"/>
      <c r="G2576" s="69"/>
      <c r="H2576" s="69"/>
      <c r="M2576" s="57"/>
    </row>
    <row r="2577" spans="1:13" x14ac:dyDescent="0.2">
      <c r="C2577" s="117"/>
      <c r="G2577" s="69"/>
      <c r="H2577" s="69"/>
      <c r="M2577" s="57"/>
    </row>
    <row r="2578" spans="1:13" x14ac:dyDescent="0.2">
      <c r="C2578" s="117"/>
      <c r="G2578" s="69"/>
      <c r="H2578" s="69"/>
      <c r="M2578" s="57"/>
    </row>
    <row r="2579" spans="1:13" x14ac:dyDescent="0.2">
      <c r="C2579" s="117"/>
      <c r="G2579" s="69"/>
      <c r="H2579" s="69"/>
      <c r="M2579" s="57"/>
    </row>
    <row r="2580" spans="1:13" x14ac:dyDescent="0.2">
      <c r="C2580" s="117"/>
      <c r="G2580" s="69"/>
      <c r="H2580" s="69"/>
      <c r="M2580" s="57"/>
    </row>
    <row r="2581" spans="1:13" x14ac:dyDescent="0.2">
      <c r="C2581" s="117"/>
      <c r="G2581" s="69"/>
      <c r="H2581" s="69"/>
      <c r="M2581" s="57"/>
    </row>
    <row r="2582" spans="1:13" x14ac:dyDescent="0.2">
      <c r="C2582" s="117"/>
      <c r="G2582" s="69"/>
      <c r="H2582" s="69"/>
      <c r="M2582" s="57"/>
    </row>
    <row r="2583" spans="1:13" x14ac:dyDescent="0.2">
      <c r="C2583" s="117"/>
      <c r="G2583" s="69"/>
      <c r="H2583" s="69"/>
      <c r="M2583" s="57"/>
    </row>
    <row r="2584" spans="1:13" x14ac:dyDescent="0.2">
      <c r="C2584" s="117"/>
      <c r="G2584" s="69"/>
      <c r="H2584" s="69"/>
      <c r="M2584" s="57"/>
    </row>
    <row r="2585" spans="1:13" x14ac:dyDescent="0.2">
      <c r="G2585" s="69"/>
      <c r="H2585" s="69"/>
      <c r="M2585" s="57"/>
    </row>
    <row r="2586" spans="1:13" x14ac:dyDescent="0.2">
      <c r="A2586" s="6"/>
      <c r="B2586" s="6"/>
      <c r="C2586" s="6"/>
      <c r="D2586" s="6"/>
      <c r="E2586" s="6"/>
      <c r="G2586" s="69"/>
      <c r="H2586" s="69"/>
      <c r="I2586" s="6"/>
      <c r="J2586" s="6"/>
      <c r="M2586" s="57"/>
    </row>
    <row r="2587" spans="1:13" x14ac:dyDescent="0.2">
      <c r="A2587" s="6"/>
      <c r="B2587" s="6"/>
      <c r="C2587" s="6"/>
      <c r="D2587" s="6"/>
      <c r="E2587" s="6"/>
      <c r="G2587" s="69"/>
      <c r="H2587" s="69"/>
      <c r="I2587" s="6"/>
      <c r="J2587" s="6"/>
      <c r="M2587" s="57"/>
    </row>
    <row r="2588" spans="1:13" x14ac:dyDescent="0.2">
      <c r="A2588" s="6"/>
      <c r="B2588" s="6"/>
      <c r="C2588" s="6"/>
      <c r="D2588" s="6"/>
      <c r="E2588" s="6"/>
      <c r="G2588" s="69"/>
      <c r="H2588" s="69"/>
      <c r="I2588" s="6"/>
      <c r="J2588" s="6"/>
      <c r="M2588" s="57"/>
    </row>
    <row r="2589" spans="1:13" x14ac:dyDescent="0.2">
      <c r="A2589" s="6"/>
      <c r="B2589" s="6"/>
      <c r="C2589" s="6"/>
      <c r="D2589" s="6"/>
      <c r="E2589" s="6"/>
      <c r="G2589" s="69"/>
      <c r="H2589" s="69"/>
      <c r="I2589" s="6"/>
      <c r="J2589" s="6"/>
      <c r="M2589" s="57"/>
    </row>
    <row r="2590" spans="1:13" x14ac:dyDescent="0.2">
      <c r="G2590" s="69"/>
      <c r="H2590" s="69"/>
      <c r="M2590" s="57"/>
    </row>
    <row r="2591" spans="1:13" ht="15.75" x14ac:dyDescent="0.25">
      <c r="A2591" s="98">
        <v>2000</v>
      </c>
      <c r="B2591" s="123" t="s">
        <v>4115</v>
      </c>
      <c r="C2591" s="48"/>
      <c r="D2591" s="48"/>
      <c r="E2591" s="48"/>
      <c r="G2591" s="69"/>
      <c r="H2591" s="69"/>
      <c r="M2591" s="57"/>
    </row>
    <row r="2592" spans="1:13" ht="15" x14ac:dyDescent="0.25">
      <c r="A2592" s="91">
        <v>2010</v>
      </c>
      <c r="B2592" s="48" t="s">
        <v>46</v>
      </c>
      <c r="C2592" s="48"/>
      <c r="D2592" s="48"/>
      <c r="E2592" s="48"/>
      <c r="G2592" s="69"/>
      <c r="H2592" s="69"/>
      <c r="M2592" s="57"/>
    </row>
    <row r="2593" spans="1:13" ht="15" x14ac:dyDescent="0.25">
      <c r="B2593" s="48"/>
      <c r="C2593" s="48"/>
      <c r="D2593" s="48"/>
      <c r="E2593" s="48"/>
      <c r="G2593" s="69"/>
      <c r="H2593" s="69"/>
      <c r="M2593" s="57"/>
    </row>
    <row r="2594" spans="1:13" s="24" customFormat="1" x14ac:dyDescent="0.2">
      <c r="A2594" s="37"/>
      <c r="B2594" s="50" t="s">
        <v>61</v>
      </c>
      <c r="C2594" s="50"/>
      <c r="D2594" s="50"/>
      <c r="E2594" s="50"/>
      <c r="F2594" s="2"/>
      <c r="G2594" s="69"/>
      <c r="H2594" s="69"/>
      <c r="I2594" s="39"/>
      <c r="J2594" s="39"/>
      <c r="M2594" s="57"/>
    </row>
    <row r="2595" spans="1:13" x14ac:dyDescent="0.2">
      <c r="B2595" s="46"/>
      <c r="C2595" s="46"/>
      <c r="D2595" s="46"/>
      <c r="E2595" s="46"/>
      <c r="G2595" s="69"/>
      <c r="H2595" s="69"/>
      <c r="M2595" s="57"/>
    </row>
    <row r="2596" spans="1:13" x14ac:dyDescent="0.2">
      <c r="B2596" s="58" t="s">
        <v>66</v>
      </c>
      <c r="C2596" s="99"/>
      <c r="D2596" s="99"/>
      <c r="E2596" s="99"/>
      <c r="G2596" s="69"/>
      <c r="H2596" s="69"/>
      <c r="M2596" s="57"/>
    </row>
    <row r="2597" spans="1:13" x14ac:dyDescent="0.2">
      <c r="A2597" s="75">
        <v>5209</v>
      </c>
      <c r="B2597" s="71" t="s">
        <v>4116</v>
      </c>
      <c r="C2597" s="56">
        <v>2555</v>
      </c>
      <c r="D2597" s="56">
        <v>3200</v>
      </c>
      <c r="E2597" s="56">
        <v>3200</v>
      </c>
      <c r="F2597" s="56">
        <v>5609</v>
      </c>
      <c r="G2597" s="56">
        <f>F2597/$F$11*$G$11</f>
        <v>6730.7999999999993</v>
      </c>
      <c r="H2597" s="56">
        <f>ROUND(G2597*1.1,0)</f>
        <v>7404</v>
      </c>
      <c r="I2597" s="56">
        <f>ROUND(H2597*1.06,0)</f>
        <v>7848</v>
      </c>
      <c r="J2597" s="56">
        <f>ROUND(I2597*1.06,0)</f>
        <v>8319</v>
      </c>
      <c r="M2597" s="57"/>
    </row>
    <row r="2598" spans="1:13" x14ac:dyDescent="0.2">
      <c r="B2598" s="58" t="s">
        <v>434</v>
      </c>
      <c r="C2598" s="100">
        <f t="shared" ref="C2598:J2598" si="377">SUM(C2597:C2597)</f>
        <v>2555</v>
      </c>
      <c r="D2598" s="100">
        <f t="shared" si="377"/>
        <v>3200</v>
      </c>
      <c r="E2598" s="100">
        <f t="shared" si="377"/>
        <v>3200</v>
      </c>
      <c r="F2598" s="100">
        <f t="shared" si="377"/>
        <v>5609</v>
      </c>
      <c r="G2598" s="100">
        <f t="shared" si="377"/>
        <v>6730.7999999999993</v>
      </c>
      <c r="H2598" s="100">
        <f t="shared" si="377"/>
        <v>7404</v>
      </c>
      <c r="I2598" s="100">
        <f t="shared" si="377"/>
        <v>7848</v>
      </c>
      <c r="J2598" s="100">
        <f t="shared" si="377"/>
        <v>8319</v>
      </c>
      <c r="M2598" s="57"/>
    </row>
    <row r="2599" spans="1:13" x14ac:dyDescent="0.2">
      <c r="B2599" s="58"/>
      <c r="C2599" s="99"/>
      <c r="D2599" s="99"/>
      <c r="E2599" s="99"/>
      <c r="G2599" s="69"/>
      <c r="H2599" s="69"/>
      <c r="I2599" s="99"/>
      <c r="J2599" s="99"/>
      <c r="M2599" s="57"/>
    </row>
    <row r="2600" spans="1:13" x14ac:dyDescent="0.2">
      <c r="B2600" s="58" t="s">
        <v>423</v>
      </c>
      <c r="C2600" s="99"/>
      <c r="D2600" s="99"/>
      <c r="E2600" s="99"/>
      <c r="G2600" s="69"/>
      <c r="H2600" s="69"/>
      <c r="I2600" s="99"/>
      <c r="J2600" s="99"/>
      <c r="M2600" s="57"/>
    </row>
    <row r="2601" spans="1:13" x14ac:dyDescent="0.2">
      <c r="A2601" s="75">
        <v>5810</v>
      </c>
      <c r="B2601" s="55" t="s">
        <v>2410</v>
      </c>
      <c r="C2601" s="127">
        <v>4538</v>
      </c>
      <c r="D2601" s="128">
        <v>6157</v>
      </c>
      <c r="E2601" s="128">
        <v>6157</v>
      </c>
      <c r="F2601" s="128">
        <v>1371</v>
      </c>
      <c r="G2601" s="56">
        <f>F2601/$F$11*$G$11</f>
        <v>1645.1999999999998</v>
      </c>
      <c r="H2601" s="128">
        <f>ROUND(G2601*1.1,0)</f>
        <v>1810</v>
      </c>
      <c r="I2601" s="128">
        <f>ROUND(H2601*1.06,0)</f>
        <v>1919</v>
      </c>
      <c r="J2601" s="128">
        <f>ROUND(I2601*1.06,0)</f>
        <v>2034</v>
      </c>
      <c r="M2601" s="57"/>
    </row>
    <row r="2602" spans="1:13" x14ac:dyDescent="0.2">
      <c r="B2602" s="58" t="s">
        <v>424</v>
      </c>
      <c r="C2602" s="100">
        <f t="shared" ref="C2602:J2602" si="378">SUM(C2601:C2601)</f>
        <v>4538</v>
      </c>
      <c r="D2602" s="100">
        <f t="shared" si="378"/>
        <v>6157</v>
      </c>
      <c r="E2602" s="100">
        <f t="shared" si="378"/>
        <v>6157</v>
      </c>
      <c r="F2602" s="100">
        <f t="shared" si="378"/>
        <v>1371</v>
      </c>
      <c r="G2602" s="100">
        <f t="shared" si="378"/>
        <v>1645.1999999999998</v>
      </c>
      <c r="H2602" s="100">
        <f t="shared" si="378"/>
        <v>1810</v>
      </c>
      <c r="I2602" s="100">
        <f t="shared" si="378"/>
        <v>1919</v>
      </c>
      <c r="J2602" s="100">
        <f t="shared" si="378"/>
        <v>2034</v>
      </c>
      <c r="M2602" s="57"/>
    </row>
    <row r="2603" spans="1:13" x14ac:dyDescent="0.2">
      <c r="B2603" s="61"/>
      <c r="C2603" s="62"/>
      <c r="D2603" s="62"/>
      <c r="E2603" s="62"/>
      <c r="F2603" s="102"/>
      <c r="G2603" s="56"/>
      <c r="H2603" s="56"/>
      <c r="I2603" s="62"/>
      <c r="J2603" s="62"/>
      <c r="M2603" s="57"/>
    </row>
    <row r="2604" spans="1:13" x14ac:dyDescent="0.2">
      <c r="B2604" s="58" t="s">
        <v>4105</v>
      </c>
      <c r="C2604" s="73">
        <f t="shared" ref="C2604:J2604" si="379">+C2598+C2602</f>
        <v>7093</v>
      </c>
      <c r="D2604" s="73">
        <f t="shared" si="379"/>
        <v>9357</v>
      </c>
      <c r="E2604" s="73">
        <f t="shared" si="379"/>
        <v>9357</v>
      </c>
      <c r="F2604" s="73">
        <f t="shared" si="379"/>
        <v>6980</v>
      </c>
      <c r="G2604" s="73">
        <f t="shared" si="379"/>
        <v>8376</v>
      </c>
      <c r="H2604" s="73">
        <f t="shared" si="379"/>
        <v>9214</v>
      </c>
      <c r="I2604" s="73">
        <f t="shared" si="379"/>
        <v>9767</v>
      </c>
      <c r="J2604" s="73">
        <f t="shared" si="379"/>
        <v>10353</v>
      </c>
      <c r="M2604" s="57"/>
    </row>
    <row r="2605" spans="1:13" x14ac:dyDescent="0.2">
      <c r="B2605" s="58"/>
      <c r="C2605" s="73"/>
      <c r="D2605" s="73"/>
      <c r="E2605" s="73"/>
      <c r="G2605" s="69"/>
      <c r="H2605" s="69"/>
      <c r="I2605" s="73"/>
      <c r="J2605" s="73"/>
      <c r="M2605" s="57"/>
    </row>
    <row r="2606" spans="1:13" x14ac:dyDescent="0.2">
      <c r="B2606" s="58" t="s">
        <v>1087</v>
      </c>
      <c r="C2606" s="99"/>
      <c r="D2606" s="99"/>
      <c r="E2606" s="99"/>
      <c r="G2606" s="69"/>
      <c r="H2606" s="69"/>
      <c r="I2606" s="99"/>
      <c r="J2606" s="99"/>
      <c r="M2606" s="57"/>
    </row>
    <row r="2607" spans="1:13" x14ac:dyDescent="0.2">
      <c r="B2607" s="71" t="s">
        <v>4112</v>
      </c>
      <c r="C2607" s="56">
        <v>0</v>
      </c>
      <c r="D2607" s="56">
        <v>0</v>
      </c>
      <c r="E2607" s="56">
        <v>0</v>
      </c>
      <c r="F2607" s="56">
        <v>0</v>
      </c>
      <c r="G2607" s="56">
        <f>F2607/$F$11*$G$11</f>
        <v>0</v>
      </c>
      <c r="H2607" s="56">
        <v>0</v>
      </c>
      <c r="I2607" s="56">
        <v>0</v>
      </c>
      <c r="J2607" s="56">
        <v>0</v>
      </c>
      <c r="M2607" s="57"/>
    </row>
    <row r="2608" spans="1:13" x14ac:dyDescent="0.2">
      <c r="B2608" s="58" t="s">
        <v>1088</v>
      </c>
      <c r="C2608" s="100">
        <f t="shared" ref="C2608:J2608" si="380">SUM(C2607)</f>
        <v>0</v>
      </c>
      <c r="D2608" s="100">
        <f t="shared" si="380"/>
        <v>0</v>
      </c>
      <c r="E2608" s="100">
        <f t="shared" si="380"/>
        <v>0</v>
      </c>
      <c r="F2608" s="100">
        <f t="shared" si="380"/>
        <v>0</v>
      </c>
      <c r="G2608" s="100">
        <f t="shared" si="380"/>
        <v>0</v>
      </c>
      <c r="H2608" s="100">
        <f t="shared" si="380"/>
        <v>0</v>
      </c>
      <c r="I2608" s="100">
        <f t="shared" si="380"/>
        <v>0</v>
      </c>
      <c r="J2608" s="100">
        <f t="shared" si="380"/>
        <v>0</v>
      </c>
      <c r="M2608" s="57"/>
    </row>
    <row r="2609" spans="1:14" x14ac:dyDescent="0.2">
      <c r="B2609" s="58"/>
      <c r="C2609" s="96"/>
      <c r="D2609" s="96"/>
      <c r="E2609" s="96"/>
      <c r="G2609" s="69"/>
      <c r="H2609" s="69"/>
      <c r="I2609" s="96"/>
      <c r="J2609" s="96"/>
      <c r="M2609" s="57"/>
    </row>
    <row r="2610" spans="1:14" ht="13.5" thickBot="1" x14ac:dyDescent="0.25">
      <c r="B2610" s="65" t="s">
        <v>4017</v>
      </c>
      <c r="C2610" s="66">
        <f t="shared" ref="C2610:J2610" si="381">C2604+C2608</f>
        <v>7093</v>
      </c>
      <c r="D2610" s="66">
        <f t="shared" si="381"/>
        <v>9357</v>
      </c>
      <c r="E2610" s="66">
        <f t="shared" si="381"/>
        <v>9357</v>
      </c>
      <c r="F2610" s="66">
        <f t="shared" si="381"/>
        <v>6980</v>
      </c>
      <c r="G2610" s="66">
        <f t="shared" si="381"/>
        <v>8376</v>
      </c>
      <c r="H2610" s="66">
        <f t="shared" si="381"/>
        <v>9214</v>
      </c>
      <c r="I2610" s="66">
        <f t="shared" si="381"/>
        <v>9767</v>
      </c>
      <c r="J2610" s="66">
        <f t="shared" si="381"/>
        <v>10353</v>
      </c>
      <c r="M2610" s="57"/>
    </row>
    <row r="2611" spans="1:14" ht="13.5" thickTop="1" x14ac:dyDescent="0.2">
      <c r="B2611" s="68"/>
      <c r="C2611" s="68"/>
      <c r="D2611" s="68"/>
      <c r="E2611" s="68"/>
      <c r="G2611" s="69"/>
      <c r="H2611" s="69"/>
      <c r="I2611" s="68"/>
      <c r="J2611" s="68"/>
      <c r="M2611" s="57"/>
    </row>
    <row r="2612" spans="1:14" x14ac:dyDescent="0.2">
      <c r="B2612" s="50" t="s">
        <v>4018</v>
      </c>
      <c r="C2612" s="50"/>
      <c r="D2612" s="50"/>
      <c r="E2612" s="50"/>
      <c r="G2612" s="69"/>
      <c r="H2612" s="69"/>
      <c r="I2612" s="50"/>
      <c r="J2612" s="50"/>
      <c r="M2612" s="57"/>
    </row>
    <row r="2613" spans="1:14" x14ac:dyDescent="0.2">
      <c r="B2613" s="50"/>
      <c r="C2613" s="50"/>
      <c r="D2613" s="50"/>
      <c r="E2613" s="50"/>
      <c r="G2613" s="69"/>
      <c r="H2613" s="69"/>
      <c r="I2613" s="50"/>
      <c r="J2613" s="50"/>
      <c r="M2613" s="57"/>
    </row>
    <row r="2614" spans="1:14" x14ac:dyDescent="0.2">
      <c r="B2614" s="58" t="s">
        <v>4019</v>
      </c>
      <c r="C2614" s="69"/>
      <c r="D2614" s="69"/>
      <c r="E2614" s="69"/>
      <c r="G2614" s="69"/>
      <c r="H2614" s="69"/>
      <c r="I2614" s="69"/>
      <c r="J2614" s="69"/>
      <c r="M2614" s="57"/>
    </row>
    <row r="2615" spans="1:14" x14ac:dyDescent="0.2">
      <c r="A2615" s="75">
        <v>1001</v>
      </c>
      <c r="B2615" s="70" t="s">
        <v>472</v>
      </c>
      <c r="C2615" s="69">
        <v>991901</v>
      </c>
      <c r="D2615" s="69">
        <v>898577</v>
      </c>
      <c r="E2615" s="69">
        <v>873072</v>
      </c>
      <c r="F2615" s="69">
        <v>1043834</v>
      </c>
      <c r="G2615" s="69">
        <f t="shared" ref="G2615:G2627" si="382">F2615/$F$11*$G$11</f>
        <v>1252600.7999999998</v>
      </c>
      <c r="H2615" s="69">
        <f>[3]Salary_Bdgt!$H$502</f>
        <v>969891</v>
      </c>
      <c r="I2615" s="69">
        <f t="shared" ref="I2615:J2627" si="383">ROUND(H2615*1.08,0)</f>
        <v>1047482</v>
      </c>
      <c r="J2615" s="69">
        <f t="shared" si="383"/>
        <v>1131281</v>
      </c>
      <c r="M2615" s="57"/>
    </row>
    <row r="2616" spans="1:14" x14ac:dyDescent="0.2">
      <c r="A2616" s="75">
        <v>1005</v>
      </c>
      <c r="B2616" s="70" t="s">
        <v>473</v>
      </c>
      <c r="C2616" s="69">
        <v>74850</v>
      </c>
      <c r="D2616" s="69">
        <v>53793</v>
      </c>
      <c r="E2616" s="69">
        <f>+D2616+25505</f>
        <v>79298</v>
      </c>
      <c r="F2616" s="69">
        <v>83424</v>
      </c>
      <c r="G2616" s="69">
        <f t="shared" si="382"/>
        <v>100108.79999999999</v>
      </c>
      <c r="H2616" s="69">
        <f>[3]Salary_Bdgt!$L$502</f>
        <v>69494</v>
      </c>
      <c r="I2616" s="69">
        <f t="shared" si="383"/>
        <v>75054</v>
      </c>
      <c r="J2616" s="69">
        <f t="shared" si="383"/>
        <v>81058</v>
      </c>
      <c r="M2616" s="57"/>
    </row>
    <row r="2617" spans="1:14" x14ac:dyDescent="0.2">
      <c r="A2617" s="75">
        <v>1006</v>
      </c>
      <c r="B2617" s="70" t="s">
        <v>474</v>
      </c>
      <c r="C2617" s="69">
        <v>176884</v>
      </c>
      <c r="D2617" s="69">
        <v>79705</v>
      </c>
      <c r="E2617" s="69">
        <f>+D2617</f>
        <v>79705</v>
      </c>
      <c r="F2617" s="69">
        <v>141982</v>
      </c>
      <c r="G2617" s="69">
        <f t="shared" si="382"/>
        <v>170378.40000000002</v>
      </c>
      <c r="H2617" s="69">
        <f>[3]Salary_Bdgt!$N$502</f>
        <v>132163</v>
      </c>
      <c r="I2617" s="69">
        <f t="shared" si="383"/>
        <v>142736</v>
      </c>
      <c r="J2617" s="69">
        <f t="shared" si="383"/>
        <v>154155</v>
      </c>
      <c r="M2617" s="57"/>
      <c r="N2617" s="125"/>
    </row>
    <row r="2618" spans="1:14" x14ac:dyDescent="0.2">
      <c r="A2618" s="75">
        <v>1007</v>
      </c>
      <c r="B2618" s="70" t="s">
        <v>481</v>
      </c>
      <c r="C2618" s="69">
        <v>10980</v>
      </c>
      <c r="D2618" s="69">
        <v>16892</v>
      </c>
      <c r="E2618" s="69">
        <f>+D2618</f>
        <v>16892</v>
      </c>
      <c r="F2618" s="69">
        <v>9659</v>
      </c>
      <c r="G2618" s="69">
        <f t="shared" si="382"/>
        <v>11590.8</v>
      </c>
      <c r="H2618" s="69">
        <f>[3]Salary_Bdgt!$I$502</f>
        <v>16405</v>
      </c>
      <c r="I2618" s="69">
        <f t="shared" si="383"/>
        <v>17717</v>
      </c>
      <c r="J2618" s="69">
        <f t="shared" si="383"/>
        <v>19134</v>
      </c>
      <c r="M2618" s="57"/>
    </row>
    <row r="2619" spans="1:14" x14ac:dyDescent="0.2">
      <c r="A2619" s="75">
        <v>1009</v>
      </c>
      <c r="B2619" s="70" t="s">
        <v>482</v>
      </c>
      <c r="C2619" s="69">
        <v>773</v>
      </c>
      <c r="D2619" s="69">
        <v>576</v>
      </c>
      <c r="E2619" s="69">
        <f>+D2619</f>
        <v>576</v>
      </c>
      <c r="F2619" s="69">
        <v>596</v>
      </c>
      <c r="G2619" s="69">
        <f t="shared" si="382"/>
        <v>715.2</v>
      </c>
      <c r="H2619" s="69">
        <f>[3]Salary_Bdgt!$M$502</f>
        <v>495</v>
      </c>
      <c r="I2619" s="69">
        <f t="shared" si="383"/>
        <v>535</v>
      </c>
      <c r="J2619" s="69">
        <f t="shared" si="383"/>
        <v>578</v>
      </c>
      <c r="M2619" s="57"/>
    </row>
    <row r="2620" spans="1:14" x14ac:dyDescent="0.2">
      <c r="A2620" s="75">
        <v>1010</v>
      </c>
      <c r="B2620" s="70" t="s">
        <v>28</v>
      </c>
      <c r="C2620" s="69">
        <v>70556</v>
      </c>
      <c r="D2620" s="69">
        <v>74881</v>
      </c>
      <c r="E2620" s="69">
        <f>+D2620</f>
        <v>74881</v>
      </c>
      <c r="F2620" s="69">
        <v>52870</v>
      </c>
      <c r="G2620" s="69">
        <f t="shared" si="382"/>
        <v>63444</v>
      </c>
      <c r="H2620" s="69">
        <f>[3]Salary_Bdgt!$Q$502</f>
        <v>80824</v>
      </c>
      <c r="I2620" s="69">
        <f t="shared" si="383"/>
        <v>87290</v>
      </c>
      <c r="J2620" s="69">
        <f t="shared" si="383"/>
        <v>94273</v>
      </c>
      <c r="M2620" s="57"/>
    </row>
    <row r="2621" spans="1:14" x14ac:dyDescent="0.2">
      <c r="A2621" s="75">
        <v>1011</v>
      </c>
      <c r="B2621" s="70" t="s">
        <v>4045</v>
      </c>
      <c r="C2621" s="69">
        <v>2800</v>
      </c>
      <c r="D2621" s="69">
        <v>0</v>
      </c>
      <c r="E2621" s="69">
        <v>0</v>
      </c>
      <c r="F2621" s="69">
        <v>0</v>
      </c>
      <c r="G2621" s="69">
        <f t="shared" si="382"/>
        <v>0</v>
      </c>
      <c r="H2621" s="69">
        <f>[3]Salary_Bdgt!$U$502</f>
        <v>0</v>
      </c>
      <c r="I2621" s="69">
        <f t="shared" si="383"/>
        <v>0</v>
      </c>
      <c r="J2621" s="69">
        <f t="shared" si="383"/>
        <v>0</v>
      </c>
      <c r="M2621" s="57"/>
    </row>
    <row r="2622" spans="1:14" x14ac:dyDescent="0.2">
      <c r="A2622" s="75">
        <v>1014</v>
      </c>
      <c r="B2622" s="70" t="s">
        <v>36</v>
      </c>
      <c r="C2622" s="69">
        <v>10917</v>
      </c>
      <c r="D2622" s="69">
        <v>16024</v>
      </c>
      <c r="E2622" s="69">
        <f t="shared" ref="E2622:E2627" si="384">+D2622</f>
        <v>16024</v>
      </c>
      <c r="F2622" s="69">
        <v>5705</v>
      </c>
      <c r="G2622" s="69">
        <f t="shared" si="382"/>
        <v>6846</v>
      </c>
      <c r="H2622" s="69">
        <f>[3]Salary_Bdgt!$S$502</f>
        <v>6402</v>
      </c>
      <c r="I2622" s="69">
        <f t="shared" si="383"/>
        <v>6914</v>
      </c>
      <c r="J2622" s="69">
        <f t="shared" si="383"/>
        <v>7467</v>
      </c>
      <c r="M2622" s="57"/>
    </row>
    <row r="2623" spans="1:14" x14ac:dyDescent="0.2">
      <c r="A2623" s="75">
        <v>1015</v>
      </c>
      <c r="B2623" s="70" t="s">
        <v>445</v>
      </c>
      <c r="C2623" s="69">
        <v>69282</v>
      </c>
      <c r="D2623" s="69">
        <v>44304</v>
      </c>
      <c r="E2623" s="69">
        <f t="shared" si="384"/>
        <v>44304</v>
      </c>
      <c r="F2623" s="69">
        <v>19879</v>
      </c>
      <c r="G2623" s="69">
        <f t="shared" si="382"/>
        <v>23854.800000000003</v>
      </c>
      <c r="H2623" s="69">
        <f>[3]Salary_Bdgt!$O$502+[3]Salary_Bdgt!$P$502+[3]Salary_Bdgt!$W$502</f>
        <v>23320</v>
      </c>
      <c r="I2623" s="69">
        <f t="shared" si="383"/>
        <v>25186</v>
      </c>
      <c r="J2623" s="69">
        <f t="shared" si="383"/>
        <v>27201</v>
      </c>
      <c r="M2623" s="57"/>
    </row>
    <row r="2624" spans="1:14" s="9" customFormat="1" x14ac:dyDescent="0.2">
      <c r="A2624" s="75">
        <v>1016</v>
      </c>
      <c r="B2624" s="70" t="s">
        <v>475</v>
      </c>
      <c r="C2624" s="69">
        <v>0</v>
      </c>
      <c r="D2624" s="69">
        <v>11663</v>
      </c>
      <c r="E2624" s="69">
        <f t="shared" si="384"/>
        <v>11663</v>
      </c>
      <c r="F2624" s="69">
        <f>1670+24358</f>
        <v>26028</v>
      </c>
      <c r="G2624" s="69">
        <f t="shared" si="382"/>
        <v>31233.600000000002</v>
      </c>
      <c r="H2624" s="69">
        <f>[3]Salary_Bdgt!$T$502+[3]Salary_Bdgt!$V$502</f>
        <v>9444</v>
      </c>
      <c r="I2624" s="69">
        <f t="shared" si="383"/>
        <v>10200</v>
      </c>
      <c r="J2624" s="69">
        <f t="shared" si="383"/>
        <v>11016</v>
      </c>
      <c r="M2624" s="57"/>
    </row>
    <row r="2625" spans="1:13" x14ac:dyDescent="0.2">
      <c r="A2625" s="75">
        <v>1017</v>
      </c>
      <c r="B2625" s="70" t="s">
        <v>4044</v>
      </c>
      <c r="C2625" s="69">
        <v>12733</v>
      </c>
      <c r="D2625" s="69">
        <v>18487</v>
      </c>
      <c r="E2625" s="69">
        <f t="shared" si="384"/>
        <v>18487</v>
      </c>
      <c r="F2625" s="69">
        <v>4751</v>
      </c>
      <c r="G2625" s="69">
        <f t="shared" si="382"/>
        <v>5701.2000000000007</v>
      </c>
      <c r="H2625" s="69">
        <f>[3]Salary_Bdgt!$J$502</f>
        <v>19753</v>
      </c>
      <c r="I2625" s="69">
        <f t="shared" si="383"/>
        <v>21333</v>
      </c>
      <c r="J2625" s="69">
        <f t="shared" si="383"/>
        <v>23040</v>
      </c>
      <c r="M2625" s="57"/>
    </row>
    <row r="2626" spans="1:13" x14ac:dyDescent="0.2">
      <c r="A2626" s="75">
        <v>1046</v>
      </c>
      <c r="B2626" s="70" t="s">
        <v>491</v>
      </c>
      <c r="C2626" s="69">
        <v>2650</v>
      </c>
      <c r="D2626" s="69">
        <v>0</v>
      </c>
      <c r="E2626" s="69">
        <f t="shared" si="384"/>
        <v>0</v>
      </c>
      <c r="F2626" s="69">
        <v>0</v>
      </c>
      <c r="G2626" s="69">
        <f t="shared" si="382"/>
        <v>0</v>
      </c>
      <c r="H2626" s="69">
        <f>[3]Salary_Bdgt!$R$502</f>
        <v>0</v>
      </c>
      <c r="I2626" s="69">
        <f t="shared" si="383"/>
        <v>0</v>
      </c>
      <c r="J2626" s="69">
        <f t="shared" si="383"/>
        <v>0</v>
      </c>
      <c r="M2626" s="57"/>
    </row>
    <row r="2627" spans="1:13" x14ac:dyDescent="0.2">
      <c r="A2627" s="75">
        <v>1182</v>
      </c>
      <c r="B2627" s="71" t="s">
        <v>1065</v>
      </c>
      <c r="C2627" s="56">
        <v>10124</v>
      </c>
      <c r="D2627" s="56">
        <v>17193</v>
      </c>
      <c r="E2627" s="56">
        <f t="shared" si="384"/>
        <v>17193</v>
      </c>
      <c r="F2627" s="56">
        <v>0</v>
      </c>
      <c r="G2627" s="56">
        <f t="shared" si="382"/>
        <v>0</v>
      </c>
      <c r="H2627" s="56">
        <f>[3]Salary_Bdgt!$K$502</f>
        <v>18370</v>
      </c>
      <c r="I2627" s="56">
        <f t="shared" si="383"/>
        <v>19840</v>
      </c>
      <c r="J2627" s="56">
        <f t="shared" si="383"/>
        <v>21427</v>
      </c>
      <c r="M2627" s="57"/>
    </row>
    <row r="2628" spans="1:13" x14ac:dyDescent="0.2">
      <c r="B2628" s="58" t="s">
        <v>416</v>
      </c>
      <c r="C2628" s="72">
        <f t="shared" ref="C2628:J2628" si="385">SUM(C2615:C2627)</f>
        <v>1434450</v>
      </c>
      <c r="D2628" s="72">
        <f t="shared" si="385"/>
        <v>1232095</v>
      </c>
      <c r="E2628" s="72">
        <f t="shared" si="385"/>
        <v>1232095</v>
      </c>
      <c r="F2628" s="72">
        <f t="shared" si="385"/>
        <v>1388728</v>
      </c>
      <c r="G2628" s="72">
        <f t="shared" si="385"/>
        <v>1666473.6</v>
      </c>
      <c r="H2628" s="72">
        <f t="shared" si="385"/>
        <v>1346561</v>
      </c>
      <c r="I2628" s="72">
        <f t="shared" si="385"/>
        <v>1454287</v>
      </c>
      <c r="J2628" s="72">
        <f t="shared" si="385"/>
        <v>1570630</v>
      </c>
      <c r="M2628" s="57"/>
    </row>
    <row r="2629" spans="1:13" x14ac:dyDescent="0.2">
      <c r="B2629" s="58"/>
      <c r="C2629" s="69"/>
      <c r="D2629" s="69"/>
      <c r="E2629" s="69"/>
      <c r="G2629" s="69"/>
      <c r="H2629" s="69"/>
      <c r="I2629" s="69"/>
      <c r="J2629" s="69"/>
      <c r="M2629" s="57"/>
    </row>
    <row r="2630" spans="1:13" x14ac:dyDescent="0.2">
      <c r="B2630" s="58" t="s">
        <v>425</v>
      </c>
      <c r="C2630" s="69"/>
      <c r="D2630" s="69"/>
      <c r="E2630" s="69"/>
      <c r="G2630" s="69"/>
      <c r="H2630" s="69"/>
      <c r="I2630" s="69"/>
      <c r="J2630" s="69"/>
      <c r="M2630" s="57"/>
    </row>
    <row r="2631" spans="1:13" x14ac:dyDescent="0.2">
      <c r="A2631" s="101"/>
      <c r="B2631" s="55" t="s">
        <v>3307</v>
      </c>
      <c r="C2631" s="56">
        <v>0</v>
      </c>
      <c r="D2631" s="56">
        <v>0</v>
      </c>
      <c r="E2631" s="56">
        <v>0</v>
      </c>
      <c r="F2631" s="56">
        <v>0</v>
      </c>
      <c r="G2631" s="56">
        <f>F2631/$F$11*$G$11</f>
        <v>0</v>
      </c>
      <c r="H2631" s="56">
        <v>4676174</v>
      </c>
      <c r="I2631" s="56">
        <v>5300401</v>
      </c>
      <c r="J2631" s="56">
        <v>5262095</v>
      </c>
      <c r="M2631" s="57"/>
    </row>
    <row r="2632" spans="1:13" x14ac:dyDescent="0.2">
      <c r="B2632" s="58" t="s">
        <v>426</v>
      </c>
      <c r="C2632" s="72">
        <f t="shared" ref="C2632:J2632" si="386">SUM(C2631)</f>
        <v>0</v>
      </c>
      <c r="D2632" s="72">
        <f t="shared" si="386"/>
        <v>0</v>
      </c>
      <c r="E2632" s="72">
        <f t="shared" si="386"/>
        <v>0</v>
      </c>
      <c r="F2632" s="72">
        <f t="shared" si="386"/>
        <v>0</v>
      </c>
      <c r="G2632" s="72">
        <f t="shared" si="386"/>
        <v>0</v>
      </c>
      <c r="H2632" s="72">
        <f t="shared" si="386"/>
        <v>4676174</v>
      </c>
      <c r="I2632" s="72">
        <f t="shared" si="386"/>
        <v>5300401</v>
      </c>
      <c r="J2632" s="72">
        <f t="shared" si="386"/>
        <v>5262095</v>
      </c>
      <c r="M2632" s="57"/>
    </row>
    <row r="2633" spans="1:13" x14ac:dyDescent="0.2">
      <c r="B2633" s="58"/>
      <c r="C2633" s="69"/>
      <c r="D2633" s="69"/>
      <c r="E2633" s="69"/>
      <c r="F2633" s="24"/>
      <c r="G2633" s="69"/>
      <c r="H2633" s="69"/>
      <c r="I2633" s="69"/>
      <c r="J2633" s="69"/>
      <c r="M2633" s="57"/>
    </row>
    <row r="2634" spans="1:13" x14ac:dyDescent="0.2">
      <c r="B2634" s="58" t="s">
        <v>4021</v>
      </c>
      <c r="C2634" s="69"/>
      <c r="D2634" s="69"/>
      <c r="E2634" s="69"/>
      <c r="F2634" s="24"/>
      <c r="G2634" s="69"/>
      <c r="H2634" s="69"/>
      <c r="I2634" s="69"/>
      <c r="J2634" s="69"/>
      <c r="M2634" s="57"/>
    </row>
    <row r="2635" spans="1:13" x14ac:dyDescent="0.2">
      <c r="A2635" s="60">
        <v>3205</v>
      </c>
      <c r="B2635" s="70" t="s">
        <v>446</v>
      </c>
      <c r="C2635" s="69">
        <v>0</v>
      </c>
      <c r="D2635" s="69">
        <v>0</v>
      </c>
      <c r="E2635" s="69">
        <v>0</v>
      </c>
      <c r="F2635" s="69">
        <v>0</v>
      </c>
      <c r="G2635" s="69">
        <f>F2635/$F$11*$G$11</f>
        <v>0</v>
      </c>
      <c r="H2635" s="69">
        <f>ROUND(E2635*1.05,0)</f>
        <v>0</v>
      </c>
      <c r="I2635" s="69">
        <f t="shared" ref="I2635:J2638" si="387">ROUND(H2635*1.06,0)</f>
        <v>0</v>
      </c>
      <c r="J2635" s="69">
        <f t="shared" si="387"/>
        <v>0</v>
      </c>
      <c r="M2635" s="57"/>
    </row>
    <row r="2636" spans="1:13" x14ac:dyDescent="0.2">
      <c r="A2636" s="75">
        <v>3206</v>
      </c>
      <c r="B2636" s="70" t="s">
        <v>39</v>
      </c>
      <c r="C2636" s="69">
        <v>394</v>
      </c>
      <c r="D2636" s="69">
        <v>0</v>
      </c>
      <c r="E2636" s="69">
        <v>0</v>
      </c>
      <c r="F2636" s="69">
        <v>0</v>
      </c>
      <c r="G2636" s="69">
        <f>F2636/$F$11*$G$11</f>
        <v>0</v>
      </c>
      <c r="H2636" s="69">
        <f>ROUND(E2636*1.05,0)</f>
        <v>0</v>
      </c>
      <c r="I2636" s="69">
        <f t="shared" si="387"/>
        <v>0</v>
      </c>
      <c r="J2636" s="69">
        <f t="shared" si="387"/>
        <v>0</v>
      </c>
      <c r="M2636" s="57"/>
    </row>
    <row r="2637" spans="1:13" x14ac:dyDescent="0.2">
      <c r="A2637" s="75">
        <v>3213</v>
      </c>
      <c r="B2637" s="70" t="s">
        <v>2417</v>
      </c>
      <c r="C2637" s="69">
        <v>8908</v>
      </c>
      <c r="D2637" s="69">
        <v>500000</v>
      </c>
      <c r="E2637" s="69">
        <f>500000-46308-153692</f>
        <v>300000</v>
      </c>
      <c r="F2637" s="69">
        <v>1811</v>
      </c>
      <c r="G2637" s="69">
        <f>F2637/$F$11*$G$11</f>
        <v>2173.1999999999998</v>
      </c>
      <c r="H2637" s="69">
        <f>ROUND(E2637*1.05,0)</f>
        <v>315000</v>
      </c>
      <c r="I2637" s="69">
        <f t="shared" si="387"/>
        <v>333900</v>
      </c>
      <c r="J2637" s="69">
        <f t="shared" si="387"/>
        <v>353934</v>
      </c>
      <c r="M2637" s="57"/>
    </row>
    <row r="2638" spans="1:13" x14ac:dyDescent="0.2">
      <c r="A2638" s="60">
        <v>3215</v>
      </c>
      <c r="B2638" s="71" t="s">
        <v>42</v>
      </c>
      <c r="C2638" s="56">
        <v>65366</v>
      </c>
      <c r="D2638" s="56">
        <v>63000</v>
      </c>
      <c r="E2638" s="56">
        <f>63000+46308</f>
        <v>109308</v>
      </c>
      <c r="F2638" s="56">
        <f>110433+808684</f>
        <v>919117</v>
      </c>
      <c r="G2638" s="56">
        <f>F2638/$F$11*$G$11</f>
        <v>1102940.3999999999</v>
      </c>
      <c r="H2638" s="56">
        <v>0</v>
      </c>
      <c r="I2638" s="56">
        <f t="shared" si="387"/>
        <v>0</v>
      </c>
      <c r="J2638" s="56">
        <f t="shared" si="387"/>
        <v>0</v>
      </c>
      <c r="M2638" s="57"/>
    </row>
    <row r="2639" spans="1:13" x14ac:dyDescent="0.2">
      <c r="B2639" s="58" t="s">
        <v>417</v>
      </c>
      <c r="C2639" s="72">
        <f>SUM(C2635:C2638)</f>
        <v>74668</v>
      </c>
      <c r="D2639" s="72">
        <f t="shared" ref="D2639:J2639" si="388">SUM(D2635:D2638)</f>
        <v>563000</v>
      </c>
      <c r="E2639" s="72">
        <f t="shared" si="388"/>
        <v>409308</v>
      </c>
      <c r="F2639" s="72">
        <f t="shared" si="388"/>
        <v>920928</v>
      </c>
      <c r="G2639" s="72">
        <f t="shared" si="388"/>
        <v>1105113.5999999999</v>
      </c>
      <c r="H2639" s="72">
        <f t="shared" si="388"/>
        <v>315000</v>
      </c>
      <c r="I2639" s="72">
        <f t="shared" si="388"/>
        <v>333900</v>
      </c>
      <c r="J2639" s="72">
        <f t="shared" si="388"/>
        <v>353934</v>
      </c>
      <c r="M2639" s="57"/>
    </row>
    <row r="2640" spans="1:13" x14ac:dyDescent="0.2">
      <c r="B2640" s="58"/>
      <c r="C2640" s="69"/>
      <c r="D2640" s="69"/>
      <c r="E2640" s="69"/>
      <c r="G2640" s="69"/>
      <c r="H2640" s="69"/>
      <c r="I2640" s="69"/>
      <c r="J2640" s="69"/>
      <c r="M2640" s="57"/>
    </row>
    <row r="2641" spans="1:13" x14ac:dyDescent="0.2">
      <c r="B2641" s="58" t="s">
        <v>435</v>
      </c>
      <c r="C2641" s="69"/>
      <c r="D2641" s="69"/>
      <c r="E2641" s="69"/>
      <c r="G2641" s="69"/>
      <c r="H2641" s="69"/>
      <c r="I2641" s="69"/>
      <c r="J2641" s="69"/>
      <c r="M2641" s="57"/>
    </row>
    <row r="2642" spans="1:13" x14ac:dyDescent="0.2">
      <c r="A2642" s="60">
        <v>2081</v>
      </c>
      <c r="B2642" s="70" t="s">
        <v>496</v>
      </c>
      <c r="C2642" s="69">
        <v>0</v>
      </c>
      <c r="D2642" s="69">
        <v>5500</v>
      </c>
      <c r="E2642" s="69">
        <v>5500</v>
      </c>
      <c r="F2642" s="69">
        <v>0</v>
      </c>
      <c r="G2642" s="69">
        <f>F2642/$F$11*$G$11</f>
        <v>0</v>
      </c>
      <c r="H2642" s="69">
        <f>ROUND(E2642*1.05,0)</f>
        <v>5775</v>
      </c>
      <c r="I2642" s="69">
        <f t="shared" ref="I2642:J2653" si="389">ROUND(H2642*1.06,0)</f>
        <v>6122</v>
      </c>
      <c r="J2642" s="69">
        <f t="shared" si="389"/>
        <v>6489</v>
      </c>
      <c r="M2642" s="57"/>
    </row>
    <row r="2643" spans="1:13" x14ac:dyDescent="0.2">
      <c r="A2643" s="60">
        <v>2113</v>
      </c>
      <c r="B2643" s="70" t="s">
        <v>21</v>
      </c>
      <c r="C2643" s="69">
        <v>0</v>
      </c>
      <c r="D2643" s="69">
        <v>5250</v>
      </c>
      <c r="E2643" s="69">
        <v>5250</v>
      </c>
      <c r="F2643" s="69">
        <v>0</v>
      </c>
      <c r="G2643" s="69">
        <f>F2643/$F$11*$G$11</f>
        <v>0</v>
      </c>
      <c r="H2643" s="69">
        <f>ROUND(E2643*1.05,0)</f>
        <v>5513</v>
      </c>
      <c r="I2643" s="69">
        <f t="shared" si="389"/>
        <v>5844</v>
      </c>
      <c r="J2643" s="69">
        <f t="shared" si="389"/>
        <v>6195</v>
      </c>
      <c r="M2643" s="57"/>
    </row>
    <row r="2644" spans="1:13" x14ac:dyDescent="0.2">
      <c r="A2644" s="60">
        <v>2221</v>
      </c>
      <c r="B2644" s="70" t="s">
        <v>23</v>
      </c>
      <c r="C2644" s="69">
        <v>23772</v>
      </c>
      <c r="D2644" s="69">
        <v>0</v>
      </c>
      <c r="E2644" s="69">
        <v>0</v>
      </c>
      <c r="F2644" s="69">
        <v>0</v>
      </c>
      <c r="G2644" s="69">
        <v>0</v>
      </c>
      <c r="H2644" s="69">
        <f>ROUND(C2644*1.05,0)</f>
        <v>24961</v>
      </c>
      <c r="I2644" s="69">
        <f t="shared" si="389"/>
        <v>26459</v>
      </c>
      <c r="J2644" s="69">
        <f t="shared" si="389"/>
        <v>28047</v>
      </c>
      <c r="M2644" s="57"/>
    </row>
    <row r="2645" spans="1:13" x14ac:dyDescent="0.2">
      <c r="A2645" s="75">
        <v>2224</v>
      </c>
      <c r="B2645" s="70" t="s">
        <v>2954</v>
      </c>
      <c r="C2645" s="69">
        <v>4239</v>
      </c>
      <c r="D2645" s="69">
        <v>19908</v>
      </c>
      <c r="E2645" s="69">
        <v>19908</v>
      </c>
      <c r="F2645" s="69">
        <v>11190</v>
      </c>
      <c r="G2645" s="69">
        <f t="shared" ref="G2645:G2653" si="390">F2645/$F$11*$G$11</f>
        <v>13428</v>
      </c>
      <c r="H2645" s="69">
        <f>ROUND(E2645*1.05,0)</f>
        <v>20903</v>
      </c>
      <c r="I2645" s="69">
        <f t="shared" si="389"/>
        <v>22157</v>
      </c>
      <c r="J2645" s="69">
        <f t="shared" si="389"/>
        <v>23486</v>
      </c>
      <c r="M2645" s="57"/>
    </row>
    <row r="2646" spans="1:13" x14ac:dyDescent="0.2">
      <c r="A2646" s="75">
        <v>2227</v>
      </c>
      <c r="B2646" s="70" t="s">
        <v>448</v>
      </c>
      <c r="C2646" s="69">
        <v>1736</v>
      </c>
      <c r="D2646" s="69">
        <v>10500</v>
      </c>
      <c r="E2646" s="69">
        <v>10500</v>
      </c>
      <c r="F2646" s="69">
        <v>2506</v>
      </c>
      <c r="G2646" s="69">
        <f t="shared" si="390"/>
        <v>3007.2</v>
      </c>
      <c r="H2646" s="69">
        <f>ROUND(E2646*1.05,0)</f>
        <v>11025</v>
      </c>
      <c r="I2646" s="69">
        <f t="shared" si="389"/>
        <v>11687</v>
      </c>
      <c r="J2646" s="69">
        <f t="shared" si="389"/>
        <v>12388</v>
      </c>
      <c r="M2646" s="57"/>
    </row>
    <row r="2647" spans="1:13" x14ac:dyDescent="0.2">
      <c r="A2647" s="60">
        <v>2233</v>
      </c>
      <c r="B2647" s="70" t="s">
        <v>497</v>
      </c>
      <c r="C2647" s="69">
        <v>0</v>
      </c>
      <c r="D2647" s="69">
        <v>21000</v>
      </c>
      <c r="E2647" s="69">
        <v>21000</v>
      </c>
      <c r="F2647" s="69">
        <v>0</v>
      </c>
      <c r="G2647" s="69">
        <f t="shared" si="390"/>
        <v>0</v>
      </c>
      <c r="H2647" s="69">
        <v>0</v>
      </c>
      <c r="I2647" s="69">
        <f t="shared" si="389"/>
        <v>0</v>
      </c>
      <c r="J2647" s="69">
        <f t="shared" si="389"/>
        <v>0</v>
      </c>
      <c r="M2647" s="57"/>
    </row>
    <row r="2648" spans="1:13" x14ac:dyDescent="0.2">
      <c r="A2648" s="75">
        <v>2238</v>
      </c>
      <c r="B2648" s="70" t="s">
        <v>479</v>
      </c>
      <c r="C2648" s="69">
        <v>18786</v>
      </c>
      <c r="D2648" s="69">
        <v>42000</v>
      </c>
      <c r="E2648" s="69">
        <v>42000</v>
      </c>
      <c r="F2648" s="69">
        <v>1120</v>
      </c>
      <c r="G2648" s="69">
        <f t="shared" si="390"/>
        <v>1344</v>
      </c>
      <c r="H2648" s="69">
        <f t="shared" ref="H2648:H2653" si="391">ROUND(E2648*1.05,0)</f>
        <v>44100</v>
      </c>
      <c r="I2648" s="69">
        <f t="shared" si="389"/>
        <v>46746</v>
      </c>
      <c r="J2648" s="69">
        <f t="shared" si="389"/>
        <v>49551</v>
      </c>
      <c r="M2648" s="57"/>
    </row>
    <row r="2649" spans="1:13" x14ac:dyDescent="0.2">
      <c r="A2649" s="60">
        <v>2246</v>
      </c>
      <c r="B2649" s="70" t="s">
        <v>2422</v>
      </c>
      <c r="C2649" s="69">
        <v>50984</v>
      </c>
      <c r="D2649" s="69">
        <v>68250</v>
      </c>
      <c r="E2649" s="69">
        <v>68250</v>
      </c>
      <c r="F2649" s="69">
        <v>58044</v>
      </c>
      <c r="G2649" s="69">
        <f t="shared" si="390"/>
        <v>69652.799999999988</v>
      </c>
      <c r="H2649" s="69">
        <f t="shared" si="391"/>
        <v>71663</v>
      </c>
      <c r="I2649" s="69">
        <f t="shared" si="389"/>
        <v>75963</v>
      </c>
      <c r="J2649" s="69">
        <f t="shared" si="389"/>
        <v>80521</v>
      </c>
      <c r="M2649" s="57"/>
    </row>
    <row r="2650" spans="1:13" x14ac:dyDescent="0.2">
      <c r="A2650" s="75">
        <v>2249</v>
      </c>
      <c r="B2650" s="70" t="s">
        <v>2955</v>
      </c>
      <c r="C2650" s="69">
        <v>18882</v>
      </c>
      <c r="D2650" s="69">
        <v>70000</v>
      </c>
      <c r="E2650" s="69">
        <v>70000</v>
      </c>
      <c r="F2650" s="69">
        <v>52327</v>
      </c>
      <c r="G2650" s="69">
        <f t="shared" si="390"/>
        <v>62792.399999999994</v>
      </c>
      <c r="H2650" s="69">
        <f t="shared" si="391"/>
        <v>73500</v>
      </c>
      <c r="I2650" s="69">
        <f t="shared" si="389"/>
        <v>77910</v>
      </c>
      <c r="J2650" s="69">
        <f t="shared" si="389"/>
        <v>82585</v>
      </c>
      <c r="M2650" s="57"/>
    </row>
    <row r="2651" spans="1:13" x14ac:dyDescent="0.2">
      <c r="A2651" s="75">
        <v>2252</v>
      </c>
      <c r="B2651" s="70" t="s">
        <v>4052</v>
      </c>
      <c r="C2651" s="69">
        <v>0</v>
      </c>
      <c r="D2651" s="69">
        <v>36800</v>
      </c>
      <c r="E2651" s="69">
        <v>36800</v>
      </c>
      <c r="F2651" s="69">
        <v>0</v>
      </c>
      <c r="G2651" s="69">
        <f t="shared" si="390"/>
        <v>0</v>
      </c>
      <c r="H2651" s="69">
        <f t="shared" si="391"/>
        <v>38640</v>
      </c>
      <c r="I2651" s="69">
        <f t="shared" si="389"/>
        <v>40958</v>
      </c>
      <c r="J2651" s="69">
        <f t="shared" si="389"/>
        <v>43415</v>
      </c>
      <c r="M2651" s="57"/>
    </row>
    <row r="2652" spans="1:13" x14ac:dyDescent="0.2">
      <c r="A2652" s="60">
        <v>2256</v>
      </c>
      <c r="B2652" s="70" t="s">
        <v>4054</v>
      </c>
      <c r="C2652" s="69">
        <v>279956</v>
      </c>
      <c r="D2652" s="69">
        <v>542856</v>
      </c>
      <c r="E2652" s="69">
        <v>542856</v>
      </c>
      <c r="F2652" s="69">
        <v>0</v>
      </c>
      <c r="G2652" s="69">
        <f t="shared" si="390"/>
        <v>0</v>
      </c>
      <c r="H2652" s="69">
        <f t="shared" si="391"/>
        <v>569999</v>
      </c>
      <c r="I2652" s="69">
        <f t="shared" si="389"/>
        <v>604199</v>
      </c>
      <c r="J2652" s="69">
        <f t="shared" si="389"/>
        <v>640451</v>
      </c>
      <c r="M2652" s="57"/>
    </row>
    <row r="2653" spans="1:13" x14ac:dyDescent="0.2">
      <c r="A2653" s="75">
        <v>2305</v>
      </c>
      <c r="B2653" s="71" t="s">
        <v>31</v>
      </c>
      <c r="C2653" s="56">
        <v>112</v>
      </c>
      <c r="D2653" s="56">
        <v>1050</v>
      </c>
      <c r="E2653" s="56">
        <v>1050</v>
      </c>
      <c r="F2653" s="56">
        <v>0</v>
      </c>
      <c r="G2653" s="56">
        <f t="shared" si="390"/>
        <v>0</v>
      </c>
      <c r="H2653" s="56">
        <f t="shared" si="391"/>
        <v>1103</v>
      </c>
      <c r="I2653" s="56">
        <f t="shared" si="389"/>
        <v>1169</v>
      </c>
      <c r="J2653" s="56">
        <f t="shared" si="389"/>
        <v>1239</v>
      </c>
      <c r="M2653" s="57"/>
    </row>
    <row r="2654" spans="1:13" x14ac:dyDescent="0.2">
      <c r="B2654" s="58" t="s">
        <v>436</v>
      </c>
      <c r="C2654" s="116">
        <f t="shared" ref="C2654:J2654" si="392">SUM(C2642:C2653)</f>
        <v>398467</v>
      </c>
      <c r="D2654" s="116">
        <f t="shared" si="392"/>
        <v>823114</v>
      </c>
      <c r="E2654" s="116">
        <f t="shared" si="392"/>
        <v>823114</v>
      </c>
      <c r="F2654" s="116">
        <f t="shared" si="392"/>
        <v>125187</v>
      </c>
      <c r="G2654" s="116">
        <f t="shared" si="392"/>
        <v>150224.39999999997</v>
      </c>
      <c r="H2654" s="116">
        <f t="shared" si="392"/>
        <v>867182</v>
      </c>
      <c r="I2654" s="116">
        <f t="shared" si="392"/>
        <v>919214</v>
      </c>
      <c r="J2654" s="116">
        <f t="shared" si="392"/>
        <v>974367</v>
      </c>
      <c r="M2654" s="57"/>
    </row>
    <row r="2655" spans="1:13" x14ac:dyDescent="0.2">
      <c r="B2655" s="61"/>
      <c r="C2655" s="89"/>
      <c r="D2655" s="89"/>
      <c r="E2655" s="89"/>
      <c r="F2655" s="89"/>
      <c r="G2655" s="89"/>
      <c r="H2655" s="89"/>
      <c r="I2655" s="89"/>
      <c r="J2655" s="89"/>
      <c r="M2655" s="57"/>
    </row>
    <row r="2656" spans="1:13" x14ac:dyDescent="0.2">
      <c r="B2656" s="58" t="s">
        <v>4055</v>
      </c>
      <c r="C2656" s="73">
        <f t="shared" ref="C2656:J2656" si="393">C2628+C2639+C2654+C2632</f>
        <v>1907585</v>
      </c>
      <c r="D2656" s="73">
        <f t="shared" si="393"/>
        <v>2618209</v>
      </c>
      <c r="E2656" s="73">
        <f t="shared" si="393"/>
        <v>2464517</v>
      </c>
      <c r="F2656" s="73">
        <f t="shared" si="393"/>
        <v>2434843</v>
      </c>
      <c r="G2656" s="73">
        <f t="shared" si="393"/>
        <v>2921811.6</v>
      </c>
      <c r="H2656" s="73">
        <f t="shared" si="393"/>
        <v>7204917</v>
      </c>
      <c r="I2656" s="73">
        <f t="shared" si="393"/>
        <v>8007802</v>
      </c>
      <c r="J2656" s="73">
        <f t="shared" si="393"/>
        <v>8161026</v>
      </c>
      <c r="M2656" s="57"/>
    </row>
    <row r="2657" spans="1:13" x14ac:dyDescent="0.2">
      <c r="B2657" s="58"/>
      <c r="C2657" s="73"/>
      <c r="D2657" s="73"/>
      <c r="E2657" s="73"/>
      <c r="G2657" s="69"/>
      <c r="H2657" s="69"/>
      <c r="I2657" s="73"/>
      <c r="J2657" s="73"/>
      <c r="M2657" s="57"/>
    </row>
    <row r="2658" spans="1:13" x14ac:dyDescent="0.2">
      <c r="B2658" s="58"/>
      <c r="C2658" s="73"/>
      <c r="D2658" s="73"/>
      <c r="E2658" s="73"/>
      <c r="G2658" s="69"/>
      <c r="H2658" s="69"/>
      <c r="I2658" s="73"/>
      <c r="J2658" s="73"/>
      <c r="M2658" s="57"/>
    </row>
    <row r="2659" spans="1:13" x14ac:dyDescent="0.2">
      <c r="B2659" s="58"/>
      <c r="C2659" s="73"/>
      <c r="D2659" s="73"/>
      <c r="E2659" s="73"/>
      <c r="G2659" s="69"/>
      <c r="H2659" s="69"/>
      <c r="I2659" s="73"/>
      <c r="J2659" s="73"/>
      <c r="M2659" s="57"/>
    </row>
    <row r="2660" spans="1:13" x14ac:dyDescent="0.2">
      <c r="B2660" s="58"/>
      <c r="C2660" s="73"/>
      <c r="D2660" s="73"/>
      <c r="E2660" s="73"/>
      <c r="G2660" s="69"/>
      <c r="H2660" s="69"/>
      <c r="I2660" s="73"/>
      <c r="J2660" s="73"/>
      <c r="M2660" s="57"/>
    </row>
    <row r="2661" spans="1:13" x14ac:dyDescent="0.2">
      <c r="G2661" s="69"/>
      <c r="H2661" s="69"/>
      <c r="M2661" s="57"/>
    </row>
    <row r="2662" spans="1:13" x14ac:dyDescent="0.2">
      <c r="A2662" s="6"/>
      <c r="B2662" s="6"/>
      <c r="C2662" s="6"/>
      <c r="D2662" s="6"/>
      <c r="E2662" s="6"/>
      <c r="G2662" s="69"/>
      <c r="H2662" s="69"/>
      <c r="I2662" s="6"/>
      <c r="J2662" s="6"/>
      <c r="M2662" s="57"/>
    </row>
    <row r="2663" spans="1:13" x14ac:dyDescent="0.2">
      <c r="A2663" s="6"/>
      <c r="B2663" s="6"/>
      <c r="C2663" s="6"/>
      <c r="D2663" s="6"/>
      <c r="E2663" s="6"/>
      <c r="G2663" s="69"/>
      <c r="H2663" s="69"/>
      <c r="I2663" s="6"/>
      <c r="J2663" s="6"/>
      <c r="M2663" s="57"/>
    </row>
    <row r="2664" spans="1:13" s="9" customFormat="1" x14ac:dyDescent="0.2">
      <c r="A2664" s="6"/>
      <c r="B2664" s="6"/>
      <c r="C2664" s="6"/>
      <c r="D2664" s="6"/>
      <c r="E2664" s="6"/>
      <c r="F2664" s="2"/>
      <c r="G2664" s="69"/>
      <c r="H2664" s="69"/>
      <c r="I2664" s="6"/>
      <c r="J2664" s="6"/>
      <c r="M2664" s="57"/>
    </row>
    <row r="2665" spans="1:13" x14ac:dyDescent="0.2">
      <c r="A2665" s="6"/>
      <c r="B2665" s="6"/>
      <c r="C2665" s="6"/>
      <c r="D2665" s="6"/>
      <c r="E2665" s="6"/>
      <c r="G2665" s="69"/>
      <c r="H2665" s="69"/>
      <c r="I2665" s="6"/>
      <c r="J2665" s="6"/>
      <c r="M2665" s="57"/>
    </row>
    <row r="2666" spans="1:13" x14ac:dyDescent="0.2">
      <c r="A2666" s="6"/>
      <c r="B2666" s="6"/>
      <c r="C2666" s="6"/>
      <c r="D2666" s="6"/>
      <c r="E2666" s="6"/>
      <c r="G2666" s="69"/>
      <c r="H2666" s="69"/>
      <c r="I2666" s="6"/>
      <c r="J2666" s="6"/>
      <c r="M2666" s="57"/>
    </row>
    <row r="2667" spans="1:13" ht="15" x14ac:dyDescent="0.25">
      <c r="A2667" s="91">
        <v>2010</v>
      </c>
      <c r="B2667" s="48" t="s">
        <v>4117</v>
      </c>
      <c r="C2667" s="6"/>
      <c r="D2667" s="6"/>
      <c r="E2667" s="6"/>
      <c r="G2667" s="69"/>
      <c r="H2667" s="69"/>
      <c r="I2667" s="6"/>
      <c r="J2667" s="6"/>
      <c r="M2667" s="57"/>
    </row>
    <row r="2668" spans="1:13" x14ac:dyDescent="0.2">
      <c r="A2668" s="6"/>
      <c r="B2668" s="6"/>
      <c r="C2668" s="6"/>
      <c r="D2668" s="6"/>
      <c r="E2668" s="6"/>
      <c r="G2668" s="69"/>
      <c r="H2668" s="69"/>
      <c r="I2668" s="6"/>
      <c r="J2668" s="6"/>
      <c r="M2668" s="57"/>
    </row>
    <row r="2669" spans="1:13" x14ac:dyDescent="0.2">
      <c r="B2669" s="58" t="s">
        <v>4027</v>
      </c>
      <c r="C2669" s="96"/>
      <c r="D2669" s="96"/>
      <c r="E2669" s="96"/>
      <c r="G2669" s="69"/>
      <c r="H2669" s="69"/>
      <c r="I2669" s="96"/>
      <c r="J2669" s="96"/>
      <c r="M2669" s="57"/>
    </row>
    <row r="2670" spans="1:13" x14ac:dyDescent="0.2">
      <c r="A2670" s="111"/>
      <c r="B2670" s="55" t="s">
        <v>3307</v>
      </c>
      <c r="C2670" s="56">
        <v>0</v>
      </c>
      <c r="D2670" s="56">
        <v>0</v>
      </c>
      <c r="E2670" s="56">
        <v>0</v>
      </c>
      <c r="F2670" s="56">
        <v>0</v>
      </c>
      <c r="G2670" s="56">
        <f>F2670/$F$11*$G$11</f>
        <v>0</v>
      </c>
      <c r="H2670" s="56">
        <v>529408</v>
      </c>
      <c r="I2670" s="56">
        <v>233246</v>
      </c>
      <c r="J2670" s="56">
        <v>778323</v>
      </c>
      <c r="M2670" s="57"/>
    </row>
    <row r="2671" spans="1:13" x14ac:dyDescent="0.2">
      <c r="B2671" s="58" t="s">
        <v>433</v>
      </c>
      <c r="C2671" s="96">
        <f t="shared" ref="C2671:J2671" si="394">SUM(C2670)</f>
        <v>0</v>
      </c>
      <c r="D2671" s="96">
        <f t="shared" si="394"/>
        <v>0</v>
      </c>
      <c r="E2671" s="96">
        <f t="shared" si="394"/>
        <v>0</v>
      </c>
      <c r="F2671" s="96">
        <f t="shared" si="394"/>
        <v>0</v>
      </c>
      <c r="G2671" s="96">
        <f t="shared" si="394"/>
        <v>0</v>
      </c>
      <c r="H2671" s="96">
        <f t="shared" si="394"/>
        <v>529408</v>
      </c>
      <c r="I2671" s="96">
        <f t="shared" si="394"/>
        <v>233246</v>
      </c>
      <c r="J2671" s="96">
        <f t="shared" si="394"/>
        <v>778323</v>
      </c>
      <c r="M2671" s="57"/>
    </row>
    <row r="2672" spans="1:13" x14ac:dyDescent="0.2">
      <c r="B2672" s="58"/>
      <c r="C2672" s="96"/>
      <c r="D2672" s="96"/>
      <c r="E2672" s="96"/>
      <c r="F2672" s="96"/>
      <c r="G2672" s="96"/>
      <c r="H2672" s="96"/>
      <c r="I2672" s="96"/>
      <c r="J2672" s="96"/>
      <c r="M2672" s="57"/>
    </row>
    <row r="2673" spans="1:13" x14ac:dyDescent="0.2">
      <c r="A2673" s="75"/>
      <c r="B2673" s="58" t="s">
        <v>418</v>
      </c>
      <c r="C2673" s="69"/>
      <c r="D2673" s="69"/>
      <c r="E2673" s="69"/>
      <c r="G2673" s="69"/>
      <c r="H2673" s="69"/>
      <c r="I2673" s="69"/>
      <c r="J2673" s="69"/>
      <c r="M2673" s="57"/>
    </row>
    <row r="2674" spans="1:13" s="9" customFormat="1" x14ac:dyDescent="0.2">
      <c r="A2674" s="75">
        <v>4204</v>
      </c>
      <c r="B2674" s="70" t="s">
        <v>4058</v>
      </c>
      <c r="C2674" s="69">
        <v>44556</v>
      </c>
      <c r="D2674" s="69">
        <v>30710</v>
      </c>
      <c r="E2674" s="69">
        <v>30710</v>
      </c>
      <c r="F2674" s="69">
        <v>0</v>
      </c>
      <c r="G2674" s="69">
        <f>F2674/$F$11*$G$11</f>
        <v>0</v>
      </c>
      <c r="H2674" s="69">
        <f>ROUND(E2674*1.05,0)</f>
        <v>32246</v>
      </c>
      <c r="I2674" s="69">
        <f>ROUND(H2674*1.08,0)</f>
        <v>34826</v>
      </c>
      <c r="J2674" s="69">
        <f>ROUND(I2674*1.08,0)</f>
        <v>37612</v>
      </c>
      <c r="M2674" s="57"/>
    </row>
    <row r="2675" spans="1:13" s="9" customFormat="1" x14ac:dyDescent="0.2">
      <c r="A2675" s="75">
        <v>4209</v>
      </c>
      <c r="B2675" s="70" t="s">
        <v>237</v>
      </c>
      <c r="C2675" s="69">
        <v>71</v>
      </c>
      <c r="D2675" s="69">
        <v>0</v>
      </c>
      <c r="E2675" s="69">
        <v>0</v>
      </c>
      <c r="F2675" s="69">
        <v>0</v>
      </c>
      <c r="G2675" s="69">
        <f>F2675/$F$11*$G$11</f>
        <v>0</v>
      </c>
      <c r="H2675" s="69">
        <f>ROUND(E2675*1.05,0)</f>
        <v>0</v>
      </c>
      <c r="I2675" s="69">
        <f>ROUND(H2675*1.05,0)</f>
        <v>0</v>
      </c>
      <c r="J2675" s="69">
        <f>ROUND(I2675*1.05,0)</f>
        <v>0</v>
      </c>
      <c r="M2675" s="57"/>
    </row>
    <row r="2676" spans="1:13" s="9" customFormat="1" x14ac:dyDescent="0.2">
      <c r="A2676" s="75">
        <v>4207</v>
      </c>
      <c r="B2676" s="71" t="s">
        <v>222</v>
      </c>
      <c r="C2676" s="56">
        <v>42519</v>
      </c>
      <c r="D2676" s="56">
        <v>37107</v>
      </c>
      <c r="E2676" s="56">
        <v>37107</v>
      </c>
      <c r="F2676" s="56">
        <v>0</v>
      </c>
      <c r="G2676" s="56">
        <f>F2676/$F$11*$G$11</f>
        <v>0</v>
      </c>
      <c r="H2676" s="56">
        <f>ROUND(E2676*1.05,0)</f>
        <v>38962</v>
      </c>
      <c r="I2676" s="56">
        <f>ROUND(H2676*1.08,0)</f>
        <v>42079</v>
      </c>
      <c r="J2676" s="56">
        <f>ROUND(I2676*1.08,0)</f>
        <v>45445</v>
      </c>
      <c r="M2676" s="57"/>
    </row>
    <row r="2677" spans="1:13" x14ac:dyDescent="0.2">
      <c r="A2677" s="75"/>
      <c r="B2677" s="58" t="s">
        <v>419</v>
      </c>
      <c r="C2677" s="59">
        <f t="shared" ref="C2677:J2677" si="395">SUM(C2674:C2676)</f>
        <v>87146</v>
      </c>
      <c r="D2677" s="59">
        <f t="shared" si="395"/>
        <v>67817</v>
      </c>
      <c r="E2677" s="59">
        <f t="shared" si="395"/>
        <v>67817</v>
      </c>
      <c r="F2677" s="59">
        <f t="shared" si="395"/>
        <v>0</v>
      </c>
      <c r="G2677" s="59">
        <f t="shared" si="395"/>
        <v>0</v>
      </c>
      <c r="H2677" s="59">
        <f t="shared" si="395"/>
        <v>71208</v>
      </c>
      <c r="I2677" s="59">
        <f t="shared" si="395"/>
        <v>76905</v>
      </c>
      <c r="J2677" s="59">
        <f t="shared" si="395"/>
        <v>83057</v>
      </c>
      <c r="M2677" s="57"/>
    </row>
    <row r="2678" spans="1:13" x14ac:dyDescent="0.2">
      <c r="B2678" s="61"/>
      <c r="C2678" s="97"/>
      <c r="D2678" s="97"/>
      <c r="E2678" s="97"/>
      <c r="F2678" s="102"/>
      <c r="G2678" s="56"/>
      <c r="H2678" s="56"/>
      <c r="I2678" s="97"/>
      <c r="J2678" s="97"/>
      <c r="M2678" s="57"/>
    </row>
    <row r="2679" spans="1:13" x14ac:dyDescent="0.2">
      <c r="B2679" s="58" t="s">
        <v>4029</v>
      </c>
      <c r="C2679" s="73">
        <f>+C2656+C2677+C2671</f>
        <v>1994731</v>
      </c>
      <c r="D2679" s="73">
        <f t="shared" ref="D2679:J2679" si="396">+D2656+D2677+D2671</f>
        <v>2686026</v>
      </c>
      <c r="E2679" s="73">
        <f t="shared" si="396"/>
        <v>2532334</v>
      </c>
      <c r="F2679" s="73">
        <f t="shared" si="396"/>
        <v>2434843</v>
      </c>
      <c r="G2679" s="73">
        <f t="shared" si="396"/>
        <v>2921811.6</v>
      </c>
      <c r="H2679" s="73">
        <f t="shared" si="396"/>
        <v>7805533</v>
      </c>
      <c r="I2679" s="73">
        <f t="shared" si="396"/>
        <v>8317953</v>
      </c>
      <c r="J2679" s="73">
        <f t="shared" si="396"/>
        <v>9022406</v>
      </c>
      <c r="M2679" s="57"/>
    </row>
    <row r="2680" spans="1:13" x14ac:dyDescent="0.2">
      <c r="B2680" s="58"/>
      <c r="C2680" s="73"/>
      <c r="D2680" s="73"/>
      <c r="E2680" s="73"/>
      <c r="G2680" s="69"/>
      <c r="H2680" s="69"/>
      <c r="I2680" s="73"/>
      <c r="J2680" s="73"/>
      <c r="M2680" s="57"/>
    </row>
    <row r="2681" spans="1:13" x14ac:dyDescent="0.2">
      <c r="A2681" s="101"/>
      <c r="B2681" s="58" t="s">
        <v>1089</v>
      </c>
      <c r="C2681" s="72"/>
      <c r="D2681" s="72"/>
      <c r="E2681" s="72"/>
      <c r="F2681" s="9"/>
      <c r="G2681" s="69"/>
      <c r="H2681" s="69"/>
      <c r="I2681" s="72"/>
      <c r="J2681" s="72"/>
      <c r="M2681" s="57"/>
    </row>
    <row r="2682" spans="1:13" x14ac:dyDescent="0.2">
      <c r="A2682" s="101"/>
      <c r="B2682" s="71" t="s">
        <v>4112</v>
      </c>
      <c r="C2682" s="105">
        <v>0</v>
      </c>
      <c r="D2682" s="56">
        <f>+D2607</f>
        <v>0</v>
      </c>
      <c r="E2682" s="56">
        <v>0</v>
      </c>
      <c r="F2682" s="56">
        <v>0</v>
      </c>
      <c r="G2682" s="56">
        <f>F2682/$F$11*$G$11</f>
        <v>0</v>
      </c>
      <c r="H2682" s="56">
        <v>0</v>
      </c>
      <c r="I2682" s="56">
        <f>+I2607</f>
        <v>0</v>
      </c>
      <c r="J2682" s="56">
        <f>+J2607</f>
        <v>0</v>
      </c>
      <c r="M2682" s="57"/>
    </row>
    <row r="2683" spans="1:13" x14ac:dyDescent="0.2">
      <c r="A2683" s="101"/>
      <c r="B2683" s="58" t="s">
        <v>1090</v>
      </c>
      <c r="C2683" s="72">
        <f t="shared" ref="C2683:J2683" si="397">SUM(C2681:C2682)</f>
        <v>0</v>
      </c>
      <c r="D2683" s="72">
        <f t="shared" si="397"/>
        <v>0</v>
      </c>
      <c r="E2683" s="72">
        <f t="shared" si="397"/>
        <v>0</v>
      </c>
      <c r="F2683" s="72">
        <f t="shared" si="397"/>
        <v>0</v>
      </c>
      <c r="G2683" s="72">
        <f t="shared" si="397"/>
        <v>0</v>
      </c>
      <c r="H2683" s="72">
        <f t="shared" si="397"/>
        <v>0</v>
      </c>
      <c r="I2683" s="72">
        <f t="shared" si="397"/>
        <v>0</v>
      </c>
      <c r="J2683" s="72">
        <f t="shared" si="397"/>
        <v>0</v>
      </c>
      <c r="M2683" s="57"/>
    </row>
    <row r="2684" spans="1:13" x14ac:dyDescent="0.2">
      <c r="B2684" s="58"/>
      <c r="C2684" s="96"/>
      <c r="D2684" s="96"/>
      <c r="E2684" s="96"/>
      <c r="G2684" s="69"/>
      <c r="H2684" s="69"/>
      <c r="I2684" s="96"/>
      <c r="J2684" s="96"/>
      <c r="M2684" s="57"/>
    </row>
    <row r="2685" spans="1:13" ht="13.5" thickBot="1" x14ac:dyDescent="0.25">
      <c r="B2685" s="65" t="s">
        <v>4033</v>
      </c>
      <c r="C2685" s="76">
        <f t="shared" ref="C2685:J2685" si="398">+C2679+C2683</f>
        <v>1994731</v>
      </c>
      <c r="D2685" s="76">
        <f t="shared" si="398"/>
        <v>2686026</v>
      </c>
      <c r="E2685" s="76">
        <f t="shared" si="398"/>
        <v>2532334</v>
      </c>
      <c r="F2685" s="76">
        <f t="shared" si="398"/>
        <v>2434843</v>
      </c>
      <c r="G2685" s="76">
        <f t="shared" si="398"/>
        <v>2921811.6</v>
      </c>
      <c r="H2685" s="76">
        <f t="shared" si="398"/>
        <v>7805533</v>
      </c>
      <c r="I2685" s="76">
        <f t="shared" si="398"/>
        <v>8317953</v>
      </c>
      <c r="J2685" s="76">
        <f t="shared" si="398"/>
        <v>9022406</v>
      </c>
      <c r="M2685" s="57"/>
    </row>
    <row r="2686" spans="1:13" ht="13.5" thickTop="1" x14ac:dyDescent="0.2">
      <c r="B2686" s="58"/>
      <c r="C2686" s="72"/>
      <c r="D2686" s="72"/>
      <c r="E2686" s="72"/>
      <c r="F2686" s="72"/>
      <c r="G2686" s="72"/>
      <c r="H2686" s="72"/>
      <c r="I2686" s="72"/>
      <c r="J2686" s="72"/>
      <c r="M2686" s="57"/>
    </row>
    <row r="2687" spans="1:13" ht="13.5" thickBot="1" x14ac:dyDescent="0.25">
      <c r="B2687" s="65" t="s">
        <v>4059</v>
      </c>
      <c r="C2687" s="77">
        <f t="shared" ref="C2687:J2687" si="399">C2610-C2685</f>
        <v>-1987638</v>
      </c>
      <c r="D2687" s="77">
        <f t="shared" si="399"/>
        <v>-2676669</v>
      </c>
      <c r="E2687" s="77">
        <f t="shared" si="399"/>
        <v>-2522977</v>
      </c>
      <c r="F2687" s="77">
        <f t="shared" si="399"/>
        <v>-2427863</v>
      </c>
      <c r="G2687" s="77">
        <f t="shared" si="399"/>
        <v>-2913435.6</v>
      </c>
      <c r="H2687" s="77">
        <f t="shared" si="399"/>
        <v>-7796319</v>
      </c>
      <c r="I2687" s="77">
        <f t="shared" si="399"/>
        <v>-8308186</v>
      </c>
      <c r="J2687" s="77">
        <f t="shared" si="399"/>
        <v>-9012053</v>
      </c>
      <c r="M2687" s="57"/>
    </row>
    <row r="2688" spans="1:13" ht="13.5" thickTop="1" x14ac:dyDescent="0.2">
      <c r="B2688" s="58"/>
      <c r="C2688" s="78"/>
      <c r="D2688" s="78"/>
      <c r="E2688" s="78"/>
      <c r="G2688" s="69"/>
      <c r="H2688" s="69"/>
      <c r="I2688" s="78"/>
      <c r="J2688" s="78"/>
      <c r="M2688" s="57"/>
    </row>
    <row r="2689" spans="7:13" x14ac:dyDescent="0.2">
      <c r="G2689" s="69"/>
      <c r="H2689" s="69"/>
      <c r="M2689" s="57"/>
    </row>
    <row r="2690" spans="7:13" x14ac:dyDescent="0.2">
      <c r="G2690" s="69"/>
      <c r="H2690" s="69"/>
      <c r="M2690" s="57"/>
    </row>
    <row r="2691" spans="7:13" x14ac:dyDescent="0.2">
      <c r="G2691" s="69"/>
      <c r="H2691" s="69"/>
      <c r="M2691" s="57"/>
    </row>
    <row r="2692" spans="7:13" x14ac:dyDescent="0.2">
      <c r="G2692" s="69"/>
      <c r="H2692" s="69"/>
      <c r="M2692" s="57"/>
    </row>
    <row r="2693" spans="7:13" x14ac:dyDescent="0.2">
      <c r="G2693" s="69"/>
      <c r="H2693" s="69"/>
      <c r="M2693" s="57"/>
    </row>
    <row r="2694" spans="7:13" x14ac:dyDescent="0.2">
      <c r="G2694" s="69"/>
      <c r="H2694" s="69"/>
      <c r="M2694" s="57"/>
    </row>
    <row r="2695" spans="7:13" x14ac:dyDescent="0.2">
      <c r="G2695" s="69"/>
      <c r="H2695" s="69"/>
      <c r="M2695" s="57"/>
    </row>
    <row r="2696" spans="7:13" x14ac:dyDescent="0.2">
      <c r="G2696" s="69"/>
      <c r="H2696" s="69"/>
      <c r="M2696" s="57"/>
    </row>
    <row r="2697" spans="7:13" x14ac:dyDescent="0.2">
      <c r="G2697" s="69"/>
      <c r="H2697" s="69"/>
      <c r="M2697" s="57"/>
    </row>
    <row r="2698" spans="7:13" x14ac:dyDescent="0.2">
      <c r="G2698" s="69"/>
      <c r="H2698" s="69"/>
      <c r="M2698" s="57"/>
    </row>
    <row r="2699" spans="7:13" x14ac:dyDescent="0.2">
      <c r="G2699" s="69"/>
      <c r="H2699" s="69"/>
      <c r="M2699" s="57"/>
    </row>
    <row r="2700" spans="7:13" x14ac:dyDescent="0.2">
      <c r="G2700" s="69"/>
      <c r="H2700" s="69"/>
      <c r="M2700" s="57"/>
    </row>
    <row r="2701" spans="7:13" x14ac:dyDescent="0.2">
      <c r="G2701" s="69"/>
      <c r="H2701" s="69"/>
      <c r="M2701" s="57"/>
    </row>
    <row r="2702" spans="7:13" x14ac:dyDescent="0.2">
      <c r="G2702" s="69"/>
      <c r="H2702" s="69"/>
      <c r="M2702" s="57"/>
    </row>
    <row r="2703" spans="7:13" x14ac:dyDescent="0.2">
      <c r="G2703" s="69"/>
      <c r="H2703" s="69"/>
      <c r="M2703" s="57"/>
    </row>
    <row r="2704" spans="7:13" x14ac:dyDescent="0.2">
      <c r="G2704" s="69"/>
      <c r="H2704" s="69"/>
      <c r="M2704" s="57"/>
    </row>
    <row r="2705" spans="7:13" x14ac:dyDescent="0.2">
      <c r="G2705" s="69"/>
      <c r="H2705" s="69"/>
      <c r="M2705" s="57"/>
    </row>
    <row r="2706" spans="7:13" x14ac:dyDescent="0.2">
      <c r="G2706" s="69"/>
      <c r="H2706" s="69"/>
      <c r="M2706" s="57"/>
    </row>
    <row r="2707" spans="7:13" x14ac:dyDescent="0.2">
      <c r="G2707" s="69"/>
      <c r="H2707" s="69"/>
      <c r="M2707" s="57"/>
    </row>
    <row r="2708" spans="7:13" x14ac:dyDescent="0.2">
      <c r="G2708" s="69"/>
      <c r="H2708" s="69"/>
      <c r="M2708" s="57"/>
    </row>
    <row r="2709" spans="7:13" x14ac:dyDescent="0.2">
      <c r="G2709" s="69"/>
      <c r="H2709" s="69"/>
      <c r="M2709" s="57"/>
    </row>
    <row r="2710" spans="7:13" x14ac:dyDescent="0.2">
      <c r="G2710" s="69"/>
      <c r="H2710" s="69"/>
      <c r="M2710" s="57"/>
    </row>
    <row r="2711" spans="7:13" x14ac:dyDescent="0.2">
      <c r="G2711" s="69"/>
      <c r="H2711" s="69"/>
      <c r="M2711" s="57"/>
    </row>
    <row r="2712" spans="7:13" x14ac:dyDescent="0.2">
      <c r="G2712" s="69"/>
      <c r="H2712" s="69"/>
      <c r="M2712" s="57"/>
    </row>
    <row r="2713" spans="7:13" x14ac:dyDescent="0.2">
      <c r="G2713" s="69"/>
      <c r="H2713" s="69"/>
      <c r="M2713" s="57"/>
    </row>
    <row r="2714" spans="7:13" x14ac:dyDescent="0.2">
      <c r="G2714" s="69"/>
      <c r="H2714" s="69"/>
      <c r="M2714" s="57"/>
    </row>
    <row r="2715" spans="7:13" x14ac:dyDescent="0.2">
      <c r="G2715" s="69"/>
      <c r="H2715" s="69"/>
      <c r="M2715" s="57"/>
    </row>
    <row r="2716" spans="7:13" x14ac:dyDescent="0.2">
      <c r="G2716" s="69"/>
      <c r="H2716" s="69"/>
      <c r="M2716" s="57"/>
    </row>
    <row r="2717" spans="7:13" x14ac:dyDescent="0.2">
      <c r="G2717" s="69"/>
      <c r="H2717" s="69"/>
      <c r="M2717" s="57"/>
    </row>
    <row r="2718" spans="7:13" x14ac:dyDescent="0.2">
      <c r="G2718" s="69"/>
      <c r="H2718" s="69"/>
      <c r="M2718" s="57"/>
    </row>
    <row r="2719" spans="7:13" x14ac:dyDescent="0.2">
      <c r="G2719" s="69"/>
      <c r="H2719" s="69"/>
      <c r="M2719" s="57"/>
    </row>
    <row r="2720" spans="7:13" x14ac:dyDescent="0.2">
      <c r="G2720" s="69"/>
      <c r="H2720" s="69"/>
      <c r="M2720" s="57"/>
    </row>
    <row r="2721" spans="1:13" x14ac:dyDescent="0.2">
      <c r="G2721" s="69"/>
      <c r="H2721" s="69"/>
      <c r="M2721" s="57"/>
    </row>
    <row r="2722" spans="1:13" x14ac:dyDescent="0.2">
      <c r="G2722" s="69"/>
      <c r="H2722" s="69"/>
      <c r="M2722" s="57"/>
    </row>
    <row r="2723" spans="1:13" x14ac:dyDescent="0.2">
      <c r="G2723" s="69"/>
      <c r="H2723" s="69"/>
      <c r="M2723" s="57"/>
    </row>
    <row r="2724" spans="1:13" x14ac:dyDescent="0.2">
      <c r="G2724" s="69"/>
      <c r="H2724" s="69"/>
      <c r="M2724" s="57"/>
    </row>
    <row r="2725" spans="1:13" x14ac:dyDescent="0.2">
      <c r="G2725" s="69"/>
      <c r="H2725" s="69"/>
      <c r="M2725" s="57"/>
    </row>
    <row r="2726" spans="1:13" x14ac:dyDescent="0.2">
      <c r="G2726" s="69"/>
      <c r="H2726" s="69"/>
      <c r="M2726" s="57"/>
    </row>
    <row r="2727" spans="1:13" x14ac:dyDescent="0.2">
      <c r="G2727" s="69"/>
      <c r="H2727" s="69"/>
      <c r="M2727" s="57"/>
    </row>
    <row r="2728" spans="1:13" x14ac:dyDescent="0.2">
      <c r="G2728" s="69"/>
      <c r="H2728" s="69"/>
      <c r="M2728" s="57"/>
    </row>
    <row r="2729" spans="1:13" x14ac:dyDescent="0.2">
      <c r="G2729" s="69"/>
      <c r="H2729" s="69"/>
      <c r="M2729" s="57"/>
    </row>
    <row r="2730" spans="1:13" x14ac:dyDescent="0.2">
      <c r="G2730" s="69"/>
      <c r="H2730" s="69"/>
      <c r="M2730" s="57"/>
    </row>
    <row r="2731" spans="1:13" x14ac:dyDescent="0.2">
      <c r="G2731" s="69"/>
      <c r="H2731" s="69"/>
      <c r="M2731" s="57"/>
    </row>
    <row r="2732" spans="1:13" x14ac:dyDescent="0.2">
      <c r="G2732" s="69"/>
      <c r="H2732" s="69"/>
      <c r="M2732" s="57"/>
    </row>
    <row r="2733" spans="1:13" x14ac:dyDescent="0.2">
      <c r="G2733" s="69"/>
      <c r="H2733" s="69"/>
      <c r="M2733" s="57"/>
    </row>
    <row r="2734" spans="1:13" x14ac:dyDescent="0.2">
      <c r="G2734" s="69"/>
      <c r="H2734" s="69"/>
      <c r="M2734" s="57"/>
    </row>
    <row r="2735" spans="1:13" x14ac:dyDescent="0.2">
      <c r="G2735" s="69"/>
      <c r="H2735" s="69"/>
      <c r="M2735" s="57"/>
    </row>
    <row r="2736" spans="1:13" x14ac:dyDescent="0.2">
      <c r="A2736" s="6"/>
      <c r="B2736" s="6"/>
      <c r="C2736" s="6"/>
      <c r="D2736" s="6"/>
      <c r="E2736" s="6"/>
      <c r="G2736" s="69"/>
      <c r="H2736" s="69"/>
      <c r="I2736" s="6"/>
      <c r="J2736" s="6"/>
      <c r="M2736" s="57"/>
    </row>
    <row r="2737" spans="1:14" x14ac:dyDescent="0.2">
      <c r="A2737" s="6"/>
      <c r="B2737" s="6"/>
      <c r="C2737" s="6"/>
      <c r="D2737" s="6"/>
      <c r="E2737" s="6"/>
      <c r="G2737" s="69"/>
      <c r="H2737" s="69"/>
      <c r="I2737" s="6"/>
      <c r="J2737" s="6"/>
      <c r="M2737" s="57"/>
    </row>
    <row r="2738" spans="1:14" x14ac:dyDescent="0.2">
      <c r="A2738" s="6"/>
      <c r="B2738" s="6"/>
      <c r="C2738" s="6"/>
      <c r="D2738" s="6"/>
      <c r="E2738" s="6"/>
      <c r="G2738" s="69"/>
      <c r="H2738" s="69"/>
      <c r="I2738" s="6"/>
      <c r="J2738" s="6"/>
      <c r="M2738" s="57"/>
    </row>
    <row r="2739" spans="1:14" x14ac:dyDescent="0.2">
      <c r="A2739" s="6"/>
      <c r="B2739" s="6"/>
      <c r="C2739" s="6"/>
      <c r="D2739" s="6"/>
      <c r="E2739" s="6"/>
      <c r="G2739" s="69"/>
      <c r="H2739" s="69"/>
      <c r="I2739" s="6"/>
      <c r="J2739" s="6"/>
      <c r="M2739" s="57"/>
    </row>
    <row r="2740" spans="1:14" x14ac:dyDescent="0.2">
      <c r="G2740" s="69"/>
      <c r="H2740" s="69"/>
      <c r="L2740" s="2"/>
    </row>
    <row r="2741" spans="1:14" ht="15.75" x14ac:dyDescent="0.25">
      <c r="A2741" s="98">
        <v>2100</v>
      </c>
      <c r="B2741" s="123" t="s">
        <v>4118</v>
      </c>
      <c r="C2741" s="48"/>
      <c r="D2741" s="48"/>
      <c r="E2741" s="48"/>
      <c r="G2741" s="69"/>
      <c r="H2741" s="69"/>
      <c r="M2741" s="167"/>
    </row>
    <row r="2742" spans="1:14" ht="15" x14ac:dyDescent="0.25">
      <c r="A2742" s="91">
        <v>2110</v>
      </c>
      <c r="B2742" s="48" t="s">
        <v>47</v>
      </c>
      <c r="C2742" s="48"/>
      <c r="D2742" s="48"/>
      <c r="E2742" s="48"/>
      <c r="G2742" s="69"/>
      <c r="H2742" s="69"/>
      <c r="M2742" s="57"/>
    </row>
    <row r="2743" spans="1:14" ht="15" x14ac:dyDescent="0.25">
      <c r="A2743" s="91"/>
      <c r="B2743" s="48"/>
      <c r="C2743" s="48"/>
      <c r="D2743" s="48"/>
      <c r="E2743" s="48"/>
      <c r="G2743" s="69"/>
      <c r="H2743" s="69"/>
      <c r="M2743" s="57"/>
    </row>
    <row r="2744" spans="1:14" s="9" customFormat="1" x14ac:dyDescent="0.2">
      <c r="A2744" s="37"/>
      <c r="B2744" s="50" t="s">
        <v>61</v>
      </c>
      <c r="C2744" s="50"/>
      <c r="D2744" s="50"/>
      <c r="E2744" s="50"/>
      <c r="F2744" s="2"/>
      <c r="G2744" s="69"/>
      <c r="H2744" s="69"/>
      <c r="I2744" s="39"/>
      <c r="J2744" s="39"/>
      <c r="M2744" s="57"/>
    </row>
    <row r="2745" spans="1:14" x14ac:dyDescent="0.2">
      <c r="B2745" s="46"/>
      <c r="C2745" s="46"/>
      <c r="D2745" s="107"/>
      <c r="E2745" s="107"/>
      <c r="G2745" s="69"/>
      <c r="H2745" s="69"/>
      <c r="I2745" s="129"/>
      <c r="M2745" s="57"/>
    </row>
    <row r="2746" spans="1:14" ht="13.5" x14ac:dyDescent="0.25">
      <c r="B2746" s="58" t="s">
        <v>639</v>
      </c>
      <c r="C2746" s="99"/>
      <c r="D2746" s="99"/>
      <c r="E2746" s="99"/>
      <c r="G2746" s="69"/>
      <c r="H2746" s="69"/>
      <c r="L2746" s="159" t="s">
        <v>1084</v>
      </c>
      <c r="M2746" s="163" t="s">
        <v>1083</v>
      </c>
      <c r="N2746" s="160" t="s">
        <v>1085</v>
      </c>
    </row>
    <row r="2747" spans="1:14" ht="13.5" x14ac:dyDescent="0.25">
      <c r="A2747" s="75">
        <v>5613</v>
      </c>
      <c r="B2747" s="71" t="s">
        <v>2423</v>
      </c>
      <c r="C2747" s="56">
        <v>3529338</v>
      </c>
      <c r="D2747" s="56">
        <f>ROUND(5179391*1.86,0)</f>
        <v>9633667</v>
      </c>
      <c r="E2747" s="56">
        <f>9633667</f>
        <v>9633667</v>
      </c>
      <c r="F2747" s="56">
        <v>4548007</v>
      </c>
      <c r="G2747" s="56">
        <f>F2747/$F$11*$G$11</f>
        <v>5457608.4000000004</v>
      </c>
      <c r="H2747" s="56">
        <f>ROUND(1691878*L2747,0)</f>
        <v>8814684</v>
      </c>
      <c r="I2747" s="56">
        <f>ROUND(1691878*M2747,0)</f>
        <v>10136887</v>
      </c>
      <c r="J2747" s="56">
        <f>ROUND(1691878*N2747,0)</f>
        <v>11657420</v>
      </c>
      <c r="L2747" s="164">
        <v>5.21</v>
      </c>
      <c r="M2747" s="165">
        <f>+L2747*1.15</f>
        <v>5.9914999999999994</v>
      </c>
      <c r="N2747" s="166">
        <f>+M2747*1.15</f>
        <v>6.8902249999999992</v>
      </c>
    </row>
    <row r="2748" spans="1:14" x14ac:dyDescent="0.2">
      <c r="B2748" s="58" t="s">
        <v>640</v>
      </c>
      <c r="C2748" s="100">
        <f t="shared" ref="C2748:J2748" si="400">SUM(C2747:C2747)</f>
        <v>3529338</v>
      </c>
      <c r="D2748" s="100">
        <f t="shared" si="400"/>
        <v>9633667</v>
      </c>
      <c r="E2748" s="100">
        <f t="shared" si="400"/>
        <v>9633667</v>
      </c>
      <c r="F2748" s="100">
        <f t="shared" si="400"/>
        <v>4548007</v>
      </c>
      <c r="G2748" s="100">
        <f t="shared" si="400"/>
        <v>5457608.4000000004</v>
      </c>
      <c r="H2748" s="100">
        <f t="shared" si="400"/>
        <v>8814684</v>
      </c>
      <c r="I2748" s="100">
        <f t="shared" si="400"/>
        <v>10136887</v>
      </c>
      <c r="J2748" s="100">
        <f t="shared" si="400"/>
        <v>11657420</v>
      </c>
      <c r="L2748" s="100"/>
      <c r="M2748" s="57"/>
    </row>
    <row r="2749" spans="1:14" x14ac:dyDescent="0.2">
      <c r="B2749" s="58"/>
      <c r="C2749" s="99"/>
      <c r="D2749" s="99"/>
      <c r="E2749" s="99"/>
      <c r="G2749" s="69"/>
      <c r="H2749" s="69"/>
      <c r="L2749" s="534"/>
      <c r="M2749" s="57"/>
    </row>
    <row r="2750" spans="1:14" x14ac:dyDescent="0.2">
      <c r="B2750" s="58" t="s">
        <v>423</v>
      </c>
      <c r="C2750" s="99"/>
      <c r="D2750" s="99"/>
      <c r="E2750" s="99"/>
      <c r="F2750" s="24"/>
      <c r="G2750" s="69"/>
      <c r="H2750" s="69"/>
      <c r="I2750" s="99"/>
      <c r="J2750" s="99"/>
      <c r="M2750" s="57"/>
    </row>
    <row r="2751" spans="1:14" x14ac:dyDescent="0.2">
      <c r="A2751" s="111"/>
      <c r="B2751" s="70" t="s">
        <v>4119</v>
      </c>
      <c r="C2751" s="99">
        <v>4575</v>
      </c>
      <c r="D2751" s="69">
        <v>7700</v>
      </c>
      <c r="E2751" s="69">
        <v>7700</v>
      </c>
      <c r="F2751" s="69">
        <v>0</v>
      </c>
      <c r="G2751" s="69">
        <f>F2751/$F$11*$G$11</f>
        <v>0</v>
      </c>
      <c r="H2751" s="69">
        <f>ROUND(E2751*1.1,0)</f>
        <v>8470</v>
      </c>
      <c r="I2751" s="69">
        <f>ROUND(H2751*1.06,0)</f>
        <v>8978</v>
      </c>
      <c r="J2751" s="69">
        <f>ROUND(I2751*1.06,0)</f>
        <v>9517</v>
      </c>
      <c r="M2751" s="57"/>
    </row>
    <row r="2752" spans="1:14" x14ac:dyDescent="0.2">
      <c r="A2752" s="75"/>
      <c r="B2752" s="71" t="s">
        <v>2404</v>
      </c>
      <c r="C2752" s="56">
        <v>12281</v>
      </c>
      <c r="D2752" s="56">
        <v>19653</v>
      </c>
      <c r="E2752" s="56">
        <v>19653</v>
      </c>
      <c r="F2752" s="56">
        <v>500</v>
      </c>
      <c r="G2752" s="56">
        <f>F2752/$F$11*$G$11</f>
        <v>600</v>
      </c>
      <c r="H2752" s="56">
        <f>ROUND(G2752*1.1,0)</f>
        <v>660</v>
      </c>
      <c r="I2752" s="56">
        <f>ROUND(H2752*1.06,0)</f>
        <v>700</v>
      </c>
      <c r="J2752" s="56">
        <f>ROUND(I2752*1.06,0)</f>
        <v>742</v>
      </c>
      <c r="L2752" s="73"/>
      <c r="M2752" s="57"/>
    </row>
    <row r="2753" spans="1:13" x14ac:dyDescent="0.2">
      <c r="B2753" s="58" t="s">
        <v>424</v>
      </c>
      <c r="C2753" s="100">
        <f t="shared" ref="C2753:J2753" si="401">SUM(C2751:C2752)</f>
        <v>16856</v>
      </c>
      <c r="D2753" s="100">
        <f t="shared" si="401"/>
        <v>27353</v>
      </c>
      <c r="E2753" s="100">
        <f t="shared" si="401"/>
        <v>27353</v>
      </c>
      <c r="F2753" s="100">
        <f t="shared" si="401"/>
        <v>500</v>
      </c>
      <c r="G2753" s="100">
        <f t="shared" si="401"/>
        <v>600</v>
      </c>
      <c r="H2753" s="100">
        <f t="shared" si="401"/>
        <v>9130</v>
      </c>
      <c r="I2753" s="100">
        <f t="shared" si="401"/>
        <v>9678</v>
      </c>
      <c r="J2753" s="100">
        <f t="shared" si="401"/>
        <v>10259</v>
      </c>
      <c r="L2753" s="153"/>
      <c r="M2753" s="57"/>
    </row>
    <row r="2754" spans="1:13" x14ac:dyDescent="0.2">
      <c r="B2754" s="58"/>
      <c r="C2754" s="100"/>
      <c r="D2754" s="100"/>
      <c r="E2754" s="100"/>
      <c r="G2754" s="69"/>
      <c r="H2754" s="69"/>
      <c r="I2754" s="100"/>
      <c r="J2754" s="100"/>
      <c r="M2754" s="57"/>
    </row>
    <row r="2755" spans="1:13" x14ac:dyDescent="0.2">
      <c r="B2755" s="58" t="s">
        <v>4013</v>
      </c>
      <c r="C2755" s="73"/>
      <c r="D2755" s="130"/>
      <c r="E2755" s="130"/>
      <c r="G2755" s="69"/>
      <c r="H2755" s="69"/>
      <c r="I2755" s="73"/>
      <c r="J2755" s="73"/>
      <c r="M2755" s="57"/>
    </row>
    <row r="2756" spans="1:13" x14ac:dyDescent="0.2">
      <c r="A2756" s="75">
        <v>2215</v>
      </c>
      <c r="B2756" s="71" t="s">
        <v>4120</v>
      </c>
      <c r="C2756" s="62">
        <v>0</v>
      </c>
      <c r="D2756" s="62">
        <v>-2734013</v>
      </c>
      <c r="E2756" s="62">
        <v>-2734013</v>
      </c>
      <c r="F2756" s="62">
        <v>0</v>
      </c>
      <c r="G2756" s="62">
        <f>+F2756</f>
        <v>0</v>
      </c>
      <c r="H2756" s="62">
        <f>ROUND(-2811315,0)</f>
        <v>-2811315</v>
      </c>
      <c r="I2756" s="62">
        <f>ROUND(-6*8098*12*M2747,0)</f>
        <v>-3493380</v>
      </c>
      <c r="J2756" s="62">
        <f>ROUND(-6*8098*12*N2747,0)</f>
        <v>-4017387</v>
      </c>
      <c r="L2756" s="534"/>
      <c r="M2756" s="57"/>
    </row>
    <row r="2757" spans="1:13" x14ac:dyDescent="0.2">
      <c r="B2757" s="58" t="s">
        <v>429</v>
      </c>
      <c r="C2757" s="100">
        <f t="shared" ref="C2757:J2757" si="402">SUM(C2756)</f>
        <v>0</v>
      </c>
      <c r="D2757" s="100">
        <f t="shared" si="402"/>
        <v>-2734013</v>
      </c>
      <c r="E2757" s="100">
        <f t="shared" si="402"/>
        <v>-2734013</v>
      </c>
      <c r="F2757" s="100">
        <f t="shared" si="402"/>
        <v>0</v>
      </c>
      <c r="G2757" s="100">
        <f t="shared" si="402"/>
        <v>0</v>
      </c>
      <c r="H2757" s="100">
        <f t="shared" si="402"/>
        <v>-2811315</v>
      </c>
      <c r="I2757" s="100">
        <f t="shared" si="402"/>
        <v>-3493380</v>
      </c>
      <c r="J2757" s="100">
        <f t="shared" si="402"/>
        <v>-4017387</v>
      </c>
      <c r="M2757" s="57"/>
    </row>
    <row r="2758" spans="1:13" x14ac:dyDescent="0.2">
      <c r="B2758" s="61"/>
      <c r="C2758" s="62"/>
      <c r="D2758" s="62"/>
      <c r="E2758" s="62"/>
      <c r="F2758" s="62"/>
      <c r="G2758" s="62"/>
      <c r="H2758" s="62"/>
      <c r="I2758" s="62"/>
      <c r="J2758" s="62"/>
      <c r="M2758" s="57"/>
    </row>
    <row r="2759" spans="1:13" x14ac:dyDescent="0.2">
      <c r="B2759" s="58" t="s">
        <v>235</v>
      </c>
      <c r="C2759" s="73">
        <f t="shared" ref="C2759:J2759" si="403">C2748+C2753+C2757</f>
        <v>3546194</v>
      </c>
      <c r="D2759" s="73">
        <f t="shared" si="403"/>
        <v>6927007</v>
      </c>
      <c r="E2759" s="73">
        <f t="shared" si="403"/>
        <v>6927007</v>
      </c>
      <c r="F2759" s="73">
        <f t="shared" si="403"/>
        <v>4548507</v>
      </c>
      <c r="G2759" s="73">
        <f t="shared" si="403"/>
        <v>5458208.4000000004</v>
      </c>
      <c r="H2759" s="73">
        <f t="shared" si="403"/>
        <v>6012499</v>
      </c>
      <c r="I2759" s="73">
        <f t="shared" si="403"/>
        <v>6653185</v>
      </c>
      <c r="J2759" s="73">
        <f t="shared" si="403"/>
        <v>7650292</v>
      </c>
      <c r="L2759" s="540"/>
      <c r="M2759" s="57"/>
    </row>
    <row r="2760" spans="1:13" x14ac:dyDescent="0.2">
      <c r="B2760" s="58"/>
      <c r="C2760" s="73"/>
      <c r="D2760" s="73"/>
      <c r="E2760" s="73"/>
      <c r="G2760" s="69"/>
      <c r="H2760" s="69"/>
      <c r="I2760" s="73"/>
      <c r="J2760" s="73"/>
      <c r="L2760" s="540"/>
      <c r="M2760" s="57"/>
    </row>
    <row r="2761" spans="1:13" x14ac:dyDescent="0.2">
      <c r="B2761" s="58" t="s">
        <v>1087</v>
      </c>
      <c r="C2761" s="99"/>
      <c r="D2761" s="99"/>
      <c r="E2761" s="99"/>
      <c r="G2761" s="69"/>
      <c r="H2761" s="69"/>
      <c r="I2761" s="99"/>
      <c r="J2761" s="99"/>
      <c r="M2761" s="57"/>
    </row>
    <row r="2762" spans="1:13" x14ac:dyDescent="0.2">
      <c r="B2762" s="71" t="s">
        <v>4076</v>
      </c>
      <c r="C2762" s="56">
        <v>95044</v>
      </c>
      <c r="D2762" s="56">
        <v>11629000</v>
      </c>
      <c r="E2762" s="56">
        <v>11629000</v>
      </c>
      <c r="F2762" s="56">
        <v>0</v>
      </c>
      <c r="G2762" s="56">
        <f>F2762/$F$11*$G$11</f>
        <v>0</v>
      </c>
      <c r="H2762" s="56">
        <v>0</v>
      </c>
      <c r="I2762" s="56">
        <v>0</v>
      </c>
      <c r="J2762" s="56">
        <v>0</v>
      </c>
      <c r="M2762" s="57"/>
    </row>
    <row r="2763" spans="1:13" x14ac:dyDescent="0.2">
      <c r="B2763" s="58" t="s">
        <v>1088</v>
      </c>
      <c r="C2763" s="100">
        <f t="shared" ref="C2763:J2763" si="404">SUM(C2762)</f>
        <v>95044</v>
      </c>
      <c r="D2763" s="100">
        <f t="shared" si="404"/>
        <v>11629000</v>
      </c>
      <c r="E2763" s="100">
        <f t="shared" si="404"/>
        <v>11629000</v>
      </c>
      <c r="F2763" s="100">
        <f t="shared" si="404"/>
        <v>0</v>
      </c>
      <c r="G2763" s="100">
        <f t="shared" si="404"/>
        <v>0</v>
      </c>
      <c r="H2763" s="100">
        <f t="shared" si="404"/>
        <v>0</v>
      </c>
      <c r="I2763" s="100">
        <f t="shared" si="404"/>
        <v>0</v>
      </c>
      <c r="J2763" s="100">
        <f t="shared" si="404"/>
        <v>0</v>
      </c>
      <c r="M2763" s="57"/>
    </row>
    <row r="2764" spans="1:13" x14ac:dyDescent="0.2">
      <c r="B2764" s="58"/>
      <c r="C2764" s="73"/>
      <c r="D2764" s="73"/>
      <c r="E2764" s="73"/>
      <c r="G2764" s="69"/>
      <c r="H2764" s="69"/>
      <c r="I2764" s="73"/>
      <c r="J2764" s="73"/>
      <c r="M2764" s="57"/>
    </row>
    <row r="2765" spans="1:13" x14ac:dyDescent="0.2">
      <c r="B2765" s="58" t="s">
        <v>641</v>
      </c>
      <c r="C2765" s="69"/>
      <c r="D2765" s="69"/>
      <c r="E2765" s="69"/>
      <c r="G2765" s="69"/>
      <c r="H2765" s="69"/>
      <c r="I2765" s="69"/>
      <c r="J2765" s="69"/>
      <c r="M2765" s="57"/>
    </row>
    <row r="2766" spans="1:13" x14ac:dyDescent="0.2">
      <c r="A2766" s="75">
        <v>5501</v>
      </c>
      <c r="B2766" s="71" t="s">
        <v>2405</v>
      </c>
      <c r="C2766" s="62">
        <v>3752901</v>
      </c>
      <c r="D2766" s="56">
        <v>394440</v>
      </c>
      <c r="E2766" s="56">
        <f>394440</f>
        <v>394440</v>
      </c>
      <c r="F2766" s="56">
        <v>0</v>
      </c>
      <c r="G2766" s="56">
        <f>F2766/$F$11*$G$11</f>
        <v>0</v>
      </c>
      <c r="H2766" s="56">
        <f>3563473</f>
        <v>3563473</v>
      </c>
      <c r="I2766" s="56">
        <v>3477677</v>
      </c>
      <c r="J2766" s="56">
        <v>3387096</v>
      </c>
      <c r="M2766" s="57"/>
    </row>
    <row r="2767" spans="1:13" x14ac:dyDescent="0.2">
      <c r="B2767" s="58" t="s">
        <v>1057</v>
      </c>
      <c r="C2767" s="100">
        <f t="shared" ref="C2767:J2767" si="405">SUM(C2766)</f>
        <v>3752901</v>
      </c>
      <c r="D2767" s="100">
        <f t="shared" si="405"/>
        <v>394440</v>
      </c>
      <c r="E2767" s="100">
        <f t="shared" si="405"/>
        <v>394440</v>
      </c>
      <c r="F2767" s="100">
        <f t="shared" si="405"/>
        <v>0</v>
      </c>
      <c r="G2767" s="100">
        <f t="shared" si="405"/>
        <v>0</v>
      </c>
      <c r="H2767" s="100">
        <f t="shared" si="405"/>
        <v>3563473</v>
      </c>
      <c r="I2767" s="100">
        <f t="shared" si="405"/>
        <v>3477677</v>
      </c>
      <c r="J2767" s="100">
        <f t="shared" si="405"/>
        <v>3387096</v>
      </c>
      <c r="M2767" s="57"/>
    </row>
    <row r="2768" spans="1:13" x14ac:dyDescent="0.2">
      <c r="B2768" s="58"/>
      <c r="C2768" s="99"/>
      <c r="D2768" s="99"/>
      <c r="E2768" s="99"/>
      <c r="G2768" s="69"/>
      <c r="H2768" s="69"/>
      <c r="I2768" s="99"/>
      <c r="J2768" s="99"/>
      <c r="M2768" s="57"/>
    </row>
    <row r="2769" spans="1:13" ht="13.5" thickBot="1" x14ac:dyDescent="0.25">
      <c r="B2769" s="65" t="s">
        <v>4017</v>
      </c>
      <c r="C2769" s="66">
        <f t="shared" ref="C2769:J2769" si="406">C2759+C2767+C2763</f>
        <v>7394139</v>
      </c>
      <c r="D2769" s="66">
        <f t="shared" si="406"/>
        <v>18950447</v>
      </c>
      <c r="E2769" s="66">
        <f t="shared" si="406"/>
        <v>18950447</v>
      </c>
      <c r="F2769" s="66">
        <f t="shared" si="406"/>
        <v>4548507</v>
      </c>
      <c r="G2769" s="66">
        <f t="shared" si="406"/>
        <v>5458208.4000000004</v>
      </c>
      <c r="H2769" s="66">
        <f t="shared" si="406"/>
        <v>9575972</v>
      </c>
      <c r="I2769" s="66">
        <f t="shared" si="406"/>
        <v>10130862</v>
      </c>
      <c r="J2769" s="66">
        <f t="shared" si="406"/>
        <v>11037388</v>
      </c>
      <c r="M2769" s="57"/>
    </row>
    <row r="2770" spans="1:13" ht="13.5" thickTop="1" x14ac:dyDescent="0.2">
      <c r="B2770" s="68"/>
      <c r="C2770" s="68"/>
      <c r="D2770" s="68"/>
      <c r="E2770" s="68"/>
      <c r="G2770" s="69"/>
      <c r="H2770" s="69"/>
      <c r="I2770" s="68"/>
      <c r="J2770" s="68"/>
      <c r="M2770" s="57"/>
    </row>
    <row r="2771" spans="1:13" x14ac:dyDescent="0.2">
      <c r="B2771" s="50" t="s">
        <v>4018</v>
      </c>
      <c r="C2771" s="50"/>
      <c r="D2771" s="50"/>
      <c r="E2771" s="50"/>
      <c r="G2771" s="69"/>
      <c r="H2771" s="69"/>
      <c r="I2771" s="50"/>
      <c r="J2771" s="50"/>
      <c r="M2771" s="57"/>
    </row>
    <row r="2772" spans="1:13" x14ac:dyDescent="0.2">
      <c r="B2772" s="50"/>
      <c r="C2772" s="50"/>
      <c r="D2772" s="50"/>
      <c r="E2772" s="50"/>
      <c r="G2772" s="69"/>
      <c r="H2772" s="69"/>
      <c r="I2772" s="50"/>
      <c r="J2772" s="50"/>
      <c r="M2772" s="57"/>
    </row>
    <row r="2773" spans="1:13" x14ac:dyDescent="0.2">
      <c r="B2773" s="58" t="s">
        <v>4019</v>
      </c>
      <c r="C2773" s="69"/>
      <c r="D2773" s="69"/>
      <c r="E2773" s="69"/>
      <c r="G2773" s="69"/>
      <c r="H2773" s="69"/>
      <c r="I2773" s="69"/>
      <c r="J2773" s="69"/>
      <c r="M2773" s="57"/>
    </row>
    <row r="2774" spans="1:13" x14ac:dyDescent="0.2">
      <c r="A2774" s="75">
        <v>1001</v>
      </c>
      <c r="B2774" s="70" t="s">
        <v>472</v>
      </c>
      <c r="C2774" s="69">
        <v>1496296</v>
      </c>
      <c r="D2774" s="69">
        <v>2421816</v>
      </c>
      <c r="E2774" s="69">
        <v>2388494</v>
      </c>
      <c r="F2774" s="69">
        <v>1226538</v>
      </c>
      <c r="G2774" s="69">
        <f t="shared" ref="G2774:G2786" si="407">F2774/$F$11*$G$11</f>
        <v>1471845.6</v>
      </c>
      <c r="H2774" s="69">
        <f>[3]Salary_Bdgt!$H$557</f>
        <v>2935413</v>
      </c>
      <c r="I2774" s="69">
        <f t="shared" ref="I2774:J2786" si="408">ROUND(H2774*1.08,0)</f>
        <v>3170246</v>
      </c>
      <c r="J2774" s="69">
        <f t="shared" si="408"/>
        <v>3423866</v>
      </c>
      <c r="M2774" s="57"/>
    </row>
    <row r="2775" spans="1:13" x14ac:dyDescent="0.2">
      <c r="A2775" s="75">
        <v>1005</v>
      </c>
      <c r="B2775" s="70" t="s">
        <v>473</v>
      </c>
      <c r="C2775" s="69">
        <v>38454</v>
      </c>
      <c r="D2775" s="69">
        <v>38190</v>
      </c>
      <c r="E2775" s="69">
        <f>+D2775</f>
        <v>38190</v>
      </c>
      <c r="F2775" s="69">
        <v>40553</v>
      </c>
      <c r="G2775" s="69">
        <f t="shared" si="407"/>
        <v>48663.600000000006</v>
      </c>
      <c r="H2775" s="69">
        <f>[3]Salary_Bdgt!$L$557</f>
        <v>125338</v>
      </c>
      <c r="I2775" s="69">
        <f t="shared" si="408"/>
        <v>135365</v>
      </c>
      <c r="J2775" s="69">
        <f t="shared" si="408"/>
        <v>146194</v>
      </c>
      <c r="M2775" s="57"/>
    </row>
    <row r="2776" spans="1:13" x14ac:dyDescent="0.2">
      <c r="A2776" s="75">
        <v>1006</v>
      </c>
      <c r="B2776" s="70" t="s">
        <v>474</v>
      </c>
      <c r="C2776" s="69">
        <v>268281</v>
      </c>
      <c r="D2776" s="69">
        <v>204561</v>
      </c>
      <c r="E2776" s="69">
        <f>+D2776+33322</f>
        <v>237883</v>
      </c>
      <c r="F2776" s="69">
        <v>238038</v>
      </c>
      <c r="G2776" s="69">
        <f t="shared" si="407"/>
        <v>285645.59999999998</v>
      </c>
      <c r="H2776" s="69">
        <f>[3]Salary_Bdgt!$N$557</f>
        <v>485370</v>
      </c>
      <c r="I2776" s="69">
        <f t="shared" si="408"/>
        <v>524200</v>
      </c>
      <c r="J2776" s="69">
        <f t="shared" si="408"/>
        <v>566136</v>
      </c>
      <c r="M2776" s="57"/>
    </row>
    <row r="2777" spans="1:13" x14ac:dyDescent="0.2">
      <c r="A2777" s="75">
        <v>1007</v>
      </c>
      <c r="B2777" s="70" t="s">
        <v>481</v>
      </c>
      <c r="C2777" s="69">
        <v>18121</v>
      </c>
      <c r="D2777" s="69">
        <v>44297</v>
      </c>
      <c r="E2777" s="69">
        <f t="shared" ref="E2777:E2783" si="409">+D2777</f>
        <v>44297</v>
      </c>
      <c r="F2777" s="69">
        <v>15840</v>
      </c>
      <c r="G2777" s="69">
        <f t="shared" si="407"/>
        <v>19008</v>
      </c>
      <c r="H2777" s="69">
        <f>[3]Salary_Bdgt!$I$557</f>
        <v>51606</v>
      </c>
      <c r="I2777" s="69">
        <f t="shared" si="408"/>
        <v>55734</v>
      </c>
      <c r="J2777" s="69">
        <f t="shared" si="408"/>
        <v>60193</v>
      </c>
      <c r="M2777" s="57"/>
    </row>
    <row r="2778" spans="1:13" x14ac:dyDescent="0.2">
      <c r="A2778" s="75">
        <v>1009</v>
      </c>
      <c r="B2778" s="70" t="s">
        <v>482</v>
      </c>
      <c r="C2778" s="69">
        <v>1152</v>
      </c>
      <c r="D2778" s="69">
        <f>[2]Sal_RIA!$M$427</f>
        <v>1459</v>
      </c>
      <c r="E2778" s="69">
        <f t="shared" si="409"/>
        <v>1459</v>
      </c>
      <c r="F2778" s="69">
        <v>908</v>
      </c>
      <c r="G2778" s="69">
        <f t="shared" si="407"/>
        <v>1089.5999999999999</v>
      </c>
      <c r="H2778" s="69">
        <f>[3]Salary_Bdgt!$M$557</f>
        <v>1710</v>
      </c>
      <c r="I2778" s="69">
        <f t="shared" si="408"/>
        <v>1847</v>
      </c>
      <c r="J2778" s="69">
        <f t="shared" si="408"/>
        <v>1995</v>
      </c>
      <c r="M2778" s="57"/>
    </row>
    <row r="2779" spans="1:13" x14ac:dyDescent="0.2">
      <c r="A2779" s="75">
        <v>1010</v>
      </c>
      <c r="B2779" s="70" t="s">
        <v>28</v>
      </c>
      <c r="C2779" s="69">
        <v>118281</v>
      </c>
      <c r="D2779" s="69">
        <v>191298</v>
      </c>
      <c r="E2779" s="69">
        <f t="shared" si="409"/>
        <v>191298</v>
      </c>
      <c r="F2779" s="69">
        <v>123472</v>
      </c>
      <c r="G2779" s="69">
        <f t="shared" si="407"/>
        <v>148166.40000000002</v>
      </c>
      <c r="H2779" s="69">
        <f>[3]Salary_Bdgt!$Q$557</f>
        <v>244618</v>
      </c>
      <c r="I2779" s="69">
        <f t="shared" si="408"/>
        <v>264187</v>
      </c>
      <c r="J2779" s="69">
        <f t="shared" si="408"/>
        <v>285322</v>
      </c>
      <c r="M2779" s="57"/>
    </row>
    <row r="2780" spans="1:13" x14ac:dyDescent="0.2">
      <c r="A2780" s="75">
        <v>1011</v>
      </c>
      <c r="B2780" s="70" t="s">
        <v>4045</v>
      </c>
      <c r="C2780" s="69">
        <v>7942</v>
      </c>
      <c r="D2780" s="69">
        <v>0</v>
      </c>
      <c r="E2780" s="69">
        <f t="shared" si="409"/>
        <v>0</v>
      </c>
      <c r="F2780" s="69">
        <v>0</v>
      </c>
      <c r="G2780" s="69">
        <f t="shared" si="407"/>
        <v>0</v>
      </c>
      <c r="H2780" s="69">
        <f>[3]Salary_Bdgt!$U$557</f>
        <v>0</v>
      </c>
      <c r="I2780" s="69">
        <f t="shared" si="408"/>
        <v>0</v>
      </c>
      <c r="J2780" s="69">
        <f t="shared" si="408"/>
        <v>0</v>
      </c>
      <c r="M2780" s="57"/>
    </row>
    <row r="2781" spans="1:13" x14ac:dyDescent="0.2">
      <c r="A2781" s="75">
        <v>1014</v>
      </c>
      <c r="B2781" s="70" t="s">
        <v>36</v>
      </c>
      <c r="C2781" s="69">
        <v>727</v>
      </c>
      <c r="D2781" s="69">
        <v>0</v>
      </c>
      <c r="E2781" s="69">
        <f t="shared" si="409"/>
        <v>0</v>
      </c>
      <c r="F2781" s="69">
        <v>0</v>
      </c>
      <c r="G2781" s="69">
        <f t="shared" si="407"/>
        <v>0</v>
      </c>
      <c r="H2781" s="69">
        <f>[3]Salary_Bdgt!$S$557</f>
        <v>0</v>
      </c>
      <c r="I2781" s="69">
        <f t="shared" si="408"/>
        <v>0</v>
      </c>
      <c r="J2781" s="69">
        <f t="shared" si="408"/>
        <v>0</v>
      </c>
      <c r="M2781" s="57"/>
    </row>
    <row r="2782" spans="1:13" x14ac:dyDescent="0.2">
      <c r="A2782" s="75">
        <v>1015</v>
      </c>
      <c r="B2782" s="70" t="s">
        <v>445</v>
      </c>
      <c r="C2782" s="69">
        <v>247551</v>
      </c>
      <c r="D2782" s="69">
        <v>266887</v>
      </c>
      <c r="E2782" s="69">
        <f t="shared" si="409"/>
        <v>266887</v>
      </c>
      <c r="F2782" s="69">
        <v>210454</v>
      </c>
      <c r="G2782" s="69">
        <f t="shared" si="407"/>
        <v>252544.80000000002</v>
      </c>
      <c r="H2782" s="69">
        <f>[3]Salary_Bdgt!$O$557+[3]Salary_Bdgt!$P$557+[3]Salary_Bdgt!$W$557</f>
        <v>400908</v>
      </c>
      <c r="I2782" s="69">
        <f t="shared" si="408"/>
        <v>432981</v>
      </c>
      <c r="J2782" s="69">
        <f t="shared" si="408"/>
        <v>467619</v>
      </c>
      <c r="M2782" s="57"/>
    </row>
    <row r="2783" spans="1:13" x14ac:dyDescent="0.2">
      <c r="A2783" s="75">
        <v>1016</v>
      </c>
      <c r="B2783" s="70" t="s">
        <v>475</v>
      </c>
      <c r="C2783" s="69">
        <v>0</v>
      </c>
      <c r="D2783" s="69">
        <v>48395</v>
      </c>
      <c r="E2783" s="69">
        <f t="shared" si="409"/>
        <v>48395</v>
      </c>
      <c r="F2783" s="69">
        <f>2070+25591</f>
        <v>27661</v>
      </c>
      <c r="G2783" s="69">
        <f t="shared" si="407"/>
        <v>33193.199999999997</v>
      </c>
      <c r="H2783" s="69">
        <f>[3]Salary_Bdgt!$T$557+[3]Salary_Bdgt!$V$557</f>
        <v>51158</v>
      </c>
      <c r="I2783" s="69">
        <f t="shared" si="408"/>
        <v>55251</v>
      </c>
      <c r="J2783" s="69">
        <f t="shared" si="408"/>
        <v>59671</v>
      </c>
      <c r="M2783" s="57"/>
    </row>
    <row r="2784" spans="1:13" x14ac:dyDescent="0.2">
      <c r="A2784" s="75">
        <v>1046</v>
      </c>
      <c r="B2784" s="70" t="s">
        <v>491</v>
      </c>
      <c r="C2784" s="69">
        <v>0</v>
      </c>
      <c r="D2784" s="69">
        <v>0</v>
      </c>
      <c r="E2784" s="69">
        <v>0</v>
      </c>
      <c r="F2784" s="69">
        <v>0</v>
      </c>
      <c r="G2784" s="69">
        <f t="shared" si="407"/>
        <v>0</v>
      </c>
      <c r="H2784" s="69">
        <f>[3]Salary_Bdgt!$R$557</f>
        <v>0</v>
      </c>
      <c r="I2784" s="69">
        <f t="shared" si="408"/>
        <v>0</v>
      </c>
      <c r="J2784" s="69">
        <f t="shared" si="408"/>
        <v>0</v>
      </c>
      <c r="M2784" s="57"/>
    </row>
    <row r="2785" spans="1:13" x14ac:dyDescent="0.2">
      <c r="A2785" s="75">
        <v>1017</v>
      </c>
      <c r="B2785" s="70" t="s">
        <v>4044</v>
      </c>
      <c r="C2785" s="69">
        <v>21012</v>
      </c>
      <c r="D2785" s="69">
        <v>49071</v>
      </c>
      <c r="E2785" s="69">
        <f>+D2785</f>
        <v>49071</v>
      </c>
      <c r="F2785" s="69">
        <v>7610</v>
      </c>
      <c r="G2785" s="69">
        <f t="shared" si="407"/>
        <v>9132</v>
      </c>
      <c r="H2785" s="69">
        <f>[3]Salary_Bdgt!$J$557</f>
        <v>59486</v>
      </c>
      <c r="I2785" s="69">
        <f t="shared" si="408"/>
        <v>64245</v>
      </c>
      <c r="J2785" s="69">
        <f t="shared" si="408"/>
        <v>69385</v>
      </c>
      <c r="M2785" s="57"/>
    </row>
    <row r="2786" spans="1:13" x14ac:dyDescent="0.2">
      <c r="A2786" s="75">
        <v>1182</v>
      </c>
      <c r="B2786" s="71" t="s">
        <v>1065</v>
      </c>
      <c r="C2786" s="56">
        <v>16676</v>
      </c>
      <c r="D2786" s="56">
        <v>45636</v>
      </c>
      <c r="E2786" s="56">
        <f>+D2786</f>
        <v>45636</v>
      </c>
      <c r="F2786" s="56">
        <v>0</v>
      </c>
      <c r="G2786" s="56">
        <f t="shared" si="407"/>
        <v>0</v>
      </c>
      <c r="H2786" s="56">
        <f>[3]Salary_Bdgt!$K$557</f>
        <v>55322</v>
      </c>
      <c r="I2786" s="56">
        <f t="shared" si="408"/>
        <v>59748</v>
      </c>
      <c r="J2786" s="56">
        <f t="shared" si="408"/>
        <v>64528</v>
      </c>
      <c r="M2786" s="57"/>
    </row>
    <row r="2787" spans="1:13" s="9" customFormat="1" x14ac:dyDescent="0.2">
      <c r="A2787" s="75"/>
      <c r="B2787" s="58" t="s">
        <v>416</v>
      </c>
      <c r="C2787" s="72">
        <f t="shared" ref="C2787:J2787" si="410">SUM(C2774:C2786)</f>
        <v>2234493</v>
      </c>
      <c r="D2787" s="72">
        <f t="shared" si="410"/>
        <v>3311610</v>
      </c>
      <c r="E2787" s="72">
        <f t="shared" si="410"/>
        <v>3311610</v>
      </c>
      <c r="F2787" s="72">
        <f t="shared" si="410"/>
        <v>1891074</v>
      </c>
      <c r="G2787" s="72">
        <f t="shared" si="410"/>
        <v>2269288.8000000003</v>
      </c>
      <c r="H2787" s="72">
        <f t="shared" si="410"/>
        <v>4410929</v>
      </c>
      <c r="I2787" s="72">
        <f t="shared" si="410"/>
        <v>4763804</v>
      </c>
      <c r="J2787" s="72">
        <f t="shared" si="410"/>
        <v>5144909</v>
      </c>
      <c r="M2787" s="57"/>
    </row>
    <row r="2788" spans="1:13" x14ac:dyDescent="0.2">
      <c r="A2788" s="75"/>
      <c r="B2788" s="58"/>
      <c r="C2788" s="69"/>
      <c r="D2788" s="69"/>
      <c r="E2788" s="69"/>
      <c r="F2788" s="24"/>
      <c r="G2788" s="69"/>
      <c r="H2788" s="69"/>
      <c r="I2788" s="69"/>
      <c r="J2788" s="69"/>
      <c r="M2788" s="57"/>
    </row>
    <row r="2789" spans="1:13" x14ac:dyDescent="0.2">
      <c r="A2789" s="75"/>
      <c r="B2789" s="58" t="s">
        <v>430</v>
      </c>
      <c r="C2789" s="126"/>
      <c r="D2789" s="126"/>
      <c r="E2789" s="126"/>
      <c r="F2789" s="24"/>
      <c r="G2789" s="69"/>
      <c r="H2789" s="69"/>
      <c r="I2789" s="69"/>
      <c r="J2789" s="69"/>
      <c r="M2789" s="57"/>
    </row>
    <row r="2790" spans="1:13" x14ac:dyDescent="0.2">
      <c r="A2790" s="75">
        <v>2500</v>
      </c>
      <c r="B2790" s="71" t="s">
        <v>431</v>
      </c>
      <c r="C2790" s="56">
        <v>1790043</v>
      </c>
      <c r="D2790" s="56">
        <v>394440</v>
      </c>
      <c r="E2790" s="56">
        <v>394440</v>
      </c>
      <c r="F2790" s="56">
        <v>0</v>
      </c>
      <c r="G2790" s="56">
        <f>F2790/$F$11*$G$11</f>
        <v>0</v>
      </c>
      <c r="H2790" s="56">
        <f>ROUND(+H2748*0.1,0)+226407</f>
        <v>1107875</v>
      </c>
      <c r="I2790" s="56">
        <f>ROUND(I2748*0.1,0)</f>
        <v>1013689</v>
      </c>
      <c r="J2790" s="56">
        <f>ROUND(J2748*0.1,0)</f>
        <v>1165742</v>
      </c>
      <c r="M2790" s="57"/>
    </row>
    <row r="2791" spans="1:13" x14ac:dyDescent="0.2">
      <c r="A2791" s="75"/>
      <c r="B2791" s="58" t="s">
        <v>432</v>
      </c>
      <c r="C2791" s="72">
        <f t="shared" ref="C2791:J2791" si="411">SUM(C2790)</f>
        <v>1790043</v>
      </c>
      <c r="D2791" s="72">
        <f t="shared" si="411"/>
        <v>394440</v>
      </c>
      <c r="E2791" s="72">
        <f t="shared" si="411"/>
        <v>394440</v>
      </c>
      <c r="F2791" s="72">
        <f t="shared" si="411"/>
        <v>0</v>
      </c>
      <c r="G2791" s="72">
        <f t="shared" si="411"/>
        <v>0</v>
      </c>
      <c r="H2791" s="72">
        <f t="shared" si="411"/>
        <v>1107875</v>
      </c>
      <c r="I2791" s="72">
        <f t="shared" si="411"/>
        <v>1013689</v>
      </c>
      <c r="J2791" s="72">
        <f t="shared" si="411"/>
        <v>1165742</v>
      </c>
      <c r="M2791" s="57"/>
    </row>
    <row r="2792" spans="1:13" x14ac:dyDescent="0.2">
      <c r="A2792" s="75"/>
      <c r="B2792" s="58"/>
      <c r="C2792" s="69"/>
      <c r="D2792" s="69"/>
      <c r="E2792" s="69"/>
      <c r="G2792" s="69"/>
      <c r="H2792" s="69"/>
      <c r="I2792" s="69"/>
      <c r="J2792" s="69"/>
      <c r="M2792" s="57"/>
    </row>
    <row r="2793" spans="1:13" x14ac:dyDescent="0.2">
      <c r="A2793" s="75"/>
      <c r="B2793" s="58" t="s">
        <v>425</v>
      </c>
      <c r="C2793" s="69"/>
      <c r="D2793" s="126"/>
      <c r="E2793" s="126"/>
      <c r="G2793" s="69"/>
      <c r="H2793" s="69"/>
      <c r="I2793" s="69"/>
      <c r="J2793" s="69"/>
      <c r="M2793" s="57"/>
    </row>
    <row r="2794" spans="1:13" x14ac:dyDescent="0.2">
      <c r="A2794" s="101"/>
      <c r="B2794" s="71" t="s">
        <v>208</v>
      </c>
      <c r="C2794" s="56">
        <v>0</v>
      </c>
      <c r="D2794" s="56">
        <v>0</v>
      </c>
      <c r="E2794" s="56">
        <v>0</v>
      </c>
      <c r="F2794" s="56">
        <v>0</v>
      </c>
      <c r="G2794" s="56">
        <f>F2794/$F$11*$G$11</f>
        <v>0</v>
      </c>
      <c r="H2794" s="56">
        <v>0</v>
      </c>
      <c r="I2794" s="56">
        <v>0</v>
      </c>
      <c r="J2794" s="56">
        <v>0</v>
      </c>
      <c r="M2794" s="57"/>
    </row>
    <row r="2795" spans="1:13" x14ac:dyDescent="0.2">
      <c r="A2795" s="75"/>
      <c r="B2795" s="58" t="s">
        <v>426</v>
      </c>
      <c r="C2795" s="72">
        <f t="shared" ref="C2795:J2795" si="412">SUM(C2794:C2794)</f>
        <v>0</v>
      </c>
      <c r="D2795" s="72">
        <f t="shared" si="412"/>
        <v>0</v>
      </c>
      <c r="E2795" s="72">
        <f t="shared" si="412"/>
        <v>0</v>
      </c>
      <c r="F2795" s="72">
        <f t="shared" si="412"/>
        <v>0</v>
      </c>
      <c r="G2795" s="72">
        <f t="shared" si="412"/>
        <v>0</v>
      </c>
      <c r="H2795" s="72">
        <f t="shared" si="412"/>
        <v>0</v>
      </c>
      <c r="I2795" s="72">
        <f t="shared" si="412"/>
        <v>0</v>
      </c>
      <c r="J2795" s="72">
        <f t="shared" si="412"/>
        <v>0</v>
      </c>
      <c r="M2795" s="57"/>
    </row>
    <row r="2796" spans="1:13" x14ac:dyDescent="0.2">
      <c r="A2796" s="75"/>
      <c r="B2796" s="58"/>
      <c r="C2796" s="69"/>
      <c r="D2796" s="69"/>
      <c r="E2796" s="69"/>
      <c r="G2796" s="69"/>
      <c r="H2796" s="69"/>
      <c r="I2796" s="69"/>
      <c r="J2796" s="69"/>
      <c r="M2796" s="57"/>
    </row>
    <row r="2797" spans="1:13" x14ac:dyDescent="0.2">
      <c r="A2797" s="75"/>
      <c r="B2797" s="58" t="s">
        <v>4021</v>
      </c>
      <c r="C2797" s="69"/>
      <c r="D2797" s="69"/>
      <c r="E2797" s="69"/>
      <c r="G2797" s="69"/>
      <c r="H2797" s="69"/>
      <c r="I2797" s="69"/>
      <c r="J2797" s="69"/>
      <c r="M2797" s="57"/>
    </row>
    <row r="2798" spans="1:13" x14ac:dyDescent="0.2">
      <c r="A2798" s="60">
        <v>3205</v>
      </c>
      <c r="B2798" s="70" t="s">
        <v>446</v>
      </c>
      <c r="C2798" s="69">
        <v>581</v>
      </c>
      <c r="D2798" s="69">
        <v>105000</v>
      </c>
      <c r="E2798" s="69">
        <v>105000</v>
      </c>
      <c r="F2798" s="69">
        <v>6683</v>
      </c>
      <c r="G2798" s="69">
        <f t="shared" ref="G2798:G2803" si="413">F2798/$F$11*$G$11</f>
        <v>8019.5999999999995</v>
      </c>
      <c r="H2798" s="69">
        <f>ROUND(E2798*1.05,0)</f>
        <v>110250</v>
      </c>
      <c r="I2798" s="69">
        <f t="shared" ref="I2798:J2803" si="414">ROUND(H2798*1.06,0)</f>
        <v>116865</v>
      </c>
      <c r="J2798" s="69">
        <f t="shared" si="414"/>
        <v>123877</v>
      </c>
      <c r="M2798" s="57"/>
    </row>
    <row r="2799" spans="1:13" x14ac:dyDescent="0.2">
      <c r="A2799" s="75">
        <v>3211</v>
      </c>
      <c r="B2799" s="70" t="s">
        <v>4121</v>
      </c>
      <c r="C2799" s="69">
        <v>0</v>
      </c>
      <c r="D2799" s="69">
        <v>50000</v>
      </c>
      <c r="E2799" s="69">
        <v>50000</v>
      </c>
      <c r="F2799" s="69">
        <v>0</v>
      </c>
      <c r="G2799" s="69">
        <f t="shared" si="413"/>
        <v>0</v>
      </c>
      <c r="H2799" s="69">
        <f>ROUND(E2799*1.05,0)</f>
        <v>52500</v>
      </c>
      <c r="I2799" s="69">
        <f t="shared" si="414"/>
        <v>55650</v>
      </c>
      <c r="J2799" s="69">
        <f t="shared" si="414"/>
        <v>58989</v>
      </c>
      <c r="M2799" s="57"/>
    </row>
    <row r="2800" spans="1:13" x14ac:dyDescent="0.2">
      <c r="A2800" s="60">
        <v>3215</v>
      </c>
      <c r="B2800" s="70" t="s">
        <v>42</v>
      </c>
      <c r="C2800" s="69">
        <v>43454</v>
      </c>
      <c r="D2800" s="69">
        <v>105000</v>
      </c>
      <c r="E2800" s="69">
        <v>105000</v>
      </c>
      <c r="F2800" s="69">
        <v>54980</v>
      </c>
      <c r="G2800" s="69">
        <f t="shared" si="413"/>
        <v>65976</v>
      </c>
      <c r="H2800" s="69">
        <v>0</v>
      </c>
      <c r="I2800" s="69">
        <f t="shared" si="414"/>
        <v>0</v>
      </c>
      <c r="J2800" s="69">
        <f t="shared" si="414"/>
        <v>0</v>
      </c>
      <c r="M2800" s="57"/>
    </row>
    <row r="2801" spans="1:16" x14ac:dyDescent="0.2">
      <c r="A2801" s="75">
        <v>3216</v>
      </c>
      <c r="B2801" s="70" t="s">
        <v>4122</v>
      </c>
      <c r="C2801" s="69">
        <v>401269</v>
      </c>
      <c r="D2801" s="69">
        <v>410000</v>
      </c>
      <c r="E2801" s="69">
        <v>410000</v>
      </c>
      <c r="F2801" s="69">
        <v>424044</v>
      </c>
      <c r="G2801" s="69">
        <f t="shared" si="413"/>
        <v>508852.80000000005</v>
      </c>
      <c r="H2801" s="69">
        <f>750000-176826</f>
        <v>573174</v>
      </c>
      <c r="I2801" s="69">
        <f t="shared" si="414"/>
        <v>607564</v>
      </c>
      <c r="J2801" s="69">
        <f t="shared" si="414"/>
        <v>644018</v>
      </c>
      <c r="M2801" s="57"/>
    </row>
    <row r="2802" spans="1:16" x14ac:dyDescent="0.2">
      <c r="A2802" s="75">
        <v>3378</v>
      </c>
      <c r="B2802" s="70" t="s">
        <v>447</v>
      </c>
      <c r="C2802" s="69">
        <v>240082</v>
      </c>
      <c r="D2802" s="69">
        <v>0</v>
      </c>
      <c r="E2802" s="69">
        <v>0</v>
      </c>
      <c r="F2802" s="69">
        <v>342547</v>
      </c>
      <c r="G2802" s="69">
        <f t="shared" si="413"/>
        <v>411056.39999999997</v>
      </c>
      <c r="H2802" s="69">
        <f>ROUND(E2802*1.05,0)</f>
        <v>0</v>
      </c>
      <c r="I2802" s="69">
        <f t="shared" si="414"/>
        <v>0</v>
      </c>
      <c r="J2802" s="69">
        <f t="shared" si="414"/>
        <v>0</v>
      </c>
      <c r="M2802" s="57"/>
    </row>
    <row r="2803" spans="1:16" x14ac:dyDescent="0.2">
      <c r="A2803" s="75">
        <v>3206</v>
      </c>
      <c r="B2803" s="71" t="s">
        <v>39</v>
      </c>
      <c r="C2803" s="56">
        <v>3701</v>
      </c>
      <c r="D2803" s="56">
        <v>10500</v>
      </c>
      <c r="E2803" s="56">
        <v>10500</v>
      </c>
      <c r="F2803" s="56">
        <v>26648</v>
      </c>
      <c r="G2803" s="56">
        <f t="shared" si="413"/>
        <v>31977.600000000002</v>
      </c>
      <c r="H2803" s="56">
        <f>ROUND(E2803*1.05,0)</f>
        <v>11025</v>
      </c>
      <c r="I2803" s="56">
        <f t="shared" si="414"/>
        <v>11687</v>
      </c>
      <c r="J2803" s="56">
        <f t="shared" si="414"/>
        <v>12388</v>
      </c>
      <c r="M2803" s="57"/>
    </row>
    <row r="2804" spans="1:16" x14ac:dyDescent="0.2">
      <c r="B2804" s="58" t="s">
        <v>417</v>
      </c>
      <c r="C2804" s="72">
        <f>SUM(C2798:C2803)</f>
        <v>689087</v>
      </c>
      <c r="D2804" s="72">
        <f t="shared" ref="D2804:J2804" si="415">SUM(D2798:D2803)</f>
        <v>680500</v>
      </c>
      <c r="E2804" s="72">
        <f t="shared" si="415"/>
        <v>680500</v>
      </c>
      <c r="F2804" s="72">
        <f t="shared" si="415"/>
        <v>854902</v>
      </c>
      <c r="G2804" s="72">
        <f t="shared" si="415"/>
        <v>1025882.4</v>
      </c>
      <c r="H2804" s="72">
        <f t="shared" si="415"/>
        <v>746949</v>
      </c>
      <c r="I2804" s="72">
        <f t="shared" si="415"/>
        <v>791766</v>
      </c>
      <c r="J2804" s="72">
        <f t="shared" si="415"/>
        <v>839272</v>
      </c>
      <c r="M2804" s="57"/>
    </row>
    <row r="2805" spans="1:16" x14ac:dyDescent="0.2">
      <c r="B2805" s="58"/>
      <c r="C2805" s="72"/>
      <c r="D2805" s="72"/>
      <c r="E2805" s="72"/>
      <c r="G2805" s="69"/>
      <c r="H2805" s="69"/>
      <c r="I2805" s="72"/>
      <c r="J2805" s="72"/>
      <c r="M2805" s="57"/>
    </row>
    <row r="2806" spans="1:16" x14ac:dyDescent="0.2">
      <c r="B2806" s="58"/>
      <c r="C2806" s="72"/>
      <c r="D2806" s="72"/>
      <c r="E2806" s="72"/>
      <c r="G2806" s="69"/>
      <c r="H2806" s="69"/>
      <c r="I2806" s="72"/>
      <c r="J2806" s="72"/>
      <c r="M2806" s="57"/>
    </row>
    <row r="2807" spans="1:16" x14ac:dyDescent="0.2">
      <c r="B2807" s="58"/>
      <c r="C2807" s="72"/>
      <c r="D2807" s="72"/>
      <c r="E2807" s="72"/>
      <c r="G2807" s="69"/>
      <c r="H2807" s="69"/>
      <c r="I2807" s="72"/>
      <c r="J2807" s="72"/>
      <c r="M2807" s="57"/>
    </row>
    <row r="2808" spans="1:16" x14ac:dyDescent="0.2">
      <c r="B2808" s="58"/>
      <c r="C2808" s="72"/>
      <c r="D2808" s="72"/>
      <c r="E2808" s="72"/>
      <c r="G2808" s="69"/>
      <c r="H2808" s="69"/>
      <c r="I2808" s="72"/>
      <c r="J2808" s="72"/>
      <c r="M2808" s="57"/>
    </row>
    <row r="2809" spans="1:16" x14ac:dyDescent="0.2">
      <c r="B2809" s="58"/>
      <c r="C2809" s="72"/>
      <c r="D2809" s="72"/>
      <c r="E2809" s="72"/>
      <c r="G2809" s="69"/>
      <c r="H2809" s="69"/>
      <c r="I2809" s="72"/>
      <c r="J2809" s="72"/>
      <c r="M2809" s="57"/>
    </row>
    <row r="2810" spans="1:16" x14ac:dyDescent="0.2">
      <c r="B2810" s="58"/>
      <c r="C2810" s="72"/>
      <c r="D2810" s="72"/>
      <c r="E2810" s="72"/>
      <c r="G2810" s="69"/>
      <c r="H2810" s="69"/>
      <c r="I2810" s="72"/>
      <c r="J2810" s="72"/>
      <c r="M2810" s="57"/>
    </row>
    <row r="2811" spans="1:16" x14ac:dyDescent="0.2">
      <c r="B2811" s="58"/>
      <c r="C2811" s="72"/>
      <c r="D2811" s="72"/>
      <c r="E2811" s="72"/>
      <c r="G2811" s="69"/>
      <c r="H2811" s="69"/>
      <c r="I2811" s="72"/>
      <c r="J2811" s="72"/>
      <c r="M2811" s="57"/>
    </row>
    <row r="2812" spans="1:16" x14ac:dyDescent="0.2">
      <c r="G2812" s="69"/>
      <c r="H2812" s="69"/>
      <c r="M2812" s="57"/>
    </row>
    <row r="2813" spans="1:16" x14ac:dyDescent="0.2">
      <c r="A2813" s="6"/>
      <c r="B2813" s="6"/>
      <c r="C2813" s="6"/>
      <c r="D2813" s="6"/>
      <c r="E2813" s="6"/>
      <c r="G2813" s="69"/>
      <c r="H2813" s="69"/>
      <c r="I2813" s="6"/>
      <c r="J2813" s="6"/>
      <c r="M2813" s="57"/>
    </row>
    <row r="2814" spans="1:16" x14ac:dyDescent="0.2">
      <c r="A2814" s="6"/>
      <c r="B2814" s="6"/>
      <c r="C2814" s="6"/>
      <c r="D2814" s="6"/>
      <c r="E2814" s="6"/>
      <c r="G2814" s="69"/>
      <c r="H2814" s="69"/>
      <c r="I2814" s="6"/>
      <c r="J2814" s="6"/>
      <c r="M2814" s="57"/>
    </row>
    <row r="2815" spans="1:16" x14ac:dyDescent="0.2">
      <c r="A2815" s="6"/>
      <c r="B2815" s="6"/>
      <c r="C2815" s="6"/>
      <c r="D2815" s="6"/>
      <c r="E2815" s="6"/>
      <c r="G2815" s="69"/>
      <c r="H2815" s="69"/>
      <c r="I2815" s="6"/>
      <c r="J2815" s="6"/>
      <c r="M2815" s="57"/>
      <c r="N2815" s="24"/>
      <c r="O2815" s="24"/>
      <c r="P2815" s="24"/>
    </row>
    <row r="2816" spans="1:16" x14ac:dyDescent="0.2">
      <c r="A2816" s="6"/>
      <c r="B2816" s="6"/>
      <c r="C2816" s="6"/>
      <c r="D2816" s="6"/>
      <c r="E2816" s="6"/>
      <c r="G2816" s="69"/>
      <c r="H2816" s="69"/>
      <c r="I2816" s="6"/>
      <c r="J2816" s="6"/>
      <c r="M2816" s="57"/>
    </row>
    <row r="2817" spans="1:13" x14ac:dyDescent="0.2">
      <c r="A2817" s="6"/>
      <c r="B2817" s="6"/>
      <c r="C2817" s="6"/>
      <c r="D2817" s="6"/>
      <c r="E2817" s="6"/>
      <c r="G2817" s="69"/>
      <c r="H2817" s="69"/>
      <c r="I2817" s="6"/>
      <c r="J2817" s="6"/>
      <c r="M2817" s="57"/>
    </row>
    <row r="2818" spans="1:13" ht="15" x14ac:dyDescent="0.25">
      <c r="A2818" s="91">
        <v>2110</v>
      </c>
      <c r="B2818" s="48" t="s">
        <v>4123</v>
      </c>
      <c r="C2818" s="72"/>
      <c r="D2818" s="72"/>
      <c r="E2818" s="72"/>
      <c r="G2818" s="69"/>
      <c r="H2818" s="69"/>
      <c r="I2818" s="72"/>
      <c r="J2818" s="72"/>
      <c r="M2818" s="57"/>
    </row>
    <row r="2819" spans="1:13" x14ac:dyDescent="0.2">
      <c r="B2819" s="58"/>
      <c r="C2819" s="72"/>
      <c r="D2819" s="72"/>
      <c r="E2819" s="72"/>
      <c r="G2819" s="69"/>
      <c r="H2819" s="69"/>
      <c r="I2819" s="72"/>
      <c r="J2819" s="72"/>
      <c r="M2819" s="57"/>
    </row>
    <row r="2820" spans="1:13" x14ac:dyDescent="0.2">
      <c r="B2820" s="58" t="s">
        <v>435</v>
      </c>
      <c r="C2820" s="69"/>
      <c r="D2820" s="69"/>
      <c r="E2820" s="69"/>
      <c r="G2820" s="69"/>
      <c r="H2820" s="69"/>
      <c r="I2820" s="69"/>
      <c r="J2820" s="69"/>
      <c r="M2820" s="57"/>
    </row>
    <row r="2821" spans="1:13" x14ac:dyDescent="0.2">
      <c r="A2821" s="75">
        <v>2104</v>
      </c>
      <c r="B2821" s="70" t="s">
        <v>2414</v>
      </c>
      <c r="C2821" s="69">
        <v>0</v>
      </c>
      <c r="D2821" s="69">
        <v>84000</v>
      </c>
      <c r="E2821" s="69">
        <v>84000</v>
      </c>
      <c r="F2821" s="69">
        <v>0</v>
      </c>
      <c r="G2821" s="69">
        <f t="shared" ref="G2821:G2838" si="416">F2821/$F$11*$G$11</f>
        <v>0</v>
      </c>
      <c r="H2821" s="69">
        <f>ROUND(E2821*1.05,0)</f>
        <v>88200</v>
      </c>
      <c r="I2821" s="69">
        <f t="shared" ref="I2821:J2838" si="417">ROUND(H2821*1.06,0)</f>
        <v>93492</v>
      </c>
      <c r="J2821" s="69">
        <f t="shared" si="417"/>
        <v>99102</v>
      </c>
      <c r="M2821" s="57"/>
    </row>
    <row r="2822" spans="1:13" x14ac:dyDescent="0.2">
      <c r="A2822" s="60">
        <v>2113</v>
      </c>
      <c r="B2822" s="70" t="s">
        <v>21</v>
      </c>
      <c r="C2822" s="69">
        <v>38</v>
      </c>
      <c r="D2822" s="69">
        <v>5250</v>
      </c>
      <c r="E2822" s="69">
        <v>5250</v>
      </c>
      <c r="F2822" s="69">
        <v>158</v>
      </c>
      <c r="G2822" s="69">
        <f t="shared" si="416"/>
        <v>189.60000000000002</v>
      </c>
      <c r="H2822" s="69">
        <f>ROUND(E2822*1.05,0)</f>
        <v>5513</v>
      </c>
      <c r="I2822" s="69">
        <f t="shared" si="417"/>
        <v>5844</v>
      </c>
      <c r="J2822" s="69">
        <f t="shared" si="417"/>
        <v>6195</v>
      </c>
      <c r="M2822" s="57"/>
    </row>
    <row r="2823" spans="1:13" x14ac:dyDescent="0.2">
      <c r="A2823" s="75">
        <v>2116</v>
      </c>
      <c r="B2823" s="70" t="s">
        <v>30</v>
      </c>
      <c r="C2823" s="69">
        <v>60899</v>
      </c>
      <c r="D2823" s="69">
        <v>406250</v>
      </c>
      <c r="E2823" s="69">
        <v>406250</v>
      </c>
      <c r="F2823" s="69">
        <v>183314</v>
      </c>
      <c r="G2823" s="69">
        <f t="shared" si="416"/>
        <v>219976.80000000002</v>
      </c>
      <c r="H2823" s="69">
        <f>ROUND(E2823*1.05,0)</f>
        <v>426563</v>
      </c>
      <c r="I2823" s="69">
        <f t="shared" si="417"/>
        <v>452157</v>
      </c>
      <c r="J2823" s="69">
        <f t="shared" si="417"/>
        <v>479286</v>
      </c>
      <c r="M2823" s="57"/>
    </row>
    <row r="2824" spans="1:13" x14ac:dyDescent="0.2">
      <c r="A2824" s="75">
        <v>2217</v>
      </c>
      <c r="B2824" s="70" t="s">
        <v>252</v>
      </c>
      <c r="C2824" s="69">
        <v>13631</v>
      </c>
      <c r="D2824" s="69">
        <v>0</v>
      </c>
      <c r="E2824" s="69">
        <v>0</v>
      </c>
      <c r="F2824" s="69">
        <v>0</v>
      </c>
      <c r="G2824" s="69">
        <f t="shared" si="416"/>
        <v>0</v>
      </c>
      <c r="H2824" s="69">
        <f>5000+36540+5060+48000+9000+32204+38400+6480+6000</f>
        <v>186684</v>
      </c>
      <c r="I2824" s="69">
        <f t="shared" si="417"/>
        <v>197885</v>
      </c>
      <c r="J2824" s="69">
        <f t="shared" si="417"/>
        <v>209758</v>
      </c>
      <c r="M2824" s="57"/>
    </row>
    <row r="2825" spans="1:13" x14ac:dyDescent="0.2">
      <c r="A2825" s="75">
        <v>2223</v>
      </c>
      <c r="B2825" s="70" t="s">
        <v>241</v>
      </c>
      <c r="C2825" s="69">
        <v>32839</v>
      </c>
      <c r="D2825" s="69">
        <v>31500</v>
      </c>
      <c r="E2825" s="69">
        <v>31500</v>
      </c>
      <c r="F2825" s="69">
        <v>7339</v>
      </c>
      <c r="G2825" s="69">
        <f t="shared" si="416"/>
        <v>8806.7999999999993</v>
      </c>
      <c r="H2825" s="69">
        <f>ROUND(E2825*1.05,0)</f>
        <v>33075</v>
      </c>
      <c r="I2825" s="69">
        <f t="shared" si="417"/>
        <v>35060</v>
      </c>
      <c r="J2825" s="69">
        <f t="shared" si="417"/>
        <v>37164</v>
      </c>
      <c r="M2825" s="57"/>
    </row>
    <row r="2826" spans="1:13" x14ac:dyDescent="0.2">
      <c r="A2826" s="75">
        <v>2224</v>
      </c>
      <c r="B2826" s="70" t="s">
        <v>2954</v>
      </c>
      <c r="C2826" s="69">
        <v>1269</v>
      </c>
      <c r="D2826" s="69">
        <v>2074</v>
      </c>
      <c r="E2826" s="69">
        <v>2074</v>
      </c>
      <c r="F2826" s="69">
        <v>0</v>
      </c>
      <c r="G2826" s="69">
        <f t="shared" si="416"/>
        <v>0</v>
      </c>
      <c r="H2826" s="69">
        <f>ROUND(E2826*1.05,0)</f>
        <v>2178</v>
      </c>
      <c r="I2826" s="69">
        <f t="shared" si="417"/>
        <v>2309</v>
      </c>
      <c r="J2826" s="69">
        <f t="shared" si="417"/>
        <v>2448</v>
      </c>
      <c r="M2826" s="57"/>
    </row>
    <row r="2827" spans="1:13" x14ac:dyDescent="0.2">
      <c r="A2827" s="75">
        <v>2227</v>
      </c>
      <c r="B2827" s="70" t="s">
        <v>448</v>
      </c>
      <c r="C2827" s="69">
        <v>2372</v>
      </c>
      <c r="D2827" s="69">
        <v>10500</v>
      </c>
      <c r="E2827" s="69">
        <v>10500</v>
      </c>
      <c r="F2827" s="69">
        <f>1310+20949</f>
        <v>22259</v>
      </c>
      <c r="G2827" s="69">
        <f t="shared" si="416"/>
        <v>26710.800000000003</v>
      </c>
      <c r="H2827" s="69">
        <f>ROUND(E2827*1.05,0)</f>
        <v>11025</v>
      </c>
      <c r="I2827" s="69">
        <f t="shared" si="417"/>
        <v>11687</v>
      </c>
      <c r="J2827" s="69">
        <f t="shared" si="417"/>
        <v>12388</v>
      </c>
      <c r="M2827" s="57"/>
    </row>
    <row r="2828" spans="1:13" x14ac:dyDescent="0.2">
      <c r="A2828" s="60">
        <v>2233</v>
      </c>
      <c r="B2828" s="70" t="s">
        <v>497</v>
      </c>
      <c r="C2828" s="69">
        <v>0</v>
      </c>
      <c r="D2828" s="69">
        <v>31500</v>
      </c>
      <c r="E2828" s="69">
        <v>31500</v>
      </c>
      <c r="F2828" s="69">
        <v>0</v>
      </c>
      <c r="G2828" s="69">
        <f t="shared" si="416"/>
        <v>0</v>
      </c>
      <c r="H2828" s="69">
        <v>0</v>
      </c>
      <c r="I2828" s="69">
        <f t="shared" si="417"/>
        <v>0</v>
      </c>
      <c r="J2828" s="69">
        <f t="shared" si="417"/>
        <v>0</v>
      </c>
      <c r="M2828" s="57"/>
    </row>
    <row r="2829" spans="1:13" x14ac:dyDescent="0.2">
      <c r="A2829" s="75">
        <v>2237</v>
      </c>
      <c r="B2829" s="70" t="s">
        <v>4124</v>
      </c>
      <c r="C2829" s="69">
        <v>1249996</v>
      </c>
      <c r="D2829" s="69">
        <v>1365000</v>
      </c>
      <c r="E2829" s="69">
        <v>1365000</v>
      </c>
      <c r="F2829" s="69">
        <v>1353043</v>
      </c>
      <c r="G2829" s="69">
        <f t="shared" si="416"/>
        <v>1623651.5999999999</v>
      </c>
      <c r="H2829" s="69">
        <f>ROUND(E2829*1.05,0)-200000</f>
        <v>1233250</v>
      </c>
      <c r="I2829" s="69">
        <f t="shared" si="417"/>
        <v>1307245</v>
      </c>
      <c r="J2829" s="69">
        <f t="shared" si="417"/>
        <v>1385680</v>
      </c>
      <c r="M2829" s="57"/>
    </row>
    <row r="2830" spans="1:13" x14ac:dyDescent="0.2">
      <c r="A2830" s="75">
        <v>2238</v>
      </c>
      <c r="B2830" s="70" t="s">
        <v>479</v>
      </c>
      <c r="C2830" s="69">
        <v>1025</v>
      </c>
      <c r="D2830" s="69">
        <v>75500</v>
      </c>
      <c r="E2830" s="69">
        <v>75500</v>
      </c>
      <c r="F2830" s="69">
        <v>5165</v>
      </c>
      <c r="G2830" s="69">
        <f t="shared" si="416"/>
        <v>6198</v>
      </c>
      <c r="H2830" s="69">
        <f t="shared" ref="H2830:H2838" si="418">ROUND(E2830*1.05,0)</f>
        <v>79275</v>
      </c>
      <c r="I2830" s="69">
        <f t="shared" si="417"/>
        <v>84032</v>
      </c>
      <c r="J2830" s="69">
        <f t="shared" si="417"/>
        <v>89074</v>
      </c>
      <c r="M2830" s="57"/>
    </row>
    <row r="2831" spans="1:13" x14ac:dyDescent="0.2">
      <c r="A2831" s="75">
        <v>2244</v>
      </c>
      <c r="B2831" s="70" t="s">
        <v>4109</v>
      </c>
      <c r="C2831" s="69">
        <v>166</v>
      </c>
      <c r="D2831" s="69">
        <v>0</v>
      </c>
      <c r="E2831" s="69">
        <v>0</v>
      </c>
      <c r="F2831" s="69">
        <v>0</v>
      </c>
      <c r="G2831" s="69">
        <f t="shared" si="416"/>
        <v>0</v>
      </c>
      <c r="H2831" s="69">
        <f t="shared" si="418"/>
        <v>0</v>
      </c>
      <c r="I2831" s="69">
        <f t="shared" si="417"/>
        <v>0</v>
      </c>
      <c r="J2831" s="69">
        <f t="shared" si="417"/>
        <v>0</v>
      </c>
      <c r="M2831" s="57"/>
    </row>
    <row r="2832" spans="1:13" x14ac:dyDescent="0.2">
      <c r="A2832" s="60">
        <v>2246</v>
      </c>
      <c r="B2832" s="70" t="s">
        <v>2422</v>
      </c>
      <c r="C2832" s="69">
        <v>10781</v>
      </c>
      <c r="D2832" s="69">
        <v>15750</v>
      </c>
      <c r="E2832" s="69">
        <v>15750</v>
      </c>
      <c r="F2832" s="69">
        <v>0</v>
      </c>
      <c r="G2832" s="69">
        <f t="shared" si="416"/>
        <v>0</v>
      </c>
      <c r="H2832" s="69">
        <f t="shared" si="418"/>
        <v>16538</v>
      </c>
      <c r="I2832" s="69">
        <f t="shared" si="417"/>
        <v>17530</v>
      </c>
      <c r="J2832" s="69">
        <f t="shared" si="417"/>
        <v>18582</v>
      </c>
      <c r="M2832" s="57"/>
    </row>
    <row r="2833" spans="1:13" x14ac:dyDescent="0.2">
      <c r="A2833" s="75">
        <v>2249</v>
      </c>
      <c r="B2833" s="70" t="s">
        <v>2955</v>
      </c>
      <c r="C2833" s="69">
        <v>74475</v>
      </c>
      <c r="D2833" s="69">
        <v>42000</v>
      </c>
      <c r="E2833" s="69">
        <v>42000</v>
      </c>
      <c r="F2833" s="69">
        <v>46438</v>
      </c>
      <c r="G2833" s="69">
        <f t="shared" si="416"/>
        <v>55725.600000000006</v>
      </c>
      <c r="H2833" s="69">
        <f t="shared" si="418"/>
        <v>44100</v>
      </c>
      <c r="I2833" s="69">
        <f t="shared" si="417"/>
        <v>46746</v>
      </c>
      <c r="J2833" s="69">
        <f t="shared" si="417"/>
        <v>49551</v>
      </c>
      <c r="M2833" s="57"/>
    </row>
    <row r="2834" spans="1:13" x14ac:dyDescent="0.2">
      <c r="A2834" s="75">
        <v>2252</v>
      </c>
      <c r="B2834" s="70" t="s">
        <v>4052</v>
      </c>
      <c r="C2834" s="69">
        <v>0</v>
      </c>
      <c r="D2834" s="69">
        <v>9200</v>
      </c>
      <c r="E2834" s="69">
        <v>9200</v>
      </c>
      <c r="F2834" s="69">
        <v>0</v>
      </c>
      <c r="G2834" s="69">
        <f t="shared" si="416"/>
        <v>0</v>
      </c>
      <c r="H2834" s="69">
        <f t="shared" si="418"/>
        <v>9660</v>
      </c>
      <c r="I2834" s="69">
        <f t="shared" si="417"/>
        <v>10240</v>
      </c>
      <c r="J2834" s="69">
        <f t="shared" si="417"/>
        <v>10854</v>
      </c>
      <c r="M2834" s="57"/>
    </row>
    <row r="2835" spans="1:13" x14ac:dyDescent="0.2">
      <c r="A2835" s="75">
        <v>2255</v>
      </c>
      <c r="B2835" s="70" t="s">
        <v>2397</v>
      </c>
      <c r="C2835" s="69">
        <v>35110</v>
      </c>
      <c r="D2835" s="69">
        <v>21000</v>
      </c>
      <c r="E2835" s="69">
        <v>21000</v>
      </c>
      <c r="F2835" s="69">
        <v>25168</v>
      </c>
      <c r="G2835" s="69">
        <f t="shared" si="416"/>
        <v>30201.600000000002</v>
      </c>
      <c r="H2835" s="69">
        <f t="shared" si="418"/>
        <v>22050</v>
      </c>
      <c r="I2835" s="69">
        <f t="shared" si="417"/>
        <v>23373</v>
      </c>
      <c r="J2835" s="69">
        <f t="shared" si="417"/>
        <v>24775</v>
      </c>
      <c r="M2835" s="57"/>
    </row>
    <row r="2836" spans="1:13" x14ac:dyDescent="0.2">
      <c r="A2836" s="60">
        <v>2256</v>
      </c>
      <c r="B2836" s="70" t="s">
        <v>4054</v>
      </c>
      <c r="C2836" s="69">
        <v>161402</v>
      </c>
      <c r="D2836" s="69">
        <v>33797</v>
      </c>
      <c r="E2836" s="69">
        <v>33797</v>
      </c>
      <c r="F2836" s="69">
        <v>26424</v>
      </c>
      <c r="G2836" s="69">
        <f t="shared" si="416"/>
        <v>31708.800000000003</v>
      </c>
      <c r="H2836" s="69">
        <f t="shared" si="418"/>
        <v>35487</v>
      </c>
      <c r="I2836" s="69">
        <f t="shared" si="417"/>
        <v>37616</v>
      </c>
      <c r="J2836" s="69">
        <f t="shared" si="417"/>
        <v>39873</v>
      </c>
      <c r="M2836" s="57"/>
    </row>
    <row r="2837" spans="1:13" x14ac:dyDescent="0.2">
      <c r="A2837" s="60">
        <v>2502</v>
      </c>
      <c r="B2837" s="70" t="s">
        <v>1060</v>
      </c>
      <c r="C2837" s="69">
        <v>95044</v>
      </c>
      <c r="D2837" s="69">
        <v>0</v>
      </c>
      <c r="E2837" s="69">
        <v>0</v>
      </c>
      <c r="F2837" s="69">
        <v>0</v>
      </c>
      <c r="G2837" s="69">
        <f t="shared" si="416"/>
        <v>0</v>
      </c>
      <c r="H2837" s="69">
        <f t="shared" si="418"/>
        <v>0</v>
      </c>
      <c r="I2837" s="69">
        <f t="shared" si="417"/>
        <v>0</v>
      </c>
      <c r="J2837" s="69">
        <f t="shared" si="417"/>
        <v>0</v>
      </c>
      <c r="M2837" s="57"/>
    </row>
    <row r="2838" spans="1:13" x14ac:dyDescent="0.2">
      <c r="A2838" s="75">
        <v>2305</v>
      </c>
      <c r="B2838" s="71" t="s">
        <v>31</v>
      </c>
      <c r="C2838" s="56">
        <v>6459</v>
      </c>
      <c r="D2838" s="56">
        <v>5250</v>
      </c>
      <c r="E2838" s="56">
        <v>5250</v>
      </c>
      <c r="F2838" s="56">
        <v>4035</v>
      </c>
      <c r="G2838" s="56">
        <f t="shared" si="416"/>
        <v>4842</v>
      </c>
      <c r="H2838" s="56">
        <f t="shared" si="418"/>
        <v>5513</v>
      </c>
      <c r="I2838" s="56">
        <f t="shared" si="417"/>
        <v>5844</v>
      </c>
      <c r="J2838" s="56">
        <f t="shared" si="417"/>
        <v>6195</v>
      </c>
      <c r="M2838" s="57"/>
    </row>
    <row r="2839" spans="1:13" x14ac:dyDescent="0.2">
      <c r="B2839" s="58" t="s">
        <v>436</v>
      </c>
      <c r="C2839" s="72">
        <f t="shared" ref="C2839:J2839" si="419">SUM(C2821:C2838)</f>
        <v>1745506</v>
      </c>
      <c r="D2839" s="72">
        <f t="shared" si="419"/>
        <v>2138571</v>
      </c>
      <c r="E2839" s="72">
        <f t="shared" si="419"/>
        <v>2138571</v>
      </c>
      <c r="F2839" s="72">
        <f t="shared" si="419"/>
        <v>1673343</v>
      </c>
      <c r="G2839" s="72">
        <f t="shared" si="419"/>
        <v>2008011.6</v>
      </c>
      <c r="H2839" s="72">
        <f t="shared" si="419"/>
        <v>2199111</v>
      </c>
      <c r="I2839" s="72">
        <f t="shared" si="419"/>
        <v>2331060</v>
      </c>
      <c r="J2839" s="72">
        <f t="shared" si="419"/>
        <v>2470925</v>
      </c>
      <c r="M2839" s="57"/>
    </row>
    <row r="2840" spans="1:13" x14ac:dyDescent="0.2">
      <c r="B2840" s="58"/>
      <c r="C2840" s="72"/>
      <c r="D2840" s="72"/>
      <c r="E2840" s="72"/>
      <c r="G2840" s="69"/>
      <c r="H2840" s="69"/>
      <c r="I2840" s="72"/>
      <c r="J2840" s="72"/>
      <c r="M2840" s="57"/>
    </row>
    <row r="2841" spans="1:13" s="9" customFormat="1" x14ac:dyDescent="0.2">
      <c r="A2841" s="37"/>
      <c r="B2841" s="58" t="s">
        <v>4023</v>
      </c>
      <c r="C2841" s="69"/>
      <c r="D2841" s="69"/>
      <c r="E2841" s="69"/>
      <c r="F2841" s="24"/>
      <c r="G2841" s="69"/>
      <c r="H2841" s="69"/>
      <c r="I2841" s="69"/>
      <c r="J2841" s="69"/>
      <c r="M2841" s="57"/>
    </row>
    <row r="2842" spans="1:13" x14ac:dyDescent="0.2">
      <c r="A2842" s="75"/>
      <c r="B2842" s="71" t="s">
        <v>444</v>
      </c>
      <c r="C2842" s="56">
        <v>393701</v>
      </c>
      <c r="D2842" s="56">
        <v>315000</v>
      </c>
      <c r="E2842" s="56">
        <v>315000</v>
      </c>
      <c r="F2842" s="56">
        <v>29602</v>
      </c>
      <c r="G2842" s="56">
        <f>F2842/$F$11*$G$11</f>
        <v>35522.399999999994</v>
      </c>
      <c r="H2842" s="56">
        <v>0</v>
      </c>
      <c r="I2842" s="56">
        <f>ROUND(H2842*1.06,0)</f>
        <v>0</v>
      </c>
      <c r="J2842" s="56">
        <f>ROUND(I2842*1.06,0)</f>
        <v>0</v>
      </c>
      <c r="M2842" s="57"/>
    </row>
    <row r="2843" spans="1:13" x14ac:dyDescent="0.2">
      <c r="B2843" s="58" t="s">
        <v>1058</v>
      </c>
      <c r="C2843" s="72">
        <f t="shared" ref="C2843:J2843" si="420">SUM(C2842)</f>
        <v>393701</v>
      </c>
      <c r="D2843" s="72">
        <f t="shared" si="420"/>
        <v>315000</v>
      </c>
      <c r="E2843" s="72">
        <f t="shared" si="420"/>
        <v>315000</v>
      </c>
      <c r="F2843" s="72">
        <f t="shared" si="420"/>
        <v>29602</v>
      </c>
      <c r="G2843" s="72">
        <f t="shared" si="420"/>
        <v>35522.399999999994</v>
      </c>
      <c r="H2843" s="72">
        <f t="shared" si="420"/>
        <v>0</v>
      </c>
      <c r="I2843" s="72">
        <f t="shared" si="420"/>
        <v>0</v>
      </c>
      <c r="J2843" s="72">
        <f t="shared" si="420"/>
        <v>0</v>
      </c>
      <c r="M2843" s="57"/>
    </row>
    <row r="2844" spans="1:13" x14ac:dyDescent="0.2">
      <c r="B2844" s="61"/>
      <c r="C2844" s="97"/>
      <c r="D2844" s="97"/>
      <c r="E2844" s="97"/>
      <c r="F2844" s="97"/>
      <c r="G2844" s="97"/>
      <c r="H2844" s="97"/>
      <c r="I2844" s="97"/>
      <c r="J2844" s="97"/>
      <c r="M2844" s="57"/>
    </row>
    <row r="2845" spans="1:13" x14ac:dyDescent="0.2">
      <c r="B2845" s="58" t="s">
        <v>4055</v>
      </c>
      <c r="C2845" s="73">
        <f>C2787+C2791+C2795+C2804+C2839+C2843</f>
        <v>6852830</v>
      </c>
      <c r="D2845" s="73">
        <f t="shared" ref="D2845:J2845" si="421">D2787+D2791+D2804+D2839+D2795+D2843</f>
        <v>6840121</v>
      </c>
      <c r="E2845" s="73">
        <f t="shared" si="421"/>
        <v>6840121</v>
      </c>
      <c r="F2845" s="73">
        <f t="shared" si="421"/>
        <v>4448921</v>
      </c>
      <c r="G2845" s="73">
        <f t="shared" si="421"/>
        <v>5338705.2000000011</v>
      </c>
      <c r="H2845" s="73">
        <f t="shared" si="421"/>
        <v>8464864</v>
      </c>
      <c r="I2845" s="73">
        <f t="shared" si="421"/>
        <v>8900319</v>
      </c>
      <c r="J2845" s="73">
        <f t="shared" si="421"/>
        <v>9620848</v>
      </c>
      <c r="M2845" s="57"/>
    </row>
    <row r="2846" spans="1:13" x14ac:dyDescent="0.2">
      <c r="B2846" s="58"/>
      <c r="C2846" s="96"/>
      <c r="D2846" s="96"/>
      <c r="E2846" s="96"/>
      <c r="G2846" s="69"/>
      <c r="H2846" s="69"/>
      <c r="I2846" s="96"/>
      <c r="J2846" s="96"/>
      <c r="M2846" s="57"/>
    </row>
    <row r="2847" spans="1:13" x14ac:dyDescent="0.2">
      <c r="B2847" s="58" t="s">
        <v>4027</v>
      </c>
      <c r="C2847" s="96"/>
      <c r="D2847" s="96"/>
      <c r="E2847" s="96"/>
      <c r="G2847" s="69"/>
      <c r="H2847" s="69"/>
      <c r="I2847" s="96"/>
      <c r="J2847" s="96"/>
      <c r="M2847" s="57"/>
    </row>
    <row r="2848" spans="1:13" s="86" customFormat="1" x14ac:dyDescent="0.2">
      <c r="A2848" s="111"/>
      <c r="B2848" s="71" t="s">
        <v>208</v>
      </c>
      <c r="C2848" s="56">
        <v>0</v>
      </c>
      <c r="D2848" s="56">
        <v>0</v>
      </c>
      <c r="E2848" s="56">
        <v>0</v>
      </c>
      <c r="F2848" s="56">
        <v>0</v>
      </c>
      <c r="G2848" s="56">
        <f>F2848/$F$11*$G$11</f>
        <v>0</v>
      </c>
      <c r="H2848" s="56">
        <v>0</v>
      </c>
      <c r="I2848" s="56">
        <v>0</v>
      </c>
      <c r="J2848" s="56">
        <v>0</v>
      </c>
      <c r="M2848" s="57"/>
    </row>
    <row r="2849" spans="1:13" x14ac:dyDescent="0.2">
      <c r="B2849" s="58" t="s">
        <v>433</v>
      </c>
      <c r="C2849" s="96">
        <f t="shared" ref="C2849:J2849" si="422">SUM(C2848)</f>
        <v>0</v>
      </c>
      <c r="D2849" s="96">
        <f t="shared" si="422"/>
        <v>0</v>
      </c>
      <c r="E2849" s="96">
        <f t="shared" si="422"/>
        <v>0</v>
      </c>
      <c r="F2849" s="69">
        <f t="shared" si="422"/>
        <v>0</v>
      </c>
      <c r="G2849" s="96">
        <f t="shared" si="422"/>
        <v>0</v>
      </c>
      <c r="H2849" s="96">
        <f t="shared" si="422"/>
        <v>0</v>
      </c>
      <c r="I2849" s="96">
        <f t="shared" si="422"/>
        <v>0</v>
      </c>
      <c r="J2849" s="96">
        <f t="shared" si="422"/>
        <v>0</v>
      </c>
      <c r="M2849" s="57"/>
    </row>
    <row r="2850" spans="1:13" s="5" customFormat="1" x14ac:dyDescent="0.2">
      <c r="A2850" s="37"/>
      <c r="B2850" s="58"/>
      <c r="C2850" s="96"/>
      <c r="D2850" s="96"/>
      <c r="E2850" s="96"/>
      <c r="F2850" s="24"/>
      <c r="G2850" s="69"/>
      <c r="H2850" s="69"/>
      <c r="I2850" s="96"/>
      <c r="J2850" s="96"/>
      <c r="M2850" s="57"/>
    </row>
    <row r="2851" spans="1:13" s="5" customFormat="1" x14ac:dyDescent="0.2">
      <c r="A2851" s="75"/>
      <c r="B2851" s="58" t="s">
        <v>418</v>
      </c>
      <c r="C2851" s="69"/>
      <c r="D2851" s="69"/>
      <c r="E2851" s="69"/>
      <c r="F2851" s="2"/>
      <c r="G2851" s="69"/>
      <c r="H2851" s="69"/>
      <c r="I2851" s="69"/>
      <c r="J2851" s="69"/>
      <c r="M2851" s="57"/>
    </row>
    <row r="2852" spans="1:13" s="5" customFormat="1" x14ac:dyDescent="0.2">
      <c r="A2852" s="75">
        <v>4204</v>
      </c>
      <c r="B2852" s="70" t="s">
        <v>4058</v>
      </c>
      <c r="C2852" s="69">
        <v>93225</v>
      </c>
      <c r="D2852" s="69">
        <v>44208</v>
      </c>
      <c r="E2852" s="69">
        <v>44208</v>
      </c>
      <c r="F2852" s="69">
        <v>0</v>
      </c>
      <c r="G2852" s="69">
        <f>F2852/$F$11*$G$11</f>
        <v>0</v>
      </c>
      <c r="H2852" s="69">
        <f>ROUND(E2852*1.08,0)</f>
        <v>47745</v>
      </c>
      <c r="I2852" s="69">
        <f t="shared" ref="I2852:J2856" si="423">ROUND(H2852*1.08,0)</f>
        <v>51565</v>
      </c>
      <c r="J2852" s="69">
        <f t="shared" si="423"/>
        <v>55690</v>
      </c>
      <c r="M2852" s="57"/>
    </row>
    <row r="2853" spans="1:13" s="5" customFormat="1" x14ac:dyDescent="0.2">
      <c r="A2853" s="75">
        <v>4209</v>
      </c>
      <c r="B2853" s="70" t="s">
        <v>237</v>
      </c>
      <c r="C2853" s="69">
        <v>36412</v>
      </c>
      <c r="D2853" s="69">
        <v>0</v>
      </c>
      <c r="E2853" s="69">
        <v>0</v>
      </c>
      <c r="F2853" s="69">
        <v>0</v>
      </c>
      <c r="G2853" s="69">
        <f>F2853/$F$11*$G$11</f>
        <v>0</v>
      </c>
      <c r="H2853" s="69">
        <f>ROUND(E2853*1.08,0)</f>
        <v>0</v>
      </c>
      <c r="I2853" s="69">
        <f t="shared" si="423"/>
        <v>0</v>
      </c>
      <c r="J2853" s="69">
        <f t="shared" si="423"/>
        <v>0</v>
      </c>
      <c r="M2853" s="57"/>
    </row>
    <row r="2854" spans="1:13" x14ac:dyDescent="0.2">
      <c r="A2854" s="75">
        <v>4207</v>
      </c>
      <c r="B2854" s="70" t="s">
        <v>222</v>
      </c>
      <c r="C2854" s="69">
        <v>111976</v>
      </c>
      <c r="D2854" s="69">
        <v>46397</v>
      </c>
      <c r="E2854" s="69">
        <v>46397</v>
      </c>
      <c r="F2854" s="69">
        <v>0</v>
      </c>
      <c r="G2854" s="69">
        <f>F2854/$F$11*$G$11</f>
        <v>0</v>
      </c>
      <c r="H2854" s="69">
        <f>ROUND(E2854*1.08,0)</f>
        <v>50109</v>
      </c>
      <c r="I2854" s="69">
        <f t="shared" si="423"/>
        <v>54118</v>
      </c>
      <c r="J2854" s="69">
        <f t="shared" si="423"/>
        <v>58447</v>
      </c>
      <c r="M2854" s="57"/>
    </row>
    <row r="2855" spans="1:13" x14ac:dyDescent="0.2">
      <c r="A2855" s="101">
        <v>4102</v>
      </c>
      <c r="B2855" s="70" t="s">
        <v>1061</v>
      </c>
      <c r="C2855" s="96">
        <v>0</v>
      </c>
      <c r="D2855" s="69">
        <v>0</v>
      </c>
      <c r="E2855" s="69">
        <v>0</v>
      </c>
      <c r="F2855" s="69">
        <v>0</v>
      </c>
      <c r="G2855" s="69">
        <f>F2855/$F$11*$G$11</f>
        <v>0</v>
      </c>
      <c r="H2855" s="69">
        <f>ROUND(E2855*1.08,0)</f>
        <v>0</v>
      </c>
      <c r="I2855" s="69">
        <f t="shared" si="423"/>
        <v>0</v>
      </c>
      <c r="J2855" s="69">
        <f t="shared" si="423"/>
        <v>0</v>
      </c>
      <c r="M2855" s="57"/>
    </row>
    <row r="2856" spans="1:13" x14ac:dyDescent="0.2">
      <c r="A2856" s="75">
        <v>4103</v>
      </c>
      <c r="B2856" s="71" t="s">
        <v>1061</v>
      </c>
      <c r="C2856" s="56">
        <v>23245</v>
      </c>
      <c r="D2856" s="56">
        <v>0</v>
      </c>
      <c r="E2856" s="56">
        <v>0</v>
      </c>
      <c r="F2856" s="56">
        <v>0</v>
      </c>
      <c r="G2856" s="56">
        <f>F2856/$F$11*$G$11</f>
        <v>0</v>
      </c>
      <c r="H2856" s="56">
        <f>ROUND(E2856*1.08,0)</f>
        <v>0</v>
      </c>
      <c r="I2856" s="56">
        <f t="shared" si="423"/>
        <v>0</v>
      </c>
      <c r="J2856" s="56">
        <f t="shared" si="423"/>
        <v>0</v>
      </c>
      <c r="M2856" s="57"/>
    </row>
    <row r="2857" spans="1:13" x14ac:dyDescent="0.2">
      <c r="A2857" s="112"/>
      <c r="B2857" s="58" t="s">
        <v>419</v>
      </c>
      <c r="C2857" s="72">
        <f t="shared" ref="C2857:J2857" si="424">SUM(C2852:C2856)</f>
        <v>264858</v>
      </c>
      <c r="D2857" s="72">
        <f t="shared" si="424"/>
        <v>90605</v>
      </c>
      <c r="E2857" s="72">
        <f t="shared" si="424"/>
        <v>90605</v>
      </c>
      <c r="F2857" s="72">
        <f t="shared" si="424"/>
        <v>0</v>
      </c>
      <c r="G2857" s="72">
        <f t="shared" si="424"/>
        <v>0</v>
      </c>
      <c r="H2857" s="72">
        <f t="shared" si="424"/>
        <v>97854</v>
      </c>
      <c r="I2857" s="72">
        <f t="shared" si="424"/>
        <v>105683</v>
      </c>
      <c r="J2857" s="72">
        <f t="shared" si="424"/>
        <v>114137</v>
      </c>
      <c r="M2857" s="57"/>
    </row>
    <row r="2858" spans="1:13" x14ac:dyDescent="0.2">
      <c r="A2858" s="112"/>
      <c r="B2858" s="58"/>
      <c r="C2858" s="72"/>
      <c r="D2858" s="72"/>
      <c r="E2858" s="72"/>
      <c r="F2858" s="5"/>
      <c r="G2858" s="69"/>
      <c r="H2858" s="69"/>
      <c r="I2858" s="72"/>
      <c r="J2858" s="72"/>
      <c r="M2858" s="57"/>
    </row>
    <row r="2859" spans="1:13" x14ac:dyDescent="0.2">
      <c r="A2859" s="112"/>
      <c r="B2859" s="58" t="s">
        <v>1089</v>
      </c>
      <c r="C2859" s="96"/>
      <c r="D2859" s="96"/>
      <c r="E2859" s="96"/>
      <c r="F2859" s="5"/>
      <c r="G2859" s="69"/>
      <c r="H2859" s="69"/>
      <c r="I2859" s="96"/>
      <c r="J2859" s="96"/>
      <c r="M2859" s="57"/>
    </row>
    <row r="2860" spans="1:13" x14ac:dyDescent="0.2">
      <c r="A2860" s="112"/>
      <c r="B2860" s="71" t="s">
        <v>4076</v>
      </c>
      <c r="C2860" s="56">
        <v>0</v>
      </c>
      <c r="D2860" s="56">
        <f>+D2762</f>
        <v>11629000</v>
      </c>
      <c r="E2860" s="56">
        <v>11629000</v>
      </c>
      <c r="F2860" s="56">
        <v>0</v>
      </c>
      <c r="G2860" s="56">
        <f>F2860/$F$11*$G$11</f>
        <v>0</v>
      </c>
      <c r="H2860" s="56">
        <v>0</v>
      </c>
      <c r="I2860" s="56">
        <f>+I2762</f>
        <v>0</v>
      </c>
      <c r="J2860" s="56">
        <f>+J2762</f>
        <v>0</v>
      </c>
      <c r="M2860" s="57"/>
    </row>
    <row r="2861" spans="1:13" x14ac:dyDescent="0.2">
      <c r="B2861" s="58" t="s">
        <v>1090</v>
      </c>
      <c r="C2861" s="59">
        <f t="shared" ref="C2861:J2861" si="425">SUM(C2860:C2860)</f>
        <v>0</v>
      </c>
      <c r="D2861" s="59">
        <f t="shared" si="425"/>
        <v>11629000</v>
      </c>
      <c r="E2861" s="59">
        <f t="shared" si="425"/>
        <v>11629000</v>
      </c>
      <c r="F2861" s="59">
        <f t="shared" si="425"/>
        <v>0</v>
      </c>
      <c r="G2861" s="59">
        <f t="shared" si="425"/>
        <v>0</v>
      </c>
      <c r="H2861" s="59">
        <f t="shared" si="425"/>
        <v>0</v>
      </c>
      <c r="I2861" s="59">
        <f t="shared" si="425"/>
        <v>0</v>
      </c>
      <c r="J2861" s="59">
        <f t="shared" si="425"/>
        <v>0</v>
      </c>
      <c r="M2861" s="57"/>
    </row>
    <row r="2862" spans="1:13" x14ac:dyDescent="0.2">
      <c r="B2862" s="58"/>
      <c r="C2862" s="72"/>
      <c r="D2862" s="72"/>
      <c r="E2862" s="72"/>
      <c r="F2862" s="72"/>
      <c r="G2862" s="72"/>
      <c r="H2862" s="72"/>
      <c r="I2862" s="72"/>
      <c r="J2862" s="72"/>
      <c r="M2862" s="57"/>
    </row>
    <row r="2863" spans="1:13" ht="13.5" thickBot="1" x14ac:dyDescent="0.25">
      <c r="B2863" s="65" t="s">
        <v>4033</v>
      </c>
      <c r="C2863" s="76">
        <f t="shared" ref="C2863:J2863" si="426">+C2845+C2849+C2857+C2861</f>
        <v>7117688</v>
      </c>
      <c r="D2863" s="76">
        <f t="shared" si="426"/>
        <v>18559726</v>
      </c>
      <c r="E2863" s="76">
        <f t="shared" si="426"/>
        <v>18559726</v>
      </c>
      <c r="F2863" s="76">
        <f t="shared" si="426"/>
        <v>4448921</v>
      </c>
      <c r="G2863" s="76">
        <f t="shared" si="426"/>
        <v>5338705.2000000011</v>
      </c>
      <c r="H2863" s="76">
        <f t="shared" si="426"/>
        <v>8562718</v>
      </c>
      <c r="I2863" s="76">
        <f t="shared" si="426"/>
        <v>9006002</v>
      </c>
      <c r="J2863" s="76">
        <f t="shared" si="426"/>
        <v>9734985</v>
      </c>
      <c r="M2863" s="57"/>
    </row>
    <row r="2864" spans="1:13" ht="13.5" thickTop="1" x14ac:dyDescent="0.2">
      <c r="B2864" s="58"/>
      <c r="C2864" s="72"/>
      <c r="D2864" s="72"/>
      <c r="E2864" s="72"/>
      <c r="F2864" s="72"/>
      <c r="G2864" s="72"/>
      <c r="H2864" s="72"/>
      <c r="I2864" s="72"/>
      <c r="J2864" s="72"/>
      <c r="M2864" s="57"/>
    </row>
    <row r="2865" spans="2:13" ht="13.5" thickBot="1" x14ac:dyDescent="0.25">
      <c r="B2865" s="65" t="s">
        <v>4059</v>
      </c>
      <c r="C2865" s="77">
        <f t="shared" ref="C2865:J2865" si="427">C2769-C2863</f>
        <v>276451</v>
      </c>
      <c r="D2865" s="77">
        <f t="shared" si="427"/>
        <v>390721</v>
      </c>
      <c r="E2865" s="77">
        <f t="shared" si="427"/>
        <v>390721</v>
      </c>
      <c r="F2865" s="77">
        <f t="shared" si="427"/>
        <v>99586</v>
      </c>
      <c r="G2865" s="77">
        <f t="shared" si="427"/>
        <v>119503.19999999925</v>
      </c>
      <c r="H2865" s="77">
        <f t="shared" si="427"/>
        <v>1013254</v>
      </c>
      <c r="I2865" s="77">
        <f t="shared" si="427"/>
        <v>1124860</v>
      </c>
      <c r="J2865" s="77">
        <f t="shared" si="427"/>
        <v>1302403</v>
      </c>
      <c r="M2865" s="57"/>
    </row>
    <row r="2866" spans="2:13" ht="13.5" thickTop="1" x14ac:dyDescent="0.2">
      <c r="B2866" s="58"/>
      <c r="C2866" s="78"/>
      <c r="D2866" s="78"/>
      <c r="E2866" s="78"/>
      <c r="G2866" s="69"/>
      <c r="H2866" s="69"/>
      <c r="I2866" s="78"/>
      <c r="J2866" s="78"/>
      <c r="M2866" s="57"/>
    </row>
    <row r="2867" spans="2:13" x14ac:dyDescent="0.2">
      <c r="B2867" s="58"/>
      <c r="C2867" s="78"/>
      <c r="D2867" s="78"/>
      <c r="E2867" s="78"/>
      <c r="G2867" s="69"/>
      <c r="H2867" s="126"/>
      <c r="I2867" s="126"/>
      <c r="J2867" s="126"/>
      <c r="M2867" s="57"/>
    </row>
    <row r="2868" spans="2:13" x14ac:dyDescent="0.2">
      <c r="B2868" s="58"/>
      <c r="C2868" s="78"/>
      <c r="D2868" s="78"/>
      <c r="E2868" s="78"/>
      <c r="G2868" s="69"/>
      <c r="H2868" s="126"/>
      <c r="I2868" s="126"/>
      <c r="J2868" s="126"/>
      <c r="M2868" s="57"/>
    </row>
    <row r="2869" spans="2:13" x14ac:dyDescent="0.2">
      <c r="B2869" s="58"/>
      <c r="C2869" s="78"/>
      <c r="D2869" s="78"/>
      <c r="E2869" s="78"/>
      <c r="G2869" s="69"/>
      <c r="H2869" s="69"/>
      <c r="I2869" s="131"/>
      <c r="J2869" s="131"/>
      <c r="M2869" s="57"/>
    </row>
    <row r="2870" spans="2:13" x14ac:dyDescent="0.2">
      <c r="B2870" s="58"/>
      <c r="C2870" s="78"/>
      <c r="D2870" s="78"/>
      <c r="E2870" s="78"/>
      <c r="G2870" s="69"/>
      <c r="H2870" s="69"/>
      <c r="I2870" s="131"/>
      <c r="J2870" s="131"/>
      <c r="M2870" s="57"/>
    </row>
    <row r="2871" spans="2:13" x14ac:dyDescent="0.2">
      <c r="B2871" s="58"/>
      <c r="C2871" s="78"/>
      <c r="D2871" s="78"/>
      <c r="E2871" s="78"/>
      <c r="G2871" s="69"/>
      <c r="H2871" s="126"/>
      <c r="I2871" s="131"/>
      <c r="J2871" s="131"/>
      <c r="M2871" s="57"/>
    </row>
    <row r="2872" spans="2:13" x14ac:dyDescent="0.2">
      <c r="B2872" s="58"/>
      <c r="C2872" s="78"/>
      <c r="D2872" s="78"/>
      <c r="E2872" s="78"/>
      <c r="G2872" s="69"/>
      <c r="H2872" s="126"/>
      <c r="I2872" s="131"/>
      <c r="J2872" s="131"/>
      <c r="M2872" s="57"/>
    </row>
    <row r="2873" spans="2:13" x14ac:dyDescent="0.2">
      <c r="B2873" s="58"/>
      <c r="C2873" s="78"/>
      <c r="D2873" s="78"/>
      <c r="E2873" s="78"/>
      <c r="G2873" s="69"/>
      <c r="H2873" s="69"/>
      <c r="I2873" s="131"/>
      <c r="J2873" s="131"/>
      <c r="M2873" s="57"/>
    </row>
    <row r="2874" spans="2:13" x14ac:dyDescent="0.2">
      <c r="B2874" s="58"/>
      <c r="C2874" s="78"/>
      <c r="D2874" s="78"/>
      <c r="E2874" s="78"/>
      <c r="G2874" s="69"/>
      <c r="H2874" s="69"/>
      <c r="I2874" s="131"/>
      <c r="J2874" s="131"/>
      <c r="M2874" s="57"/>
    </row>
    <row r="2875" spans="2:13" x14ac:dyDescent="0.2">
      <c r="B2875" s="58"/>
      <c r="C2875" s="78"/>
      <c r="D2875" s="78"/>
      <c r="E2875" s="78"/>
      <c r="G2875" s="69"/>
      <c r="H2875" s="69"/>
      <c r="I2875" s="131"/>
      <c r="J2875" s="131"/>
      <c r="M2875" s="57"/>
    </row>
    <row r="2876" spans="2:13" x14ac:dyDescent="0.2">
      <c r="B2876" s="58"/>
      <c r="C2876" s="78"/>
      <c r="D2876" s="78"/>
      <c r="E2876" s="78"/>
      <c r="G2876" s="69"/>
      <c r="H2876" s="69"/>
      <c r="I2876" s="131"/>
      <c r="J2876" s="131"/>
      <c r="M2876" s="57"/>
    </row>
    <row r="2877" spans="2:13" x14ac:dyDescent="0.2">
      <c r="B2877" s="58"/>
      <c r="C2877" s="78"/>
      <c r="D2877" s="78"/>
      <c r="E2877" s="78"/>
      <c r="G2877" s="69"/>
      <c r="H2877" s="69"/>
      <c r="I2877" s="131"/>
      <c r="J2877" s="131"/>
      <c r="M2877" s="57"/>
    </row>
    <row r="2878" spans="2:13" x14ac:dyDescent="0.2">
      <c r="B2878" s="58"/>
      <c r="C2878" s="78"/>
      <c r="D2878" s="78"/>
      <c r="E2878" s="78"/>
      <c r="G2878" s="69"/>
      <c r="H2878" s="69"/>
      <c r="I2878" s="131"/>
      <c r="J2878" s="131"/>
      <c r="M2878" s="57"/>
    </row>
    <row r="2879" spans="2:13" x14ac:dyDescent="0.2">
      <c r="B2879" s="58"/>
      <c r="C2879" s="78"/>
      <c r="D2879" s="78"/>
      <c r="E2879" s="78"/>
      <c r="G2879" s="69"/>
      <c r="H2879" s="69"/>
      <c r="I2879" s="131"/>
      <c r="J2879" s="131"/>
      <c r="M2879" s="57"/>
    </row>
    <row r="2880" spans="2:13" x14ac:dyDescent="0.2">
      <c r="B2880" s="58"/>
      <c r="C2880" s="78"/>
      <c r="D2880" s="78"/>
      <c r="E2880" s="78"/>
      <c r="G2880" s="69"/>
      <c r="H2880" s="69"/>
      <c r="I2880" s="131"/>
      <c r="J2880" s="131"/>
      <c r="M2880" s="57"/>
    </row>
    <row r="2881" spans="1:13" x14ac:dyDescent="0.2">
      <c r="B2881" s="58"/>
      <c r="C2881" s="78"/>
      <c r="D2881" s="78"/>
      <c r="E2881" s="78"/>
      <c r="G2881" s="69"/>
      <c r="H2881" s="69"/>
      <c r="I2881" s="131"/>
      <c r="J2881" s="131"/>
      <c r="M2881" s="57"/>
    </row>
    <row r="2882" spans="1:13" x14ac:dyDescent="0.2">
      <c r="B2882" s="58"/>
      <c r="C2882" s="78"/>
      <c r="D2882" s="78"/>
      <c r="E2882" s="78"/>
      <c r="G2882" s="69"/>
      <c r="H2882" s="69"/>
      <c r="I2882" s="131"/>
      <c r="J2882" s="131"/>
      <c r="M2882" s="57"/>
    </row>
    <row r="2883" spans="1:13" x14ac:dyDescent="0.2">
      <c r="B2883" s="58"/>
      <c r="C2883" s="78"/>
      <c r="D2883" s="78"/>
      <c r="E2883" s="78"/>
      <c r="G2883" s="69"/>
      <c r="H2883" s="69"/>
      <c r="I2883" s="131"/>
      <c r="J2883" s="131"/>
      <c r="M2883" s="57"/>
    </row>
    <row r="2884" spans="1:13" x14ac:dyDescent="0.2">
      <c r="B2884" s="58"/>
      <c r="C2884" s="78"/>
      <c r="D2884" s="78"/>
      <c r="E2884" s="78"/>
      <c r="G2884" s="69"/>
      <c r="H2884" s="69"/>
      <c r="I2884" s="131"/>
      <c r="J2884" s="131"/>
      <c r="M2884" s="57"/>
    </row>
    <row r="2885" spans="1:13" x14ac:dyDescent="0.2">
      <c r="G2885" s="69"/>
      <c r="H2885" s="69"/>
      <c r="M2885" s="57"/>
    </row>
    <row r="2886" spans="1:13" x14ac:dyDescent="0.2">
      <c r="A2886" s="6"/>
      <c r="B2886" s="6"/>
      <c r="C2886" s="6"/>
      <c r="D2886" s="6"/>
      <c r="E2886" s="6"/>
      <c r="G2886" s="69"/>
      <c r="H2886" s="69"/>
      <c r="I2886" s="6"/>
      <c r="J2886" s="6"/>
      <c r="M2886" s="57"/>
    </row>
    <row r="2887" spans="1:13" x14ac:dyDescent="0.2">
      <c r="A2887" s="6"/>
      <c r="B2887" s="6"/>
      <c r="C2887" s="6"/>
      <c r="D2887" s="6"/>
      <c r="E2887" s="6"/>
      <c r="G2887" s="69"/>
      <c r="H2887" s="69"/>
      <c r="I2887" s="6"/>
      <c r="J2887" s="6"/>
      <c r="M2887" s="57"/>
    </row>
    <row r="2888" spans="1:13" x14ac:dyDescent="0.2">
      <c r="A2888" s="6"/>
      <c r="B2888" s="6"/>
      <c r="C2888" s="6"/>
      <c r="D2888" s="6"/>
      <c r="E2888" s="6"/>
      <c r="G2888" s="69"/>
      <c r="H2888" s="69"/>
      <c r="I2888" s="6"/>
      <c r="J2888" s="6"/>
      <c r="M2888" s="57"/>
    </row>
    <row r="2889" spans="1:13" x14ac:dyDescent="0.2">
      <c r="A2889" s="6"/>
      <c r="B2889" s="6"/>
      <c r="C2889" s="6"/>
      <c r="D2889" s="6"/>
      <c r="E2889" s="6"/>
      <c r="G2889" s="69"/>
      <c r="H2889" s="69"/>
      <c r="I2889" s="6"/>
      <c r="J2889" s="6"/>
      <c r="M2889" s="57"/>
    </row>
    <row r="2890" spans="1:13" ht="15.75" x14ac:dyDescent="0.25">
      <c r="A2890" s="98">
        <v>2200</v>
      </c>
      <c r="B2890" s="123" t="s">
        <v>4125</v>
      </c>
      <c r="C2890" s="48"/>
      <c r="D2890" s="48"/>
      <c r="E2890" s="48"/>
      <c r="G2890" s="69"/>
      <c r="H2890" s="69"/>
      <c r="M2890" s="57"/>
    </row>
    <row r="2891" spans="1:13" ht="15" x14ac:dyDescent="0.25">
      <c r="A2891" s="91">
        <v>2210</v>
      </c>
      <c r="B2891" s="48" t="s">
        <v>48</v>
      </c>
      <c r="C2891" s="48"/>
      <c r="D2891" s="48"/>
      <c r="E2891" s="48"/>
      <c r="G2891" s="69"/>
      <c r="H2891" s="69"/>
      <c r="M2891" s="57"/>
    </row>
    <row r="2892" spans="1:13" ht="15" x14ac:dyDescent="0.25">
      <c r="A2892" s="91"/>
      <c r="B2892" s="48"/>
      <c r="C2892" s="48"/>
      <c r="D2892" s="48"/>
      <c r="E2892" s="48"/>
      <c r="G2892" s="69"/>
      <c r="H2892" s="69"/>
      <c r="M2892" s="57"/>
    </row>
    <row r="2893" spans="1:13" x14ac:dyDescent="0.2">
      <c r="B2893" s="50" t="s">
        <v>61</v>
      </c>
      <c r="C2893" s="50"/>
      <c r="D2893" s="50"/>
      <c r="E2893" s="50"/>
      <c r="G2893" s="69"/>
      <c r="H2893" s="69"/>
      <c r="M2893" s="57"/>
    </row>
    <row r="2894" spans="1:13" x14ac:dyDescent="0.2">
      <c r="B2894" s="50"/>
      <c r="C2894" s="50"/>
      <c r="D2894" s="50"/>
      <c r="E2894" s="50"/>
      <c r="G2894" s="69"/>
      <c r="H2894" s="69"/>
      <c r="I2894" s="171"/>
      <c r="M2894" s="57"/>
    </row>
    <row r="2895" spans="1:13" x14ac:dyDescent="0.2">
      <c r="B2895" s="50" t="s">
        <v>2957</v>
      </c>
      <c r="C2895" s="50"/>
      <c r="D2895" s="50"/>
      <c r="E2895" s="50"/>
      <c r="G2895" s="69"/>
      <c r="H2895" s="69"/>
      <c r="M2895" s="57"/>
    </row>
    <row r="2896" spans="1:13" x14ac:dyDescent="0.2">
      <c r="B2896" s="113" t="s">
        <v>2958</v>
      </c>
      <c r="C2896" s="72">
        <v>0</v>
      </c>
      <c r="D2896" s="72">
        <v>0</v>
      </c>
      <c r="E2896" s="72">
        <v>0</v>
      </c>
      <c r="F2896" s="72">
        <v>0</v>
      </c>
      <c r="G2896" s="69">
        <v>0</v>
      </c>
      <c r="H2896" s="69">
        <f>ROUND(4031261*1.17,0)</f>
        <v>4716575</v>
      </c>
      <c r="I2896" s="69">
        <f>ROUND(H2896*1.258,0)</f>
        <v>5933451</v>
      </c>
      <c r="J2896" s="69">
        <f>ROUND(I2896*1.259,0)</f>
        <v>7470215</v>
      </c>
      <c r="M2896" s="57"/>
    </row>
    <row r="2897" spans="1:13" x14ac:dyDescent="0.2">
      <c r="B2897" s="114" t="s">
        <v>2959</v>
      </c>
      <c r="C2897" s="89">
        <v>0</v>
      </c>
      <c r="D2897" s="89">
        <v>0</v>
      </c>
      <c r="E2897" s="89">
        <v>0</v>
      </c>
      <c r="F2897" s="89">
        <v>0</v>
      </c>
      <c r="G2897" s="56">
        <v>0</v>
      </c>
      <c r="H2897" s="56">
        <f>ROUND(9186864*1.17,0)</f>
        <v>10748631</v>
      </c>
      <c r="I2897" s="56">
        <f>ROUND(H2897*1.258,0)</f>
        <v>13521778</v>
      </c>
      <c r="J2897" s="56">
        <f>ROUND(I2897*1.259,0)</f>
        <v>17023919</v>
      </c>
      <c r="M2897" s="57"/>
    </row>
    <row r="2898" spans="1:13" x14ac:dyDescent="0.2">
      <c r="B2898" s="50" t="s">
        <v>2960</v>
      </c>
      <c r="C2898" s="88">
        <f t="shared" ref="C2898:J2898" si="428">SUM(C2896:C2897)</f>
        <v>0</v>
      </c>
      <c r="D2898" s="88">
        <f t="shared" si="428"/>
        <v>0</v>
      </c>
      <c r="E2898" s="88">
        <f t="shared" si="428"/>
        <v>0</v>
      </c>
      <c r="F2898" s="88">
        <f t="shared" si="428"/>
        <v>0</v>
      </c>
      <c r="G2898" s="88">
        <f t="shared" si="428"/>
        <v>0</v>
      </c>
      <c r="H2898" s="88">
        <f t="shared" si="428"/>
        <v>15465206</v>
      </c>
      <c r="I2898" s="88">
        <f t="shared" si="428"/>
        <v>19455229</v>
      </c>
      <c r="J2898" s="88">
        <f t="shared" si="428"/>
        <v>24494134</v>
      </c>
      <c r="M2898" s="57"/>
    </row>
    <row r="2899" spans="1:13" x14ac:dyDescent="0.2">
      <c r="B2899" s="50"/>
      <c r="C2899" s="50"/>
      <c r="D2899" s="50"/>
      <c r="E2899" s="50"/>
      <c r="G2899" s="69"/>
      <c r="H2899" s="69"/>
      <c r="M2899" s="57"/>
    </row>
    <row r="2900" spans="1:13" s="9" customFormat="1" x14ac:dyDescent="0.2">
      <c r="A2900" s="37"/>
      <c r="B2900" s="58" t="s">
        <v>423</v>
      </c>
      <c r="C2900" s="99"/>
      <c r="D2900" s="99"/>
      <c r="E2900" s="99"/>
      <c r="F2900" s="2"/>
      <c r="G2900" s="69"/>
      <c r="H2900" s="69"/>
      <c r="I2900" s="99"/>
      <c r="J2900" s="99"/>
      <c r="M2900" s="57"/>
    </row>
    <row r="2901" spans="1:13" x14ac:dyDescent="0.2">
      <c r="B2901" s="70" t="s">
        <v>2961</v>
      </c>
      <c r="C2901" s="99">
        <v>0</v>
      </c>
      <c r="D2901" s="99">
        <v>0</v>
      </c>
      <c r="E2901" s="99">
        <v>0</v>
      </c>
      <c r="F2901" s="99">
        <v>0</v>
      </c>
      <c r="G2901" s="69">
        <v>0</v>
      </c>
      <c r="H2901" s="69">
        <v>20253</v>
      </c>
      <c r="I2901" s="99">
        <f>ROUND(H2901*1.06,0)</f>
        <v>21468</v>
      </c>
      <c r="J2901" s="99">
        <f>ROUND(I2901*1.06,0)</f>
        <v>22756</v>
      </c>
      <c r="M2901" s="57"/>
    </row>
    <row r="2902" spans="1:13" x14ac:dyDescent="0.2">
      <c r="B2902" s="70" t="s">
        <v>2416</v>
      </c>
      <c r="C2902" s="99">
        <v>0</v>
      </c>
      <c r="D2902" s="99">
        <v>0</v>
      </c>
      <c r="E2902" s="99">
        <v>0</v>
      </c>
      <c r="F2902" s="99">
        <v>0</v>
      </c>
      <c r="G2902" s="69">
        <v>0</v>
      </c>
      <c r="H2902" s="69">
        <v>10632</v>
      </c>
      <c r="I2902" s="99">
        <f>ROUND(H2902*1.06,0)</f>
        <v>11270</v>
      </c>
      <c r="J2902" s="99">
        <f>ROUND(I2902*1.06,0)</f>
        <v>11946</v>
      </c>
      <c r="M2902" s="57"/>
    </row>
    <row r="2903" spans="1:13" x14ac:dyDescent="0.2">
      <c r="A2903" s="75">
        <v>5807</v>
      </c>
      <c r="B2903" s="71" t="s">
        <v>4080</v>
      </c>
      <c r="C2903" s="56">
        <v>0</v>
      </c>
      <c r="D2903" s="56">
        <v>157509</v>
      </c>
      <c r="E2903" s="56">
        <v>157509</v>
      </c>
      <c r="F2903" s="56">
        <v>0</v>
      </c>
      <c r="G2903" s="56">
        <f>F2903/$F$11*$G$11</f>
        <v>0</v>
      </c>
      <c r="H2903" s="56">
        <v>0</v>
      </c>
      <c r="I2903" s="56">
        <v>0</v>
      </c>
      <c r="J2903" s="56">
        <v>0</v>
      </c>
      <c r="M2903" s="57"/>
    </row>
    <row r="2904" spans="1:13" x14ac:dyDescent="0.2">
      <c r="B2904" s="58" t="s">
        <v>424</v>
      </c>
      <c r="C2904" s="100">
        <f t="shared" ref="C2904:J2904" si="429">SUM(C2901:C2903)</f>
        <v>0</v>
      </c>
      <c r="D2904" s="100">
        <f t="shared" si="429"/>
        <v>157509</v>
      </c>
      <c r="E2904" s="100">
        <f t="shared" si="429"/>
        <v>157509</v>
      </c>
      <c r="F2904" s="100">
        <f t="shared" si="429"/>
        <v>0</v>
      </c>
      <c r="G2904" s="100">
        <f t="shared" si="429"/>
        <v>0</v>
      </c>
      <c r="H2904" s="100">
        <f t="shared" si="429"/>
        <v>30885</v>
      </c>
      <c r="I2904" s="100">
        <f t="shared" si="429"/>
        <v>32738</v>
      </c>
      <c r="J2904" s="100">
        <f t="shared" si="429"/>
        <v>34702</v>
      </c>
      <c r="M2904" s="57"/>
    </row>
    <row r="2905" spans="1:13" x14ac:dyDescent="0.2">
      <c r="B2905" s="58"/>
      <c r="C2905" s="100"/>
      <c r="D2905" s="100"/>
      <c r="E2905" s="100"/>
      <c r="F2905" s="24"/>
      <c r="G2905" s="69"/>
      <c r="H2905" s="69"/>
      <c r="I2905" s="100"/>
      <c r="J2905" s="100"/>
      <c r="M2905" s="57"/>
    </row>
    <row r="2906" spans="1:13" x14ac:dyDescent="0.2">
      <c r="B2906" s="58" t="s">
        <v>4126</v>
      </c>
      <c r="C2906" s="100"/>
      <c r="D2906" s="100"/>
      <c r="E2906" s="100"/>
      <c r="F2906" s="24"/>
      <c r="G2906" s="69"/>
      <c r="H2906" s="69"/>
      <c r="I2906" s="100"/>
      <c r="J2906" s="100"/>
      <c r="M2906" s="57"/>
    </row>
    <row r="2907" spans="1:13" x14ac:dyDescent="0.2">
      <c r="A2907" s="111"/>
      <c r="B2907" s="71" t="s">
        <v>49</v>
      </c>
      <c r="C2907" s="62">
        <v>-678648</v>
      </c>
      <c r="D2907" s="62">
        <v>-400000</v>
      </c>
      <c r="E2907" s="62">
        <f>-400000-200000</f>
        <v>-600000</v>
      </c>
      <c r="F2907" s="62">
        <f>-84926-323994</f>
        <v>-408920</v>
      </c>
      <c r="G2907" s="62">
        <f>F2907/$F$11*$G$11</f>
        <v>-490704</v>
      </c>
      <c r="H2907" s="62">
        <f>ROUND(G2907*1.22,0)</f>
        <v>-598659</v>
      </c>
      <c r="I2907" s="62">
        <f>ROUND(H2907*1.22,0)</f>
        <v>-730364</v>
      </c>
      <c r="J2907" s="62">
        <f>ROUND(I2907*1.22,0)</f>
        <v>-891044</v>
      </c>
      <c r="M2907" s="57"/>
    </row>
    <row r="2908" spans="1:13" x14ac:dyDescent="0.2">
      <c r="B2908" s="58" t="s">
        <v>429</v>
      </c>
      <c r="C2908" s="100">
        <f t="shared" ref="C2908:J2908" si="430">SUM(C2907)</f>
        <v>-678648</v>
      </c>
      <c r="D2908" s="100">
        <f t="shared" si="430"/>
        <v>-400000</v>
      </c>
      <c r="E2908" s="100">
        <f t="shared" si="430"/>
        <v>-600000</v>
      </c>
      <c r="F2908" s="100">
        <f t="shared" si="430"/>
        <v>-408920</v>
      </c>
      <c r="G2908" s="100">
        <f t="shared" si="430"/>
        <v>-490704</v>
      </c>
      <c r="H2908" s="100">
        <f t="shared" si="430"/>
        <v>-598659</v>
      </c>
      <c r="I2908" s="100">
        <f t="shared" si="430"/>
        <v>-730364</v>
      </c>
      <c r="J2908" s="100">
        <f t="shared" si="430"/>
        <v>-891044</v>
      </c>
      <c r="M2908" s="57"/>
    </row>
    <row r="2909" spans="1:13" x14ac:dyDescent="0.2">
      <c r="B2909" s="61"/>
      <c r="C2909" s="62"/>
      <c r="D2909" s="62"/>
      <c r="E2909" s="62"/>
      <c r="F2909" s="62"/>
      <c r="G2909" s="62"/>
      <c r="H2909" s="62"/>
      <c r="I2909" s="62"/>
      <c r="J2909" s="62"/>
      <c r="M2909" s="57"/>
    </row>
    <row r="2910" spans="1:13" x14ac:dyDescent="0.2">
      <c r="B2910" s="58" t="s">
        <v>4105</v>
      </c>
      <c r="C2910" s="73">
        <f t="shared" ref="C2910:J2910" si="431">+C2904+C2908+C2898</f>
        <v>-678648</v>
      </c>
      <c r="D2910" s="73">
        <f t="shared" si="431"/>
        <v>-242491</v>
      </c>
      <c r="E2910" s="73">
        <f t="shared" si="431"/>
        <v>-442491</v>
      </c>
      <c r="F2910" s="73">
        <f t="shared" si="431"/>
        <v>-408920</v>
      </c>
      <c r="G2910" s="73">
        <f t="shared" si="431"/>
        <v>-490704</v>
      </c>
      <c r="H2910" s="73">
        <f t="shared" si="431"/>
        <v>14897432</v>
      </c>
      <c r="I2910" s="73">
        <f t="shared" si="431"/>
        <v>18757603</v>
      </c>
      <c r="J2910" s="73">
        <f t="shared" si="431"/>
        <v>23637792</v>
      </c>
      <c r="M2910" s="57"/>
    </row>
    <row r="2911" spans="1:13" x14ac:dyDescent="0.2">
      <c r="B2911" s="58"/>
      <c r="C2911" s="73"/>
      <c r="D2911" s="73"/>
      <c r="E2911" s="73"/>
      <c r="F2911" s="69"/>
      <c r="G2911" s="69"/>
      <c r="H2911" s="69"/>
      <c r="I2911" s="73"/>
      <c r="J2911" s="73"/>
      <c r="M2911" s="57"/>
    </row>
    <row r="2912" spans="1:13" x14ac:dyDescent="0.2">
      <c r="B2912" s="58" t="s">
        <v>413</v>
      </c>
      <c r="C2912" s="99"/>
      <c r="D2912" s="99"/>
      <c r="E2912" s="99"/>
      <c r="F2912" s="28"/>
      <c r="G2912" s="69"/>
      <c r="H2912" s="69"/>
      <c r="I2912" s="99"/>
      <c r="J2912" s="99"/>
      <c r="M2912" s="57"/>
    </row>
    <row r="2913" spans="1:13" x14ac:dyDescent="0.2">
      <c r="A2913" s="75">
        <v>5501</v>
      </c>
      <c r="B2913" s="71" t="s">
        <v>2405</v>
      </c>
      <c r="C2913" s="62">
        <v>722712</v>
      </c>
      <c r="D2913" s="56">
        <f>950131-367222</f>
        <v>582909</v>
      </c>
      <c r="E2913" s="56">
        <f>582909+200000</f>
        <v>782909</v>
      </c>
      <c r="F2913" s="56">
        <f>F2984-F2908</f>
        <v>689865</v>
      </c>
      <c r="G2913" s="56">
        <f>F2913/$F$11*$G$11</f>
        <v>827838</v>
      </c>
      <c r="H2913" s="56">
        <v>0</v>
      </c>
      <c r="I2913" s="56">
        <v>0</v>
      </c>
      <c r="J2913" s="56">
        <v>0</v>
      </c>
      <c r="M2913" s="57"/>
    </row>
    <row r="2914" spans="1:13" x14ac:dyDescent="0.2">
      <c r="B2914" s="58" t="s">
        <v>414</v>
      </c>
      <c r="C2914" s="100">
        <f t="shared" ref="C2914:J2914" si="432">SUM(C2913:C2913)</f>
        <v>722712</v>
      </c>
      <c r="D2914" s="100">
        <f t="shared" si="432"/>
        <v>582909</v>
      </c>
      <c r="E2914" s="100">
        <f t="shared" si="432"/>
        <v>782909</v>
      </c>
      <c r="F2914" s="100">
        <f t="shared" si="432"/>
        <v>689865</v>
      </c>
      <c r="G2914" s="100">
        <f t="shared" si="432"/>
        <v>827838</v>
      </c>
      <c r="H2914" s="100">
        <f t="shared" si="432"/>
        <v>0</v>
      </c>
      <c r="I2914" s="100">
        <f t="shared" si="432"/>
        <v>0</v>
      </c>
      <c r="J2914" s="100">
        <f t="shared" si="432"/>
        <v>0</v>
      </c>
      <c r="M2914" s="57"/>
    </row>
    <row r="2915" spans="1:13" x14ac:dyDescent="0.2">
      <c r="B2915" s="58"/>
      <c r="C2915" s="100"/>
      <c r="D2915" s="100"/>
      <c r="E2915" s="100"/>
      <c r="F2915" s="100"/>
      <c r="G2915" s="100"/>
      <c r="H2915" s="100"/>
      <c r="I2915" s="100"/>
      <c r="J2915" s="100"/>
      <c r="M2915" s="57"/>
    </row>
    <row r="2916" spans="1:13" x14ac:dyDescent="0.2">
      <c r="B2916" s="58" t="s">
        <v>1087</v>
      </c>
      <c r="C2916" s="99"/>
      <c r="D2916" s="99"/>
      <c r="E2916" s="99"/>
      <c r="F2916" s="28"/>
      <c r="G2916" s="69"/>
      <c r="H2916" s="69"/>
      <c r="I2916" s="99"/>
      <c r="J2916" s="99"/>
      <c r="M2916" s="57"/>
    </row>
    <row r="2917" spans="1:13" x14ac:dyDescent="0.2">
      <c r="B2917" s="71" t="s">
        <v>4127</v>
      </c>
      <c r="C2917" s="56">
        <v>0</v>
      </c>
      <c r="D2917" s="56">
        <v>2950000</v>
      </c>
      <c r="E2917" s="56">
        <v>2950000</v>
      </c>
      <c r="F2917" s="56">
        <v>0</v>
      </c>
      <c r="G2917" s="56">
        <f>F2917/$F$11*$G$11</f>
        <v>0</v>
      </c>
      <c r="H2917" s="56">
        <v>0</v>
      </c>
      <c r="I2917" s="56">
        <v>0</v>
      </c>
      <c r="J2917" s="56">
        <v>0</v>
      </c>
      <c r="M2917" s="57"/>
    </row>
    <row r="2918" spans="1:13" x14ac:dyDescent="0.2">
      <c r="B2918" s="58" t="s">
        <v>1088</v>
      </c>
      <c r="C2918" s="100">
        <f t="shared" ref="C2918:J2918" si="433">SUM(C2917)</f>
        <v>0</v>
      </c>
      <c r="D2918" s="100">
        <f t="shared" si="433"/>
        <v>2950000</v>
      </c>
      <c r="E2918" s="100">
        <f t="shared" si="433"/>
        <v>2950000</v>
      </c>
      <c r="F2918" s="100">
        <f t="shared" si="433"/>
        <v>0</v>
      </c>
      <c r="G2918" s="100">
        <f t="shared" si="433"/>
        <v>0</v>
      </c>
      <c r="H2918" s="100">
        <f t="shared" si="433"/>
        <v>0</v>
      </c>
      <c r="I2918" s="100">
        <f t="shared" si="433"/>
        <v>0</v>
      </c>
      <c r="J2918" s="100">
        <f t="shared" si="433"/>
        <v>0</v>
      </c>
      <c r="M2918" s="57"/>
    </row>
    <row r="2919" spans="1:13" x14ac:dyDescent="0.2">
      <c r="B2919" s="58"/>
      <c r="C2919" s="99"/>
      <c r="D2919" s="99"/>
      <c r="E2919" s="99"/>
      <c r="G2919" s="69"/>
      <c r="H2919" s="69"/>
      <c r="I2919" s="99"/>
      <c r="J2919" s="99"/>
      <c r="M2919" s="57"/>
    </row>
    <row r="2920" spans="1:13" ht="13.5" thickBot="1" x14ac:dyDescent="0.25">
      <c r="B2920" s="65" t="s">
        <v>4017</v>
      </c>
      <c r="C2920" s="66">
        <f t="shared" ref="C2920:J2920" si="434">+C2910+C2914+C2918</f>
        <v>44064</v>
      </c>
      <c r="D2920" s="66">
        <f t="shared" si="434"/>
        <v>3290418</v>
      </c>
      <c r="E2920" s="66">
        <f t="shared" si="434"/>
        <v>3290418</v>
      </c>
      <c r="F2920" s="66">
        <f t="shared" si="434"/>
        <v>280945</v>
      </c>
      <c r="G2920" s="66">
        <f t="shared" si="434"/>
        <v>337134</v>
      </c>
      <c r="H2920" s="66">
        <f t="shared" si="434"/>
        <v>14897432</v>
      </c>
      <c r="I2920" s="66">
        <f t="shared" si="434"/>
        <v>18757603</v>
      </c>
      <c r="J2920" s="66">
        <f t="shared" si="434"/>
        <v>23637792</v>
      </c>
      <c r="M2920" s="57"/>
    </row>
    <row r="2921" spans="1:13" ht="13.5" thickTop="1" x14ac:dyDescent="0.2">
      <c r="B2921" s="68"/>
      <c r="C2921" s="68"/>
      <c r="D2921" s="68"/>
      <c r="E2921" s="68"/>
      <c r="G2921" s="69"/>
      <c r="H2921" s="69"/>
      <c r="I2921" s="68"/>
      <c r="J2921" s="68"/>
      <c r="M2921" s="57"/>
    </row>
    <row r="2922" spans="1:13" x14ac:dyDescent="0.2">
      <c r="B2922" s="50" t="s">
        <v>4018</v>
      </c>
      <c r="C2922" s="50"/>
      <c r="D2922" s="50"/>
      <c r="E2922" s="50"/>
      <c r="G2922" s="69"/>
      <c r="H2922" s="69"/>
      <c r="I2922" s="50"/>
      <c r="J2922" s="50"/>
      <c r="M2922" s="57"/>
    </row>
    <row r="2923" spans="1:13" x14ac:dyDescent="0.2">
      <c r="B2923" s="50"/>
      <c r="C2923" s="50"/>
      <c r="D2923" s="50"/>
      <c r="E2923" s="50"/>
      <c r="G2923" s="69"/>
      <c r="H2923" s="69"/>
      <c r="I2923" s="50"/>
      <c r="J2923" s="50"/>
      <c r="M2923" s="57"/>
    </row>
    <row r="2924" spans="1:13" x14ac:dyDescent="0.2">
      <c r="B2924" s="58" t="s">
        <v>4019</v>
      </c>
      <c r="C2924" s="69"/>
      <c r="D2924" s="69"/>
      <c r="E2924" s="69"/>
      <c r="G2924" s="69"/>
      <c r="H2924" s="69"/>
      <c r="I2924" s="69"/>
      <c r="J2924" s="69"/>
      <c r="M2924" s="57"/>
    </row>
    <row r="2925" spans="1:13" x14ac:dyDescent="0.2">
      <c r="A2925" s="101">
        <v>1001</v>
      </c>
      <c r="B2925" s="70" t="s">
        <v>472</v>
      </c>
      <c r="C2925" s="69">
        <v>0</v>
      </c>
      <c r="D2925" s="69">
        <v>0</v>
      </c>
      <c r="E2925" s="69">
        <v>0</v>
      </c>
      <c r="F2925" s="69">
        <v>0</v>
      </c>
      <c r="G2925" s="69">
        <f>F2925/$F$11*$G$11</f>
        <v>0</v>
      </c>
      <c r="H2925" s="69">
        <f>+[3]Salary_Bdgt!$H$567</f>
        <v>632543</v>
      </c>
      <c r="I2925" s="69">
        <f t="shared" ref="I2925:J2937" si="435">ROUND(H2925*1.08,0)</f>
        <v>683146</v>
      </c>
      <c r="J2925" s="69">
        <f t="shared" si="435"/>
        <v>737798</v>
      </c>
      <c r="M2925" s="57"/>
    </row>
    <row r="2926" spans="1:13" x14ac:dyDescent="0.2">
      <c r="A2926" s="75">
        <v>1005</v>
      </c>
      <c r="B2926" s="70" t="s">
        <v>473</v>
      </c>
      <c r="C2926" s="69">
        <v>0</v>
      </c>
      <c r="D2926" s="69">
        <v>0</v>
      </c>
      <c r="E2926" s="69">
        <v>0</v>
      </c>
      <c r="F2926" s="69">
        <v>0</v>
      </c>
      <c r="G2926" s="69">
        <v>0</v>
      </c>
      <c r="H2926" s="69">
        <f>+[3]Salary_Bdgt!$L$567</f>
        <v>29837</v>
      </c>
      <c r="I2926" s="69">
        <f t="shared" si="435"/>
        <v>32224</v>
      </c>
      <c r="J2926" s="69">
        <f t="shared" si="435"/>
        <v>34802</v>
      </c>
      <c r="M2926" s="57"/>
    </row>
    <row r="2927" spans="1:13" x14ac:dyDescent="0.2">
      <c r="A2927" s="75">
        <v>1006</v>
      </c>
      <c r="B2927" s="70" t="s">
        <v>474</v>
      </c>
      <c r="C2927" s="69">
        <v>0</v>
      </c>
      <c r="D2927" s="69">
        <v>0</v>
      </c>
      <c r="E2927" s="69">
        <v>0</v>
      </c>
      <c r="F2927" s="69">
        <v>0</v>
      </c>
      <c r="G2927" s="69">
        <f>F2927/$F$11*$G$11</f>
        <v>0</v>
      </c>
      <c r="H2927" s="69">
        <f>+[3]Salary_Bdgt!$N$567</f>
        <v>131442</v>
      </c>
      <c r="I2927" s="69">
        <f t="shared" si="435"/>
        <v>141957</v>
      </c>
      <c r="J2927" s="69">
        <f t="shared" si="435"/>
        <v>153314</v>
      </c>
      <c r="M2927" s="57"/>
    </row>
    <row r="2928" spans="1:13" x14ac:dyDescent="0.2">
      <c r="A2928" s="75">
        <v>1007</v>
      </c>
      <c r="B2928" s="70" t="s">
        <v>481</v>
      </c>
      <c r="C2928" s="69">
        <v>0</v>
      </c>
      <c r="D2928" s="69">
        <v>0</v>
      </c>
      <c r="E2928" s="69">
        <v>0</v>
      </c>
      <c r="F2928" s="69">
        <v>0</v>
      </c>
      <c r="G2928" s="69">
        <v>0</v>
      </c>
      <c r="H2928" s="69">
        <f>+[3]Salary_Bdgt!$I$567</f>
        <v>6925</v>
      </c>
      <c r="I2928" s="69">
        <f t="shared" si="435"/>
        <v>7479</v>
      </c>
      <c r="J2928" s="69">
        <f t="shared" si="435"/>
        <v>8077</v>
      </c>
      <c r="M2928" s="57"/>
    </row>
    <row r="2929" spans="1:13" x14ac:dyDescent="0.2">
      <c r="A2929" s="75">
        <v>1009</v>
      </c>
      <c r="B2929" s="70" t="s">
        <v>482</v>
      </c>
      <c r="C2929" s="69">
        <v>0</v>
      </c>
      <c r="D2929" s="69">
        <v>0</v>
      </c>
      <c r="E2929" s="69">
        <v>0</v>
      </c>
      <c r="F2929" s="69">
        <v>0</v>
      </c>
      <c r="G2929" s="69">
        <v>0</v>
      </c>
      <c r="H2929" s="69">
        <f>+[3]Salary_Bdgt!$M$567</f>
        <v>225</v>
      </c>
      <c r="I2929" s="69">
        <f t="shared" si="435"/>
        <v>243</v>
      </c>
      <c r="J2929" s="69">
        <f t="shared" si="435"/>
        <v>262</v>
      </c>
      <c r="M2929" s="57"/>
    </row>
    <row r="2930" spans="1:13" x14ac:dyDescent="0.2">
      <c r="A2930" s="75">
        <v>1010</v>
      </c>
      <c r="B2930" s="70" t="s">
        <v>28</v>
      </c>
      <c r="C2930" s="69">
        <v>0</v>
      </c>
      <c r="D2930" s="69">
        <v>0</v>
      </c>
      <c r="E2930" s="69">
        <v>0</v>
      </c>
      <c r="F2930" s="69">
        <v>0</v>
      </c>
      <c r="G2930" s="69">
        <f>F2930/$F$11*$G$11</f>
        <v>0</v>
      </c>
      <c r="H2930" s="69">
        <f>+[3]Salary_Bdgt!$Q$567</f>
        <v>52712</v>
      </c>
      <c r="I2930" s="69">
        <f t="shared" si="435"/>
        <v>56929</v>
      </c>
      <c r="J2930" s="69">
        <f t="shared" si="435"/>
        <v>61483</v>
      </c>
      <c r="M2930" s="57"/>
    </row>
    <row r="2931" spans="1:13" x14ac:dyDescent="0.2">
      <c r="A2931" s="75">
        <v>1011</v>
      </c>
      <c r="B2931" s="70" t="s">
        <v>4045</v>
      </c>
      <c r="C2931" s="69">
        <v>0</v>
      </c>
      <c r="D2931" s="69">
        <v>0</v>
      </c>
      <c r="E2931" s="69">
        <v>0</v>
      </c>
      <c r="F2931" s="69">
        <v>0</v>
      </c>
      <c r="G2931" s="69">
        <v>0</v>
      </c>
      <c r="H2931" s="69">
        <f>+[3]Salary_Bdgt!$U$567</f>
        <v>12960</v>
      </c>
      <c r="I2931" s="69">
        <f t="shared" si="435"/>
        <v>13997</v>
      </c>
      <c r="J2931" s="69">
        <f t="shared" si="435"/>
        <v>15117</v>
      </c>
      <c r="M2931" s="57"/>
    </row>
    <row r="2932" spans="1:13" x14ac:dyDescent="0.2">
      <c r="A2932" s="75">
        <v>1014</v>
      </c>
      <c r="B2932" s="70" t="s">
        <v>36</v>
      </c>
      <c r="C2932" s="69">
        <v>0</v>
      </c>
      <c r="D2932" s="69">
        <v>0</v>
      </c>
      <c r="E2932" s="69">
        <v>0</v>
      </c>
      <c r="F2932" s="69">
        <v>0</v>
      </c>
      <c r="G2932" s="69">
        <v>0</v>
      </c>
      <c r="H2932" s="69">
        <f>+[3]Salary_Bdgt!$S$567</f>
        <v>0</v>
      </c>
      <c r="I2932" s="69">
        <f t="shared" si="435"/>
        <v>0</v>
      </c>
      <c r="J2932" s="69">
        <f t="shared" si="435"/>
        <v>0</v>
      </c>
      <c r="M2932" s="57"/>
    </row>
    <row r="2933" spans="1:13" x14ac:dyDescent="0.2">
      <c r="A2933" s="75">
        <v>1015</v>
      </c>
      <c r="B2933" s="70" t="s">
        <v>445</v>
      </c>
      <c r="C2933" s="69">
        <v>0</v>
      </c>
      <c r="D2933" s="69">
        <v>0</v>
      </c>
      <c r="E2933" s="69">
        <v>0</v>
      </c>
      <c r="F2933" s="69">
        <v>0</v>
      </c>
      <c r="G2933" s="69">
        <f>F2933/$F$11*$G$11</f>
        <v>0</v>
      </c>
      <c r="H2933" s="69">
        <f>+[3]Salary_Bdgt!$O$567+[3]Salary_Bdgt!$P$567+[3]Salary_Bdgt!$W$567</f>
        <v>0</v>
      </c>
      <c r="I2933" s="69">
        <f t="shared" si="435"/>
        <v>0</v>
      </c>
      <c r="J2933" s="69">
        <f t="shared" si="435"/>
        <v>0</v>
      </c>
      <c r="M2933" s="57"/>
    </row>
    <row r="2934" spans="1:13" x14ac:dyDescent="0.2">
      <c r="A2934" s="75">
        <v>1016</v>
      </c>
      <c r="B2934" s="70" t="s">
        <v>475</v>
      </c>
      <c r="C2934" s="69">
        <v>0</v>
      </c>
      <c r="D2934" s="69">
        <v>0</v>
      </c>
      <c r="E2934" s="69">
        <v>0</v>
      </c>
      <c r="F2934" s="69">
        <v>0</v>
      </c>
      <c r="G2934" s="69">
        <v>0</v>
      </c>
      <c r="H2934" s="69">
        <f>+[3]Salary_Bdgt!$T$567+[3]Salary_Bdgt!$W$567</f>
        <v>0</v>
      </c>
      <c r="I2934" s="69">
        <f t="shared" si="435"/>
        <v>0</v>
      </c>
      <c r="J2934" s="69">
        <f t="shared" si="435"/>
        <v>0</v>
      </c>
      <c r="M2934" s="57"/>
    </row>
    <row r="2935" spans="1:13" x14ac:dyDescent="0.2">
      <c r="A2935" s="75">
        <v>1046</v>
      </c>
      <c r="B2935" s="70" t="s">
        <v>491</v>
      </c>
      <c r="C2935" s="69">
        <v>0</v>
      </c>
      <c r="D2935" s="69">
        <v>0</v>
      </c>
      <c r="E2935" s="69">
        <v>0</v>
      </c>
      <c r="F2935" s="69">
        <v>0</v>
      </c>
      <c r="G2935" s="69">
        <v>0</v>
      </c>
      <c r="H2935" s="69">
        <f>+[3]Salary_Bdgt!$R$567</f>
        <v>0</v>
      </c>
      <c r="I2935" s="69">
        <f t="shared" si="435"/>
        <v>0</v>
      </c>
      <c r="J2935" s="69">
        <f t="shared" si="435"/>
        <v>0</v>
      </c>
      <c r="M2935" s="57"/>
    </row>
    <row r="2936" spans="1:13" x14ac:dyDescent="0.2">
      <c r="A2936" s="75">
        <v>1017</v>
      </c>
      <c r="B2936" s="70" t="s">
        <v>4044</v>
      </c>
      <c r="C2936" s="69">
        <v>0</v>
      </c>
      <c r="D2936" s="69">
        <v>0</v>
      </c>
      <c r="E2936" s="69">
        <v>0</v>
      </c>
      <c r="F2936" s="69">
        <v>0</v>
      </c>
      <c r="G2936" s="69">
        <f>F2936/$F$11*$G$11</f>
        <v>0</v>
      </c>
      <c r="H2936" s="69">
        <f>+[3]Salary_Bdgt!$J$567</f>
        <v>12780</v>
      </c>
      <c r="I2936" s="69">
        <f t="shared" si="435"/>
        <v>13802</v>
      </c>
      <c r="J2936" s="69">
        <f t="shared" si="435"/>
        <v>14906</v>
      </c>
      <c r="M2936" s="57"/>
    </row>
    <row r="2937" spans="1:13" x14ac:dyDescent="0.2">
      <c r="A2937" s="75">
        <v>1182</v>
      </c>
      <c r="B2937" s="71" t="s">
        <v>1065</v>
      </c>
      <c r="C2937" s="56">
        <v>0</v>
      </c>
      <c r="D2937" s="56">
        <v>0</v>
      </c>
      <c r="E2937" s="56">
        <f>+D2937</f>
        <v>0</v>
      </c>
      <c r="F2937" s="56">
        <v>0</v>
      </c>
      <c r="G2937" s="56">
        <f>F2937/$F$11*$G$11</f>
        <v>0</v>
      </c>
      <c r="H2937" s="56">
        <f>+[3]Salary_Bdgt!$K$567</f>
        <v>11886</v>
      </c>
      <c r="I2937" s="56">
        <f t="shared" si="435"/>
        <v>12837</v>
      </c>
      <c r="J2937" s="56">
        <f t="shared" si="435"/>
        <v>13864</v>
      </c>
      <c r="M2937" s="57"/>
    </row>
    <row r="2938" spans="1:13" x14ac:dyDescent="0.2">
      <c r="A2938" s="75"/>
      <c r="B2938" s="58" t="s">
        <v>416</v>
      </c>
      <c r="C2938" s="72">
        <f t="shared" ref="C2938:J2938" si="436">SUM(C2925:C2937)</f>
        <v>0</v>
      </c>
      <c r="D2938" s="72">
        <f t="shared" si="436"/>
        <v>0</v>
      </c>
      <c r="E2938" s="72">
        <f t="shared" si="436"/>
        <v>0</v>
      </c>
      <c r="F2938" s="72">
        <f t="shared" si="436"/>
        <v>0</v>
      </c>
      <c r="G2938" s="72">
        <f t="shared" si="436"/>
        <v>0</v>
      </c>
      <c r="H2938" s="72">
        <f t="shared" si="436"/>
        <v>891310</v>
      </c>
      <c r="I2938" s="72">
        <f t="shared" si="436"/>
        <v>962614</v>
      </c>
      <c r="J2938" s="72">
        <f t="shared" si="436"/>
        <v>1039623</v>
      </c>
      <c r="M2938" s="57"/>
    </row>
    <row r="2939" spans="1:13" x14ac:dyDescent="0.2">
      <c r="B2939" s="50"/>
      <c r="C2939" s="50"/>
      <c r="D2939" s="50"/>
      <c r="E2939" s="50"/>
      <c r="G2939" s="69"/>
      <c r="H2939" s="69"/>
      <c r="I2939" s="50"/>
      <c r="J2939" s="50"/>
      <c r="M2939" s="57"/>
    </row>
    <row r="2940" spans="1:13" x14ac:dyDescent="0.2">
      <c r="A2940" s="75"/>
      <c r="B2940" s="58" t="s">
        <v>425</v>
      </c>
      <c r="C2940" s="69"/>
      <c r="D2940" s="126"/>
      <c r="E2940" s="126"/>
      <c r="G2940" s="69"/>
      <c r="H2940" s="69"/>
      <c r="I2940" s="69"/>
      <c r="J2940" s="69"/>
      <c r="M2940" s="57"/>
    </row>
    <row r="2941" spans="1:13" x14ac:dyDescent="0.2">
      <c r="A2941" s="101"/>
      <c r="B2941" s="71" t="s">
        <v>208</v>
      </c>
      <c r="C2941" s="56">
        <v>0</v>
      </c>
      <c r="D2941" s="56">
        <v>0</v>
      </c>
      <c r="E2941" s="56">
        <v>0</v>
      </c>
      <c r="F2941" s="56">
        <v>0</v>
      </c>
      <c r="G2941" s="56">
        <f>F2941/$F$11*$G$11</f>
        <v>0</v>
      </c>
      <c r="H2941" s="56">
        <v>147588</v>
      </c>
      <c r="I2941" s="56">
        <v>154967</v>
      </c>
      <c r="J2941" s="56">
        <v>154967</v>
      </c>
      <c r="M2941" s="57"/>
    </row>
    <row r="2942" spans="1:13" x14ac:dyDescent="0.2">
      <c r="A2942" s="75"/>
      <c r="B2942" s="58" t="s">
        <v>426</v>
      </c>
      <c r="C2942" s="72">
        <f t="shared" ref="C2942:J2942" si="437">SUM(C2941:C2941)</f>
        <v>0</v>
      </c>
      <c r="D2942" s="72">
        <f t="shared" si="437"/>
        <v>0</v>
      </c>
      <c r="E2942" s="72">
        <f t="shared" si="437"/>
        <v>0</v>
      </c>
      <c r="F2942" s="72">
        <f t="shared" si="437"/>
        <v>0</v>
      </c>
      <c r="G2942" s="72">
        <f t="shared" si="437"/>
        <v>0</v>
      </c>
      <c r="H2942" s="72">
        <f t="shared" si="437"/>
        <v>147588</v>
      </c>
      <c r="I2942" s="72">
        <f t="shared" si="437"/>
        <v>154967</v>
      </c>
      <c r="J2942" s="72">
        <f t="shared" si="437"/>
        <v>154967</v>
      </c>
      <c r="M2942" s="57"/>
    </row>
    <row r="2943" spans="1:13" x14ac:dyDescent="0.2">
      <c r="A2943" s="75"/>
      <c r="B2943" s="58"/>
      <c r="C2943" s="69"/>
      <c r="D2943" s="69"/>
      <c r="E2943" s="69"/>
      <c r="G2943" s="69"/>
      <c r="H2943" s="69"/>
      <c r="I2943" s="69"/>
      <c r="J2943" s="69"/>
      <c r="M2943" s="57"/>
    </row>
    <row r="2944" spans="1:13" x14ac:dyDescent="0.2">
      <c r="A2944" s="75"/>
      <c r="B2944" s="58" t="s">
        <v>4021</v>
      </c>
      <c r="C2944" s="69"/>
      <c r="D2944" s="69"/>
      <c r="E2944" s="69"/>
      <c r="G2944" s="69"/>
      <c r="H2944" s="69"/>
      <c r="I2944" s="69"/>
      <c r="J2944" s="69"/>
      <c r="M2944" s="57"/>
    </row>
    <row r="2945" spans="1:13" x14ac:dyDescent="0.2">
      <c r="A2945" s="60"/>
      <c r="B2945" s="70" t="s">
        <v>2952</v>
      </c>
      <c r="C2945" s="69">
        <v>0</v>
      </c>
      <c r="D2945" s="69">
        <v>0</v>
      </c>
      <c r="E2945" s="69">
        <v>0</v>
      </c>
      <c r="F2945" s="69">
        <v>0</v>
      </c>
      <c r="G2945" s="69">
        <f>F2945/$F$11*$G$11</f>
        <v>0</v>
      </c>
      <c r="H2945" s="69">
        <f>ROUND(227900*1.05,0)</f>
        <v>239295</v>
      </c>
      <c r="I2945" s="69">
        <f t="shared" ref="I2945:J2949" si="438">ROUND(H2945*1.06,0)</f>
        <v>253653</v>
      </c>
      <c r="J2945" s="69">
        <f t="shared" si="438"/>
        <v>268872</v>
      </c>
      <c r="M2945" s="57"/>
    </row>
    <row r="2946" spans="1:13" x14ac:dyDescent="0.2">
      <c r="A2946" s="60">
        <v>3215</v>
      </c>
      <c r="B2946" s="70" t="s">
        <v>42</v>
      </c>
      <c r="C2946" s="69">
        <v>0</v>
      </c>
      <c r="D2946" s="69">
        <v>0</v>
      </c>
      <c r="E2946" s="69">
        <v>0</v>
      </c>
      <c r="F2946" s="69">
        <v>0</v>
      </c>
      <c r="G2946" s="69">
        <f>F2946/$F$11*$G$11</f>
        <v>0</v>
      </c>
      <c r="H2946" s="69">
        <v>0</v>
      </c>
      <c r="I2946" s="69">
        <f t="shared" si="438"/>
        <v>0</v>
      </c>
      <c r="J2946" s="69">
        <f t="shared" si="438"/>
        <v>0</v>
      </c>
      <c r="M2946" s="57"/>
    </row>
    <row r="2947" spans="1:13" x14ac:dyDescent="0.2">
      <c r="A2947" s="75"/>
      <c r="B2947" s="70" t="s">
        <v>2953</v>
      </c>
      <c r="C2947" s="69">
        <v>0</v>
      </c>
      <c r="D2947" s="69">
        <v>0</v>
      </c>
      <c r="E2947" s="69">
        <v>0</v>
      </c>
      <c r="F2947" s="69">
        <v>0</v>
      </c>
      <c r="G2947" s="69">
        <f>F2947/$F$11*$G$11</f>
        <v>0</v>
      </c>
      <c r="H2947" s="69">
        <v>67069</v>
      </c>
      <c r="I2947" s="69">
        <f t="shared" si="438"/>
        <v>71093</v>
      </c>
      <c r="J2947" s="69">
        <f t="shared" si="438"/>
        <v>75359</v>
      </c>
      <c r="M2947" s="57"/>
    </row>
    <row r="2948" spans="1:13" x14ac:dyDescent="0.2">
      <c r="A2948" s="75">
        <v>3378</v>
      </c>
      <c r="B2948" s="70" t="s">
        <v>447</v>
      </c>
      <c r="C2948" s="69">
        <v>0</v>
      </c>
      <c r="D2948" s="69">
        <v>0</v>
      </c>
      <c r="E2948" s="69">
        <v>0</v>
      </c>
      <c r="F2948" s="69">
        <v>0</v>
      </c>
      <c r="G2948" s="69">
        <f>F2948/$F$11*$G$11</f>
        <v>0</v>
      </c>
      <c r="H2948" s="69">
        <f>ROUND(1433*1.05,0)</f>
        <v>1505</v>
      </c>
      <c r="I2948" s="69">
        <f t="shared" si="438"/>
        <v>1595</v>
      </c>
      <c r="J2948" s="69">
        <f t="shared" si="438"/>
        <v>1691</v>
      </c>
      <c r="M2948" s="57"/>
    </row>
    <row r="2949" spans="1:13" x14ac:dyDescent="0.2">
      <c r="A2949" s="75"/>
      <c r="B2949" s="71" t="s">
        <v>2421</v>
      </c>
      <c r="C2949" s="56">
        <v>0</v>
      </c>
      <c r="D2949" s="56">
        <v>0</v>
      </c>
      <c r="E2949" s="56">
        <v>0</v>
      </c>
      <c r="F2949" s="56">
        <v>0</v>
      </c>
      <c r="G2949" s="56">
        <f>F2949/$F$11*$G$11</f>
        <v>0</v>
      </c>
      <c r="H2949" s="56">
        <f>ROUND(46134*1.05,0)</f>
        <v>48441</v>
      </c>
      <c r="I2949" s="56">
        <f t="shared" si="438"/>
        <v>51347</v>
      </c>
      <c r="J2949" s="56">
        <f t="shared" si="438"/>
        <v>54428</v>
      </c>
      <c r="M2949" s="57"/>
    </row>
    <row r="2950" spans="1:13" x14ac:dyDescent="0.2">
      <c r="B2950" s="58" t="s">
        <v>417</v>
      </c>
      <c r="C2950" s="72">
        <f>SUM(C2945:C2949)</f>
        <v>0</v>
      </c>
      <c r="D2950" s="72">
        <f t="shared" ref="D2950:J2950" si="439">SUM(D2945:D2949)</f>
        <v>0</v>
      </c>
      <c r="E2950" s="72">
        <f t="shared" si="439"/>
        <v>0</v>
      </c>
      <c r="F2950" s="72">
        <f t="shared" si="439"/>
        <v>0</v>
      </c>
      <c r="G2950" s="72">
        <f t="shared" si="439"/>
        <v>0</v>
      </c>
      <c r="H2950" s="72">
        <f t="shared" si="439"/>
        <v>356310</v>
      </c>
      <c r="I2950" s="72">
        <f t="shared" si="439"/>
        <v>377688</v>
      </c>
      <c r="J2950" s="72">
        <f t="shared" si="439"/>
        <v>400350</v>
      </c>
      <c r="M2950" s="57"/>
    </row>
    <row r="2951" spans="1:13" x14ac:dyDescent="0.2">
      <c r="B2951" s="50"/>
      <c r="C2951" s="50"/>
      <c r="D2951" s="50"/>
      <c r="E2951" s="50"/>
      <c r="G2951" s="69"/>
      <c r="H2951" s="69"/>
      <c r="I2951" s="50"/>
      <c r="J2951" s="50"/>
      <c r="M2951" s="57"/>
    </row>
    <row r="2952" spans="1:13" x14ac:dyDescent="0.2">
      <c r="B2952" s="50" t="s">
        <v>435</v>
      </c>
      <c r="C2952" s="50"/>
      <c r="D2952" s="50"/>
      <c r="E2952" s="50"/>
      <c r="G2952" s="69"/>
      <c r="H2952" s="69"/>
      <c r="I2952" s="50"/>
      <c r="J2952" s="50"/>
      <c r="M2952" s="57"/>
    </row>
    <row r="2953" spans="1:13" x14ac:dyDescent="0.2">
      <c r="B2953" s="113" t="s">
        <v>209</v>
      </c>
      <c r="C2953" s="69">
        <v>0</v>
      </c>
      <c r="D2953" s="69">
        <v>0</v>
      </c>
      <c r="E2953" s="69">
        <v>0</v>
      </c>
      <c r="F2953" s="69">
        <v>0</v>
      </c>
      <c r="G2953" s="69">
        <v>0</v>
      </c>
      <c r="H2953" s="69">
        <f>ROUND(5534*1.05,0)</f>
        <v>5811</v>
      </c>
      <c r="I2953" s="69">
        <f t="shared" ref="I2953:J2962" si="440">ROUND(H2953*1.06,0)</f>
        <v>6160</v>
      </c>
      <c r="J2953" s="69">
        <f t="shared" si="440"/>
        <v>6530</v>
      </c>
      <c r="M2953" s="57"/>
    </row>
    <row r="2954" spans="1:13" x14ac:dyDescent="0.2">
      <c r="B2954" s="113" t="s">
        <v>4054</v>
      </c>
      <c r="C2954" s="69">
        <v>0</v>
      </c>
      <c r="D2954" s="69">
        <v>0</v>
      </c>
      <c r="E2954" s="69">
        <v>0</v>
      </c>
      <c r="F2954" s="69">
        <v>0</v>
      </c>
      <c r="G2954" s="69">
        <v>0</v>
      </c>
      <c r="H2954" s="69">
        <f>ROUND(77520*1.05,0)</f>
        <v>81396</v>
      </c>
      <c r="I2954" s="69">
        <f t="shared" si="440"/>
        <v>86280</v>
      </c>
      <c r="J2954" s="69">
        <f t="shared" si="440"/>
        <v>91457</v>
      </c>
      <c r="M2954" s="57"/>
    </row>
    <row r="2955" spans="1:13" x14ac:dyDescent="0.2">
      <c r="B2955" s="113" t="s">
        <v>4052</v>
      </c>
      <c r="C2955" s="69">
        <v>0</v>
      </c>
      <c r="D2955" s="69">
        <v>0</v>
      </c>
      <c r="E2955" s="69">
        <v>0</v>
      </c>
      <c r="F2955" s="69">
        <v>0</v>
      </c>
      <c r="G2955" s="69">
        <v>0</v>
      </c>
      <c r="H2955" s="69">
        <f>ROUND(43260*1.05,0)</f>
        <v>45423</v>
      </c>
      <c r="I2955" s="69">
        <f t="shared" si="440"/>
        <v>48148</v>
      </c>
      <c r="J2955" s="69">
        <f t="shared" si="440"/>
        <v>51037</v>
      </c>
      <c r="M2955" s="57"/>
    </row>
    <row r="2956" spans="1:13" x14ac:dyDescent="0.2">
      <c r="B2956" s="113" t="s">
        <v>2954</v>
      </c>
      <c r="C2956" s="69">
        <v>0</v>
      </c>
      <c r="D2956" s="69">
        <v>0</v>
      </c>
      <c r="E2956" s="69">
        <v>0</v>
      </c>
      <c r="F2956" s="69">
        <v>0</v>
      </c>
      <c r="G2956" s="69">
        <v>0</v>
      </c>
      <c r="H2956" s="69">
        <f>ROUND(6004*1.05,0)</f>
        <v>6304</v>
      </c>
      <c r="I2956" s="69">
        <f t="shared" si="440"/>
        <v>6682</v>
      </c>
      <c r="J2956" s="69">
        <f t="shared" si="440"/>
        <v>7083</v>
      </c>
      <c r="M2956" s="57"/>
    </row>
    <row r="2957" spans="1:13" x14ac:dyDescent="0.2">
      <c r="B2957" s="113" t="s">
        <v>4062</v>
      </c>
      <c r="C2957" s="69">
        <v>0</v>
      </c>
      <c r="D2957" s="69">
        <v>0</v>
      </c>
      <c r="E2957" s="69">
        <v>0</v>
      </c>
      <c r="F2957" s="69">
        <v>0</v>
      </c>
      <c r="G2957" s="69">
        <v>0</v>
      </c>
      <c r="H2957" s="69">
        <f>ROUND(10996*1.05,0)</f>
        <v>11546</v>
      </c>
      <c r="I2957" s="69">
        <f t="shared" si="440"/>
        <v>12239</v>
      </c>
      <c r="J2957" s="69">
        <f t="shared" si="440"/>
        <v>12973</v>
      </c>
      <c r="M2957" s="57"/>
    </row>
    <row r="2958" spans="1:13" x14ac:dyDescent="0.2">
      <c r="B2958" s="113" t="s">
        <v>31</v>
      </c>
      <c r="C2958" s="69">
        <v>0</v>
      </c>
      <c r="D2958" s="69">
        <v>0</v>
      </c>
      <c r="E2958" s="69">
        <v>0</v>
      </c>
      <c r="F2958" s="69">
        <v>0</v>
      </c>
      <c r="G2958" s="69">
        <v>0</v>
      </c>
      <c r="H2958" s="69">
        <f>ROUND(1410*1.05,0)</f>
        <v>1481</v>
      </c>
      <c r="I2958" s="69">
        <f t="shared" si="440"/>
        <v>1570</v>
      </c>
      <c r="J2958" s="69">
        <f t="shared" si="440"/>
        <v>1664</v>
      </c>
      <c r="M2958" s="57"/>
    </row>
    <row r="2959" spans="1:13" x14ac:dyDescent="0.2">
      <c r="B2959" s="113" t="s">
        <v>448</v>
      </c>
      <c r="C2959" s="69">
        <v>0</v>
      </c>
      <c r="D2959" s="69">
        <v>0</v>
      </c>
      <c r="E2959" s="69">
        <v>0</v>
      </c>
      <c r="F2959" s="69">
        <v>0</v>
      </c>
      <c r="G2959" s="69">
        <v>0</v>
      </c>
      <c r="H2959" s="69">
        <f>ROUND(14681*1.05,0)</f>
        <v>15415</v>
      </c>
      <c r="I2959" s="69">
        <f t="shared" si="440"/>
        <v>16340</v>
      </c>
      <c r="J2959" s="69">
        <f t="shared" si="440"/>
        <v>17320</v>
      </c>
      <c r="M2959" s="57"/>
    </row>
    <row r="2960" spans="1:13" x14ac:dyDescent="0.2">
      <c r="B2960" s="113" t="s">
        <v>497</v>
      </c>
      <c r="C2960" s="69">
        <v>0</v>
      </c>
      <c r="D2960" s="69">
        <v>0</v>
      </c>
      <c r="E2960" s="69">
        <v>0</v>
      </c>
      <c r="F2960" s="69">
        <v>0</v>
      </c>
      <c r="G2960" s="69">
        <v>0</v>
      </c>
      <c r="H2960" s="69">
        <v>0</v>
      </c>
      <c r="I2960" s="69">
        <f t="shared" si="440"/>
        <v>0</v>
      </c>
      <c r="J2960" s="69">
        <f t="shared" si="440"/>
        <v>0</v>
      </c>
      <c r="M2960" s="57"/>
    </row>
    <row r="2961" spans="1:13" x14ac:dyDescent="0.2">
      <c r="B2961" s="70" t="s">
        <v>2955</v>
      </c>
      <c r="C2961" s="69">
        <v>0</v>
      </c>
      <c r="D2961" s="69">
        <v>0</v>
      </c>
      <c r="E2961" s="69">
        <v>0</v>
      </c>
      <c r="F2961" s="69">
        <v>0</v>
      </c>
      <c r="G2961" s="69">
        <v>0</v>
      </c>
      <c r="H2961" s="69">
        <f>ROUND(5879*1.05,0)</f>
        <v>6173</v>
      </c>
      <c r="I2961" s="69">
        <f t="shared" si="440"/>
        <v>6543</v>
      </c>
      <c r="J2961" s="69">
        <f t="shared" si="440"/>
        <v>6936</v>
      </c>
      <c r="M2961" s="57"/>
    </row>
    <row r="2962" spans="1:13" x14ac:dyDescent="0.2">
      <c r="B2962" s="114" t="s">
        <v>2956</v>
      </c>
      <c r="C2962" s="56">
        <v>0</v>
      </c>
      <c r="D2962" s="56">
        <v>0</v>
      </c>
      <c r="E2962" s="56">
        <v>0</v>
      </c>
      <c r="F2962" s="56">
        <v>0</v>
      </c>
      <c r="G2962" s="56">
        <v>0</v>
      </c>
      <c r="H2962" s="56">
        <f>ROUND(140301*1.05,0)</f>
        <v>147316</v>
      </c>
      <c r="I2962" s="56">
        <f t="shared" si="440"/>
        <v>156155</v>
      </c>
      <c r="J2962" s="56">
        <f t="shared" si="440"/>
        <v>165524</v>
      </c>
      <c r="M2962" s="57"/>
    </row>
    <row r="2963" spans="1:13" x14ac:dyDescent="0.2">
      <c r="B2963" s="50" t="s">
        <v>436</v>
      </c>
      <c r="C2963" s="88">
        <f t="shared" ref="C2963:J2963" si="441">SUM(C2953:C2962)</f>
        <v>0</v>
      </c>
      <c r="D2963" s="88">
        <f t="shared" si="441"/>
        <v>0</v>
      </c>
      <c r="E2963" s="88">
        <f t="shared" si="441"/>
        <v>0</v>
      </c>
      <c r="F2963" s="88">
        <f t="shared" si="441"/>
        <v>0</v>
      </c>
      <c r="G2963" s="88">
        <f t="shared" si="441"/>
        <v>0</v>
      </c>
      <c r="H2963" s="88">
        <f t="shared" si="441"/>
        <v>320865</v>
      </c>
      <c r="I2963" s="88">
        <f t="shared" si="441"/>
        <v>340117</v>
      </c>
      <c r="J2963" s="88">
        <f t="shared" si="441"/>
        <v>360524</v>
      </c>
      <c r="M2963" s="57"/>
    </row>
    <row r="2964" spans="1:13" x14ac:dyDescent="0.2">
      <c r="B2964" s="50"/>
      <c r="C2964" s="50"/>
      <c r="D2964" s="50"/>
      <c r="E2964" s="50"/>
      <c r="G2964" s="69"/>
      <c r="H2964" s="69"/>
      <c r="I2964" s="50"/>
      <c r="J2964" s="50"/>
      <c r="M2964" s="57"/>
    </row>
    <row r="2965" spans="1:13" x14ac:dyDescent="0.2">
      <c r="B2965" s="58" t="s">
        <v>4023</v>
      </c>
      <c r="C2965" s="69"/>
      <c r="D2965" s="69"/>
      <c r="E2965" s="69"/>
      <c r="G2965" s="69"/>
      <c r="H2965" s="69"/>
      <c r="I2965" s="69"/>
      <c r="J2965" s="69"/>
      <c r="M2965" s="57"/>
    </row>
    <row r="2966" spans="1:13" x14ac:dyDescent="0.2">
      <c r="A2966" s="75">
        <v>2600</v>
      </c>
      <c r="B2966" s="71" t="s">
        <v>30</v>
      </c>
      <c r="C2966" s="56">
        <v>44064</v>
      </c>
      <c r="D2966" s="56">
        <v>340418</v>
      </c>
      <c r="E2966" s="56">
        <v>340418</v>
      </c>
      <c r="F2966" s="56">
        <v>280945</v>
      </c>
      <c r="G2966" s="56">
        <f>F2966/$F$11*$G$11</f>
        <v>337134</v>
      </c>
      <c r="H2966" s="56">
        <f>ROUND(E2966*1.289,0)+9034305-223902-5400</f>
        <v>9243802</v>
      </c>
      <c r="I2966" s="56">
        <f>ROUND(H2966*1.258,0)</f>
        <v>11628703</v>
      </c>
      <c r="J2966" s="56">
        <f>ROUND(I2966*1.259,0)</f>
        <v>14640537</v>
      </c>
      <c r="M2966" s="57"/>
    </row>
    <row r="2967" spans="1:13" x14ac:dyDescent="0.2">
      <c r="B2967" s="58" t="s">
        <v>1058</v>
      </c>
      <c r="C2967" s="72">
        <f t="shared" ref="C2967:J2967" si="442">SUM(C2966:C2966)</f>
        <v>44064</v>
      </c>
      <c r="D2967" s="72">
        <f t="shared" si="442"/>
        <v>340418</v>
      </c>
      <c r="E2967" s="72">
        <f t="shared" si="442"/>
        <v>340418</v>
      </c>
      <c r="F2967" s="72">
        <f t="shared" si="442"/>
        <v>280945</v>
      </c>
      <c r="G2967" s="72">
        <f t="shared" si="442"/>
        <v>337134</v>
      </c>
      <c r="H2967" s="72">
        <f t="shared" si="442"/>
        <v>9243802</v>
      </c>
      <c r="I2967" s="72">
        <f t="shared" si="442"/>
        <v>11628703</v>
      </c>
      <c r="J2967" s="72">
        <f t="shared" si="442"/>
        <v>14640537</v>
      </c>
      <c r="M2967" s="57"/>
    </row>
    <row r="2968" spans="1:13" x14ac:dyDescent="0.2">
      <c r="B2968" s="102"/>
      <c r="C2968" s="102"/>
      <c r="D2968" s="102"/>
      <c r="E2968" s="102"/>
      <c r="F2968" s="102"/>
      <c r="G2968" s="102"/>
      <c r="H2968" s="102"/>
      <c r="I2968" s="102"/>
      <c r="J2968" s="102"/>
      <c r="M2968" s="57"/>
    </row>
    <row r="2969" spans="1:13" x14ac:dyDescent="0.2">
      <c r="B2969" s="58" t="s">
        <v>4055</v>
      </c>
      <c r="C2969" s="73">
        <f t="shared" ref="C2969:J2969" si="443">C2938+C2942+C2950+C2963+C2967</f>
        <v>44064</v>
      </c>
      <c r="D2969" s="73">
        <f t="shared" si="443"/>
        <v>340418</v>
      </c>
      <c r="E2969" s="73">
        <f t="shared" si="443"/>
        <v>340418</v>
      </c>
      <c r="F2969" s="73">
        <f t="shared" si="443"/>
        <v>280945</v>
      </c>
      <c r="G2969" s="73">
        <f t="shared" si="443"/>
        <v>337134</v>
      </c>
      <c r="H2969" s="73">
        <f t="shared" si="443"/>
        <v>10959875</v>
      </c>
      <c r="I2969" s="73">
        <f t="shared" si="443"/>
        <v>13464089</v>
      </c>
      <c r="J2969" s="73">
        <f t="shared" si="443"/>
        <v>16596001</v>
      </c>
      <c r="M2969" s="57"/>
    </row>
    <row r="2970" spans="1:13" x14ac:dyDescent="0.2">
      <c r="B2970" s="58"/>
      <c r="C2970" s="73"/>
      <c r="D2970" s="73"/>
      <c r="E2970" s="73"/>
      <c r="G2970" s="69"/>
      <c r="H2970" s="69"/>
      <c r="I2970" s="73"/>
      <c r="J2970" s="73"/>
      <c r="M2970" s="57"/>
    </row>
    <row r="2971" spans="1:13" x14ac:dyDescent="0.2">
      <c r="B2971" s="58" t="s">
        <v>4027</v>
      </c>
      <c r="C2971" s="96"/>
      <c r="D2971" s="96"/>
      <c r="E2971" s="96"/>
      <c r="G2971" s="69"/>
      <c r="H2971" s="69"/>
      <c r="I2971" s="96"/>
      <c r="J2971" s="96"/>
      <c r="M2971" s="57"/>
    </row>
    <row r="2972" spans="1:13" x14ac:dyDescent="0.2">
      <c r="B2972" s="71" t="s">
        <v>208</v>
      </c>
      <c r="C2972" s="56">
        <v>0</v>
      </c>
      <c r="D2972" s="56">
        <v>0</v>
      </c>
      <c r="E2972" s="56">
        <v>0</v>
      </c>
      <c r="F2972" s="56">
        <v>0</v>
      </c>
      <c r="G2972" s="56">
        <f>F2972/$F$11*$G$11</f>
        <v>0</v>
      </c>
      <c r="H2972" s="56">
        <v>155043</v>
      </c>
      <c r="I2972" s="56">
        <v>162795</v>
      </c>
      <c r="J2972" s="56">
        <v>162795</v>
      </c>
      <c r="M2972" s="57"/>
    </row>
    <row r="2973" spans="1:13" x14ac:dyDescent="0.2">
      <c r="B2973" s="58" t="s">
        <v>433</v>
      </c>
      <c r="C2973" s="96">
        <f t="shared" ref="C2973:J2973" si="444">SUM(C2972)</f>
        <v>0</v>
      </c>
      <c r="D2973" s="96">
        <f t="shared" si="444"/>
        <v>0</v>
      </c>
      <c r="E2973" s="96">
        <f t="shared" si="444"/>
        <v>0</v>
      </c>
      <c r="F2973" s="69">
        <f t="shared" si="444"/>
        <v>0</v>
      </c>
      <c r="G2973" s="96">
        <f t="shared" si="444"/>
        <v>0</v>
      </c>
      <c r="H2973" s="96">
        <f t="shared" si="444"/>
        <v>155043</v>
      </c>
      <c r="I2973" s="96">
        <f t="shared" si="444"/>
        <v>162795</v>
      </c>
      <c r="J2973" s="96">
        <f t="shared" si="444"/>
        <v>162795</v>
      </c>
      <c r="M2973" s="57"/>
    </row>
    <row r="2974" spans="1:13" x14ac:dyDescent="0.2">
      <c r="B2974" s="58"/>
      <c r="C2974" s="96"/>
      <c r="D2974" s="96"/>
      <c r="E2974" s="96"/>
      <c r="F2974" s="69"/>
      <c r="G2974" s="96"/>
      <c r="H2974" s="96"/>
      <c r="I2974" s="96"/>
      <c r="J2974" s="96"/>
      <c r="M2974" s="57"/>
    </row>
    <row r="2975" spans="1:13" x14ac:dyDescent="0.2">
      <c r="B2975" s="58"/>
      <c r="C2975" s="96"/>
      <c r="D2975" s="96"/>
      <c r="E2975" s="96"/>
      <c r="F2975" s="69"/>
      <c r="G2975" s="96"/>
      <c r="H2975" s="96"/>
      <c r="I2975" s="96"/>
      <c r="J2975" s="96"/>
      <c r="M2975" s="57"/>
    </row>
    <row r="2976" spans="1:13" ht="15" x14ac:dyDescent="0.25">
      <c r="A2976" s="91">
        <v>2210</v>
      </c>
      <c r="B2976" s="48" t="s">
        <v>3515</v>
      </c>
      <c r="C2976" s="96"/>
      <c r="D2976" s="96"/>
      <c r="E2976" s="96"/>
      <c r="F2976" s="69"/>
      <c r="G2976" s="96"/>
      <c r="H2976" s="96"/>
      <c r="I2976" s="96"/>
      <c r="J2976" s="96"/>
      <c r="M2976" s="57"/>
    </row>
    <row r="2977" spans="2:13" x14ac:dyDescent="0.2">
      <c r="B2977" s="58"/>
      <c r="C2977" s="96"/>
      <c r="D2977" s="96"/>
      <c r="E2977" s="96"/>
      <c r="F2977" s="69"/>
      <c r="G2977" s="96"/>
      <c r="H2977" s="96"/>
      <c r="I2977" s="96"/>
      <c r="J2977" s="96"/>
      <c r="M2977" s="57"/>
    </row>
    <row r="2978" spans="2:13" x14ac:dyDescent="0.2">
      <c r="B2978" s="58"/>
      <c r="C2978" s="96"/>
      <c r="D2978" s="96"/>
      <c r="E2978" s="96"/>
      <c r="F2978" s="69"/>
      <c r="G2978" s="96"/>
      <c r="H2978" s="96"/>
      <c r="I2978" s="96"/>
      <c r="J2978" s="96"/>
      <c r="M2978" s="57"/>
    </row>
    <row r="2979" spans="2:13" x14ac:dyDescent="0.2">
      <c r="B2979" s="58"/>
      <c r="C2979" s="96"/>
      <c r="D2979" s="96"/>
      <c r="E2979" s="96"/>
      <c r="F2979" s="69"/>
      <c r="G2979" s="96"/>
      <c r="H2979" s="96"/>
      <c r="I2979" s="96"/>
      <c r="J2979" s="96"/>
      <c r="M2979" s="57"/>
    </row>
    <row r="2980" spans="2:13" x14ac:dyDescent="0.2">
      <c r="B2980" s="58" t="s">
        <v>1089</v>
      </c>
      <c r="C2980" s="96"/>
      <c r="D2980" s="96"/>
      <c r="E2980" s="96"/>
      <c r="G2980" s="69"/>
      <c r="H2980" s="69"/>
      <c r="I2980" s="96"/>
      <c r="J2980" s="96"/>
      <c r="M2980" s="57"/>
    </row>
    <row r="2981" spans="2:13" x14ac:dyDescent="0.2">
      <c r="B2981" s="71" t="s">
        <v>4127</v>
      </c>
      <c r="C2981" s="56">
        <v>0</v>
      </c>
      <c r="D2981" s="56">
        <f>D2917</f>
        <v>2950000</v>
      </c>
      <c r="E2981" s="56">
        <v>2950000</v>
      </c>
      <c r="F2981" s="56">
        <v>0</v>
      </c>
      <c r="G2981" s="56">
        <f>F2981/$F$11*$G$11</f>
        <v>0</v>
      </c>
      <c r="H2981" s="56">
        <v>0</v>
      </c>
      <c r="I2981" s="56">
        <v>0</v>
      </c>
      <c r="J2981" s="56">
        <v>0</v>
      </c>
      <c r="M2981" s="57"/>
    </row>
    <row r="2982" spans="2:13" x14ac:dyDescent="0.2">
      <c r="B2982" s="58" t="s">
        <v>1090</v>
      </c>
      <c r="C2982" s="59">
        <f t="shared" ref="C2982:J2982" si="445">SUM(C2981:C2981)</f>
        <v>0</v>
      </c>
      <c r="D2982" s="59">
        <f t="shared" si="445"/>
        <v>2950000</v>
      </c>
      <c r="E2982" s="59">
        <f t="shared" si="445"/>
        <v>2950000</v>
      </c>
      <c r="F2982" s="59">
        <f t="shared" si="445"/>
        <v>0</v>
      </c>
      <c r="G2982" s="59">
        <f t="shared" si="445"/>
        <v>0</v>
      </c>
      <c r="H2982" s="59">
        <f t="shared" si="445"/>
        <v>0</v>
      </c>
      <c r="I2982" s="59">
        <f t="shared" si="445"/>
        <v>0</v>
      </c>
      <c r="J2982" s="59">
        <f t="shared" si="445"/>
        <v>0</v>
      </c>
      <c r="M2982" s="57"/>
    </row>
    <row r="2983" spans="2:13" x14ac:dyDescent="0.2">
      <c r="B2983" s="58"/>
      <c r="C2983" s="96"/>
      <c r="D2983" s="96"/>
      <c r="E2983" s="96"/>
      <c r="G2983" s="69"/>
      <c r="H2983" s="69"/>
      <c r="I2983" s="96"/>
      <c r="J2983" s="96"/>
      <c r="M2983" s="57"/>
    </row>
    <row r="2984" spans="2:13" ht="13.5" thickBot="1" x14ac:dyDescent="0.25">
      <c r="B2984" s="65" t="s">
        <v>4033</v>
      </c>
      <c r="C2984" s="76">
        <f t="shared" ref="C2984:J2984" si="446">C2969+C2973+C2982</f>
        <v>44064</v>
      </c>
      <c r="D2984" s="76">
        <f t="shared" si="446"/>
        <v>3290418</v>
      </c>
      <c r="E2984" s="76">
        <f t="shared" si="446"/>
        <v>3290418</v>
      </c>
      <c r="F2984" s="76">
        <f t="shared" si="446"/>
        <v>280945</v>
      </c>
      <c r="G2984" s="76">
        <f t="shared" si="446"/>
        <v>337134</v>
      </c>
      <c r="H2984" s="76">
        <f t="shared" si="446"/>
        <v>11114918</v>
      </c>
      <c r="I2984" s="76">
        <f t="shared" si="446"/>
        <v>13626884</v>
      </c>
      <c r="J2984" s="76">
        <f t="shared" si="446"/>
        <v>16758796</v>
      </c>
      <c r="M2984" s="57"/>
    </row>
    <row r="2985" spans="2:13" ht="13.5" thickTop="1" x14ac:dyDescent="0.2">
      <c r="B2985" s="58"/>
      <c r="C2985" s="72"/>
      <c r="D2985" s="72"/>
      <c r="E2985" s="72"/>
      <c r="F2985" s="72"/>
      <c r="G2985" s="72"/>
      <c r="H2985" s="72"/>
      <c r="I2985" s="72"/>
      <c r="J2985" s="72"/>
      <c r="M2985" s="57"/>
    </row>
    <row r="2986" spans="2:13" ht="13.5" thickBot="1" x14ac:dyDescent="0.25">
      <c r="B2986" s="65" t="s">
        <v>4059</v>
      </c>
      <c r="C2986" s="77">
        <f t="shared" ref="C2986:J2986" si="447">C2920-C2984</f>
        <v>0</v>
      </c>
      <c r="D2986" s="77">
        <f t="shared" si="447"/>
        <v>0</v>
      </c>
      <c r="E2986" s="77">
        <f t="shared" si="447"/>
        <v>0</v>
      </c>
      <c r="F2986" s="77">
        <f t="shared" si="447"/>
        <v>0</v>
      </c>
      <c r="G2986" s="77">
        <f t="shared" si="447"/>
        <v>0</v>
      </c>
      <c r="H2986" s="77">
        <f t="shared" si="447"/>
        <v>3782514</v>
      </c>
      <c r="I2986" s="77">
        <f t="shared" si="447"/>
        <v>5130719</v>
      </c>
      <c r="J2986" s="77">
        <f t="shared" si="447"/>
        <v>6878996</v>
      </c>
      <c r="M2986" s="57"/>
    </row>
    <row r="2987" spans="2:13" ht="13.5" thickTop="1" x14ac:dyDescent="0.2">
      <c r="B2987" s="58"/>
      <c r="C2987" s="78"/>
      <c r="D2987" s="78"/>
      <c r="E2987" s="78"/>
      <c r="G2987" s="69"/>
      <c r="H2987" s="69"/>
      <c r="I2987" s="78"/>
      <c r="J2987" s="78"/>
      <c r="M2987" s="57"/>
    </row>
    <row r="2988" spans="2:13" x14ac:dyDescent="0.2">
      <c r="B2988" s="58"/>
      <c r="C2988" s="78"/>
      <c r="D2988" s="78"/>
      <c r="E2988" s="78"/>
      <c r="G2988" s="69"/>
      <c r="H2988" s="69"/>
      <c r="I2988" s="78"/>
      <c r="J2988" s="78"/>
      <c r="M2988" s="57"/>
    </row>
    <row r="2989" spans="2:13" x14ac:dyDescent="0.2">
      <c r="B2989" s="58"/>
      <c r="C2989" s="78"/>
      <c r="D2989" s="78"/>
      <c r="E2989" s="78"/>
      <c r="G2989" s="69"/>
      <c r="H2989" s="69"/>
      <c r="I2989" s="78"/>
      <c r="J2989" s="78"/>
      <c r="M2989" s="57"/>
    </row>
    <row r="2990" spans="2:13" x14ac:dyDescent="0.2">
      <c r="B2990" s="58"/>
      <c r="C2990" s="78"/>
      <c r="D2990" s="78"/>
      <c r="E2990" s="78"/>
      <c r="G2990" s="69"/>
      <c r="H2990" s="69"/>
      <c r="I2990" s="78"/>
      <c r="J2990" s="78"/>
      <c r="M2990" s="57"/>
    </row>
    <row r="2991" spans="2:13" x14ac:dyDescent="0.2">
      <c r="B2991" s="58"/>
      <c r="C2991" s="78"/>
      <c r="D2991" s="78"/>
      <c r="E2991" s="78"/>
      <c r="G2991" s="69"/>
      <c r="H2991" s="69"/>
      <c r="I2991" s="78"/>
      <c r="J2991" s="78"/>
      <c r="M2991" s="57"/>
    </row>
    <row r="2992" spans="2:13" x14ac:dyDescent="0.2">
      <c r="B2992" s="58"/>
      <c r="C2992" s="78"/>
      <c r="D2992" s="78"/>
      <c r="E2992" s="78"/>
      <c r="G2992" s="69"/>
      <c r="H2992" s="69"/>
      <c r="I2992" s="78"/>
      <c r="J2992" s="78"/>
      <c r="M2992" s="57"/>
    </row>
    <row r="2993" spans="2:13" x14ac:dyDescent="0.2">
      <c r="B2993" s="58"/>
      <c r="C2993" s="78"/>
      <c r="D2993" s="78"/>
      <c r="E2993" s="78"/>
      <c r="G2993" s="69"/>
      <c r="H2993" s="69"/>
      <c r="I2993" s="78"/>
      <c r="J2993" s="78"/>
      <c r="M2993" s="57"/>
    </row>
    <row r="2994" spans="2:13" x14ac:dyDescent="0.2">
      <c r="B2994" s="58"/>
      <c r="C2994" s="78"/>
      <c r="D2994" s="78"/>
      <c r="E2994" s="78"/>
      <c r="G2994" s="69"/>
      <c r="H2994" s="69"/>
      <c r="I2994" s="78"/>
      <c r="J2994" s="78"/>
      <c r="M2994" s="57"/>
    </row>
    <row r="2995" spans="2:13" x14ac:dyDescent="0.2">
      <c r="B2995" s="58"/>
      <c r="C2995" s="78"/>
      <c r="D2995" s="78"/>
      <c r="E2995" s="78"/>
      <c r="G2995" s="69"/>
      <c r="H2995" s="69"/>
      <c r="I2995" s="78"/>
      <c r="J2995" s="78"/>
      <c r="M2995" s="57"/>
    </row>
    <row r="2996" spans="2:13" x14ac:dyDescent="0.2">
      <c r="B2996" s="58"/>
      <c r="C2996" s="78"/>
      <c r="D2996" s="78"/>
      <c r="E2996" s="78"/>
      <c r="G2996" s="69"/>
      <c r="H2996" s="69"/>
      <c r="I2996" s="78"/>
      <c r="J2996" s="78"/>
      <c r="M2996" s="57"/>
    </row>
    <row r="2997" spans="2:13" x14ac:dyDescent="0.2">
      <c r="B2997" s="58"/>
      <c r="C2997" s="78"/>
      <c r="D2997" s="78"/>
      <c r="E2997" s="78"/>
      <c r="G2997" s="69"/>
      <c r="H2997" s="69"/>
      <c r="I2997" s="78"/>
      <c r="J2997" s="78"/>
      <c r="M2997" s="57"/>
    </row>
    <row r="2998" spans="2:13" x14ac:dyDescent="0.2">
      <c r="B2998" s="58"/>
      <c r="C2998" s="78"/>
      <c r="D2998" s="78"/>
      <c r="E2998" s="78"/>
      <c r="G2998" s="69"/>
      <c r="H2998" s="69"/>
      <c r="I2998" s="78"/>
      <c r="J2998" s="78"/>
      <c r="M2998" s="57"/>
    </row>
    <row r="2999" spans="2:13" x14ac:dyDescent="0.2">
      <c r="B2999" s="58"/>
      <c r="C2999" s="78"/>
      <c r="D2999" s="78"/>
      <c r="E2999" s="78"/>
      <c r="G2999" s="69"/>
      <c r="H2999" s="69"/>
      <c r="I2999" s="78"/>
      <c r="J2999" s="78"/>
      <c r="M2999" s="57"/>
    </row>
    <row r="3000" spans="2:13" x14ac:dyDescent="0.2">
      <c r="B3000" s="58"/>
      <c r="C3000" s="78"/>
      <c r="D3000" s="78"/>
      <c r="E3000" s="78"/>
      <c r="G3000" s="69"/>
      <c r="H3000" s="69"/>
      <c r="I3000" s="78"/>
      <c r="J3000" s="78"/>
      <c r="M3000" s="57"/>
    </row>
    <row r="3001" spans="2:13" x14ac:dyDescent="0.2">
      <c r="B3001" s="58"/>
      <c r="C3001" s="78"/>
      <c r="D3001" s="78"/>
      <c r="E3001" s="78"/>
      <c r="G3001" s="69"/>
      <c r="H3001" s="69"/>
      <c r="I3001" s="78"/>
      <c r="J3001" s="78"/>
      <c r="M3001" s="57"/>
    </row>
    <row r="3002" spans="2:13" x14ac:dyDescent="0.2">
      <c r="B3002" s="58"/>
      <c r="C3002" s="78"/>
      <c r="D3002" s="78"/>
      <c r="E3002" s="78"/>
      <c r="G3002" s="69"/>
      <c r="H3002" s="69"/>
      <c r="I3002" s="78"/>
      <c r="J3002" s="78"/>
      <c r="M3002" s="57"/>
    </row>
    <row r="3003" spans="2:13" x14ac:dyDescent="0.2">
      <c r="B3003" s="58"/>
      <c r="C3003" s="78"/>
      <c r="D3003" s="78"/>
      <c r="E3003" s="78"/>
      <c r="G3003" s="69"/>
      <c r="H3003" s="69"/>
      <c r="I3003" s="78"/>
      <c r="J3003" s="78"/>
      <c r="M3003" s="57"/>
    </row>
    <row r="3004" spans="2:13" x14ac:dyDescent="0.2">
      <c r="B3004" s="58"/>
      <c r="C3004" s="78"/>
      <c r="D3004" s="78"/>
      <c r="E3004" s="78"/>
      <c r="G3004" s="69"/>
      <c r="H3004" s="69"/>
      <c r="I3004" s="78"/>
      <c r="J3004" s="78"/>
      <c r="M3004" s="57"/>
    </row>
    <row r="3005" spans="2:13" x14ac:dyDescent="0.2">
      <c r="B3005" s="58"/>
      <c r="C3005" s="78"/>
      <c r="D3005" s="78"/>
      <c r="E3005" s="78"/>
      <c r="G3005" s="69"/>
      <c r="H3005" s="69"/>
      <c r="I3005" s="78"/>
      <c r="J3005" s="78"/>
      <c r="M3005" s="57"/>
    </row>
    <row r="3006" spans="2:13" x14ac:dyDescent="0.2">
      <c r="B3006" s="58"/>
      <c r="C3006" s="78"/>
      <c r="D3006" s="78"/>
      <c r="E3006" s="78"/>
      <c r="G3006" s="69"/>
      <c r="H3006" s="69"/>
      <c r="I3006" s="78"/>
      <c r="J3006" s="78"/>
      <c r="M3006" s="57"/>
    </row>
    <row r="3007" spans="2:13" x14ac:dyDescent="0.2">
      <c r="B3007" s="58"/>
      <c r="C3007" s="78"/>
      <c r="D3007" s="78"/>
      <c r="E3007" s="78"/>
      <c r="G3007" s="69"/>
      <c r="H3007" s="69"/>
      <c r="I3007" s="78"/>
      <c r="J3007" s="78"/>
      <c r="M3007" s="57"/>
    </row>
    <row r="3008" spans="2:13" x14ac:dyDescent="0.2">
      <c r="B3008" s="58"/>
      <c r="C3008" s="78"/>
      <c r="D3008" s="78"/>
      <c r="E3008" s="78"/>
      <c r="G3008" s="69"/>
      <c r="H3008" s="69"/>
      <c r="I3008" s="78"/>
      <c r="J3008" s="78"/>
      <c r="M3008" s="57"/>
    </row>
    <row r="3009" spans="1:13" x14ac:dyDescent="0.2">
      <c r="B3009" s="58"/>
      <c r="C3009" s="78"/>
      <c r="D3009" s="78"/>
      <c r="E3009" s="78"/>
      <c r="G3009" s="69"/>
      <c r="H3009" s="69"/>
      <c r="I3009" s="78"/>
      <c r="J3009" s="78"/>
      <c r="M3009" s="57"/>
    </row>
    <row r="3010" spans="1:13" x14ac:dyDescent="0.2">
      <c r="B3010" s="58"/>
      <c r="C3010" s="78"/>
      <c r="D3010" s="78"/>
      <c r="E3010" s="78"/>
      <c r="G3010" s="69"/>
      <c r="H3010" s="69"/>
      <c r="I3010" s="78"/>
      <c r="J3010" s="78"/>
      <c r="M3010" s="57"/>
    </row>
    <row r="3011" spans="1:13" x14ac:dyDescent="0.2">
      <c r="B3011" s="58"/>
      <c r="C3011" s="78"/>
      <c r="D3011" s="78"/>
      <c r="E3011" s="78"/>
      <c r="G3011" s="69"/>
      <c r="H3011" s="69"/>
      <c r="I3011" s="78"/>
      <c r="J3011" s="78"/>
      <c r="M3011" s="57"/>
    </row>
    <row r="3012" spans="1:13" x14ac:dyDescent="0.2">
      <c r="B3012" s="58"/>
      <c r="C3012" s="78"/>
      <c r="D3012" s="78"/>
      <c r="E3012" s="78"/>
      <c r="G3012" s="69"/>
      <c r="H3012" s="69"/>
      <c r="I3012" s="78"/>
      <c r="J3012" s="78"/>
      <c r="M3012" s="57"/>
    </row>
    <row r="3013" spans="1:13" x14ac:dyDescent="0.2">
      <c r="B3013" s="58"/>
      <c r="C3013" s="78"/>
      <c r="D3013" s="78"/>
      <c r="E3013" s="78"/>
      <c r="G3013" s="69"/>
      <c r="H3013" s="69"/>
      <c r="I3013" s="78"/>
      <c r="J3013" s="78"/>
      <c r="M3013" s="57"/>
    </row>
    <row r="3014" spans="1:13" x14ac:dyDescent="0.2">
      <c r="B3014" s="58"/>
      <c r="C3014" s="78"/>
      <c r="D3014" s="78"/>
      <c r="E3014" s="78"/>
      <c r="G3014" s="69"/>
      <c r="H3014" s="69"/>
      <c r="I3014" s="78"/>
      <c r="J3014" s="78"/>
      <c r="M3014" s="57"/>
    </row>
    <row r="3015" spans="1:13" x14ac:dyDescent="0.2">
      <c r="G3015" s="69"/>
      <c r="H3015" s="69"/>
      <c r="M3015" s="57"/>
    </row>
    <row r="3016" spans="1:13" x14ac:dyDescent="0.2">
      <c r="A3016" s="6"/>
      <c r="B3016" s="6"/>
      <c r="C3016" s="6"/>
      <c r="D3016" s="6"/>
      <c r="E3016" s="6"/>
      <c r="G3016" s="69"/>
      <c r="H3016" s="69"/>
      <c r="I3016" s="6"/>
      <c r="J3016" s="6"/>
      <c r="M3016" s="57"/>
    </row>
    <row r="3017" spans="1:13" x14ac:dyDescent="0.2">
      <c r="A3017" s="6"/>
      <c r="B3017" s="6"/>
      <c r="C3017" s="6"/>
      <c r="D3017" s="6"/>
      <c r="E3017" s="6"/>
      <c r="G3017" s="69"/>
      <c r="H3017" s="69"/>
      <c r="I3017" s="6"/>
      <c r="J3017" s="6"/>
      <c r="M3017" s="57"/>
    </row>
    <row r="3018" spans="1:13" x14ac:dyDescent="0.2">
      <c r="A3018" s="6"/>
      <c r="B3018" s="6"/>
      <c r="C3018" s="6"/>
      <c r="D3018" s="6"/>
      <c r="E3018" s="6"/>
      <c r="G3018" s="69"/>
      <c r="H3018" s="69"/>
      <c r="I3018" s="6"/>
      <c r="J3018" s="6"/>
      <c r="M3018" s="57"/>
    </row>
    <row r="3019" spans="1:13" x14ac:dyDescent="0.2">
      <c r="A3019" s="6"/>
      <c r="B3019" s="6"/>
      <c r="C3019" s="6"/>
      <c r="D3019" s="6"/>
      <c r="E3019" s="6"/>
      <c r="G3019" s="69"/>
      <c r="H3019" s="69"/>
      <c r="I3019" s="6"/>
      <c r="J3019" s="6"/>
      <c r="M3019" s="57"/>
    </row>
    <row r="3020" spans="1:13" x14ac:dyDescent="0.2">
      <c r="A3020" s="6"/>
      <c r="B3020" s="6"/>
      <c r="C3020" s="6"/>
      <c r="D3020" s="6"/>
      <c r="E3020" s="6"/>
      <c r="G3020" s="69"/>
      <c r="H3020" s="69"/>
      <c r="I3020" s="6"/>
      <c r="J3020" s="6"/>
      <c r="M3020" s="57"/>
    </row>
    <row r="3021" spans="1:13" ht="15.75" x14ac:dyDescent="0.25">
      <c r="A3021" s="98">
        <v>2300</v>
      </c>
      <c r="B3021" s="44" t="s">
        <v>4128</v>
      </c>
      <c r="C3021" s="78"/>
      <c r="D3021" s="78"/>
      <c r="E3021" s="78"/>
      <c r="G3021" s="69"/>
      <c r="H3021" s="69"/>
      <c r="I3021" s="78"/>
      <c r="J3021" s="78"/>
      <c r="M3021" s="57"/>
    </row>
    <row r="3022" spans="1:13" ht="15" x14ac:dyDescent="0.25">
      <c r="A3022" s="91">
        <v>2310</v>
      </c>
      <c r="B3022" s="95" t="s">
        <v>4129</v>
      </c>
      <c r="C3022" s="78"/>
      <c r="D3022" s="78"/>
      <c r="E3022" s="78"/>
      <c r="G3022" s="69"/>
      <c r="H3022" s="69"/>
      <c r="I3022" s="78"/>
      <c r="J3022" s="78"/>
      <c r="M3022" s="57"/>
    </row>
    <row r="3023" spans="1:13" x14ac:dyDescent="0.2">
      <c r="B3023" s="58"/>
      <c r="C3023" s="78"/>
      <c r="D3023" s="78"/>
      <c r="E3023" s="78"/>
      <c r="G3023" s="69"/>
      <c r="H3023" s="69"/>
      <c r="I3023" s="78"/>
      <c r="J3023" s="78"/>
      <c r="M3023" s="57"/>
    </row>
    <row r="3024" spans="1:13" x14ac:dyDescent="0.2">
      <c r="B3024" s="50" t="s">
        <v>61</v>
      </c>
      <c r="C3024" s="50"/>
      <c r="D3024" s="50"/>
      <c r="E3024" s="50"/>
      <c r="G3024" s="69"/>
      <c r="H3024" s="69"/>
      <c r="M3024" s="57"/>
    </row>
    <row r="3025" spans="1:13" x14ac:dyDescent="0.2">
      <c r="B3025" s="46"/>
      <c r="C3025" s="46"/>
      <c r="D3025" s="46"/>
      <c r="E3025" s="46"/>
      <c r="G3025" s="69"/>
      <c r="H3025" s="69"/>
      <c r="M3025" s="57"/>
    </row>
    <row r="3026" spans="1:13" x14ac:dyDescent="0.2">
      <c r="B3026" s="58" t="s">
        <v>423</v>
      </c>
      <c r="C3026" s="99"/>
      <c r="D3026" s="99"/>
      <c r="E3026" s="99"/>
      <c r="G3026" s="69"/>
      <c r="H3026" s="69"/>
      <c r="I3026" s="99"/>
      <c r="J3026" s="99"/>
      <c r="M3026" s="57"/>
    </row>
    <row r="3027" spans="1:13" x14ac:dyDescent="0.2">
      <c r="A3027" s="75">
        <v>5822</v>
      </c>
      <c r="B3027" s="71" t="s">
        <v>2418</v>
      </c>
      <c r="C3027" s="56">
        <v>88645</v>
      </c>
      <c r="D3027" s="56">
        <v>0</v>
      </c>
      <c r="E3027" s="56">
        <v>0</v>
      </c>
      <c r="F3027" s="56">
        <v>53500</v>
      </c>
      <c r="G3027" s="56">
        <f>F3027/$F$11*$G$11</f>
        <v>64200</v>
      </c>
      <c r="H3027" s="56">
        <f>H3059</f>
        <v>155453</v>
      </c>
      <c r="I3027" s="56">
        <f>I3059</f>
        <v>164780</v>
      </c>
      <c r="J3027" s="56">
        <f>J3059</f>
        <v>174666</v>
      </c>
      <c r="M3027" s="57"/>
    </row>
    <row r="3028" spans="1:13" x14ac:dyDescent="0.2">
      <c r="B3028" s="58" t="s">
        <v>424</v>
      </c>
      <c r="C3028" s="100">
        <f t="shared" ref="C3028:J3028" si="448">SUM(C3027)</f>
        <v>88645</v>
      </c>
      <c r="D3028" s="100">
        <f t="shared" si="448"/>
        <v>0</v>
      </c>
      <c r="E3028" s="100">
        <f t="shared" si="448"/>
        <v>0</v>
      </c>
      <c r="F3028" s="100">
        <f t="shared" si="448"/>
        <v>53500</v>
      </c>
      <c r="G3028" s="100">
        <f t="shared" si="448"/>
        <v>64200</v>
      </c>
      <c r="H3028" s="100">
        <f t="shared" si="448"/>
        <v>155453</v>
      </c>
      <c r="I3028" s="100">
        <f t="shared" si="448"/>
        <v>164780</v>
      </c>
      <c r="J3028" s="100">
        <f t="shared" si="448"/>
        <v>174666</v>
      </c>
      <c r="M3028" s="57"/>
    </row>
    <row r="3029" spans="1:13" x14ac:dyDescent="0.2">
      <c r="B3029" s="58"/>
      <c r="C3029" s="99"/>
      <c r="D3029" s="99"/>
      <c r="E3029" s="99"/>
      <c r="G3029" s="69"/>
      <c r="H3029" s="69"/>
      <c r="I3029" s="99"/>
      <c r="J3029" s="99"/>
      <c r="M3029" s="57"/>
    </row>
    <row r="3030" spans="1:13" ht="13.5" thickBot="1" x14ac:dyDescent="0.25">
      <c r="B3030" s="65" t="s">
        <v>4043</v>
      </c>
      <c r="C3030" s="66">
        <f t="shared" ref="C3030:J3030" si="449">+C3028</f>
        <v>88645</v>
      </c>
      <c r="D3030" s="66">
        <f t="shared" si="449"/>
        <v>0</v>
      </c>
      <c r="E3030" s="66">
        <f t="shared" si="449"/>
        <v>0</v>
      </c>
      <c r="F3030" s="66">
        <f t="shared" si="449"/>
        <v>53500</v>
      </c>
      <c r="G3030" s="66">
        <f t="shared" si="449"/>
        <v>64200</v>
      </c>
      <c r="H3030" s="66">
        <f t="shared" si="449"/>
        <v>155453</v>
      </c>
      <c r="I3030" s="66">
        <f t="shared" si="449"/>
        <v>164780</v>
      </c>
      <c r="J3030" s="66">
        <f t="shared" si="449"/>
        <v>174666</v>
      </c>
      <c r="M3030" s="57"/>
    </row>
    <row r="3031" spans="1:13" ht="13.5" thickTop="1" x14ac:dyDescent="0.2">
      <c r="B3031" s="68"/>
      <c r="C3031" s="68"/>
      <c r="D3031" s="68"/>
      <c r="E3031" s="68"/>
      <c r="G3031" s="69"/>
      <c r="H3031" s="69"/>
      <c r="I3031" s="68"/>
      <c r="J3031" s="68"/>
      <c r="M3031" s="57"/>
    </row>
    <row r="3032" spans="1:13" x14ac:dyDescent="0.2">
      <c r="B3032" s="50" t="s">
        <v>4018</v>
      </c>
      <c r="C3032" s="50"/>
      <c r="D3032" s="50"/>
      <c r="E3032" s="50"/>
      <c r="G3032" s="69"/>
      <c r="H3032" s="69"/>
      <c r="I3032" s="50"/>
      <c r="J3032" s="50"/>
      <c r="M3032" s="57"/>
    </row>
    <row r="3033" spans="1:13" x14ac:dyDescent="0.2">
      <c r="B3033" s="50"/>
      <c r="C3033" s="50"/>
      <c r="D3033" s="50"/>
      <c r="E3033" s="50"/>
      <c r="G3033" s="69"/>
      <c r="H3033" s="69"/>
      <c r="I3033" s="50"/>
      <c r="J3033" s="50"/>
      <c r="M3033" s="57"/>
    </row>
    <row r="3034" spans="1:13" x14ac:dyDescent="0.2">
      <c r="B3034" s="50" t="s">
        <v>4019</v>
      </c>
      <c r="C3034" s="50"/>
      <c r="D3034" s="50"/>
      <c r="E3034" s="50"/>
      <c r="G3034" s="69"/>
      <c r="H3034" s="69"/>
      <c r="I3034" s="50"/>
      <c r="J3034" s="50"/>
      <c r="M3034" s="57"/>
    </row>
    <row r="3035" spans="1:13" x14ac:dyDescent="0.2">
      <c r="A3035" s="60">
        <v>1001</v>
      </c>
      <c r="B3035" s="70" t="s">
        <v>3537</v>
      </c>
      <c r="C3035" s="69">
        <v>14082</v>
      </c>
      <c r="D3035" s="69">
        <v>0</v>
      </c>
      <c r="E3035" s="69">
        <v>0</v>
      </c>
      <c r="F3035" s="69">
        <v>0</v>
      </c>
      <c r="G3035" s="69">
        <v>0</v>
      </c>
      <c r="H3035" s="69">
        <v>0</v>
      </c>
      <c r="I3035" s="69">
        <f>ROUND(H3035*1.08,0)</f>
        <v>0</v>
      </c>
      <c r="J3035" s="69">
        <f>ROUND(I3035*1.08,0)</f>
        <v>0</v>
      </c>
      <c r="M3035" s="57"/>
    </row>
    <row r="3036" spans="1:13" x14ac:dyDescent="0.2">
      <c r="A3036" s="101">
        <v>1006</v>
      </c>
      <c r="B3036" s="70" t="s">
        <v>474</v>
      </c>
      <c r="C3036" s="69">
        <v>2580</v>
      </c>
      <c r="D3036" s="69">
        <v>0</v>
      </c>
      <c r="E3036" s="69">
        <v>0</v>
      </c>
      <c r="F3036" s="69">
        <v>0</v>
      </c>
      <c r="G3036" s="69">
        <f t="shared" ref="G3036:G3042" si="450">F3036/$F$11*$G$11</f>
        <v>0</v>
      </c>
      <c r="H3036" s="69">
        <v>0</v>
      </c>
      <c r="I3036" s="69">
        <f t="shared" ref="I3036:J3042" si="451">ROUND(H3036*1.08,0)</f>
        <v>0</v>
      </c>
      <c r="J3036" s="69">
        <f t="shared" si="451"/>
        <v>0</v>
      </c>
      <c r="M3036" s="57"/>
    </row>
    <row r="3037" spans="1:13" x14ac:dyDescent="0.2">
      <c r="A3037" s="101">
        <v>1007</v>
      </c>
      <c r="B3037" s="70" t="s">
        <v>481</v>
      </c>
      <c r="C3037" s="69">
        <v>195</v>
      </c>
      <c r="D3037" s="69">
        <v>0</v>
      </c>
      <c r="E3037" s="69">
        <v>0</v>
      </c>
      <c r="F3037" s="69">
        <v>0</v>
      </c>
      <c r="G3037" s="69">
        <f t="shared" si="450"/>
        <v>0</v>
      </c>
      <c r="H3037" s="69">
        <v>0</v>
      </c>
      <c r="I3037" s="69">
        <f t="shared" si="451"/>
        <v>0</v>
      </c>
      <c r="J3037" s="69">
        <f t="shared" si="451"/>
        <v>0</v>
      </c>
      <c r="M3037" s="57"/>
    </row>
    <row r="3038" spans="1:13" x14ac:dyDescent="0.2">
      <c r="A3038" s="101">
        <v>1009</v>
      </c>
      <c r="B3038" s="70" t="s">
        <v>482</v>
      </c>
      <c r="C3038" s="69">
        <v>14</v>
      </c>
      <c r="D3038" s="69">
        <v>0</v>
      </c>
      <c r="E3038" s="69">
        <v>0</v>
      </c>
      <c r="F3038" s="69">
        <v>0</v>
      </c>
      <c r="G3038" s="69">
        <f t="shared" si="450"/>
        <v>0</v>
      </c>
      <c r="H3038" s="69">
        <v>0</v>
      </c>
      <c r="I3038" s="69">
        <f t="shared" si="451"/>
        <v>0</v>
      </c>
      <c r="J3038" s="69">
        <f t="shared" si="451"/>
        <v>0</v>
      </c>
      <c r="M3038" s="57"/>
    </row>
    <row r="3039" spans="1:13" x14ac:dyDescent="0.2">
      <c r="A3039" s="101">
        <v>1010</v>
      </c>
      <c r="B3039" s="70" t="s">
        <v>28</v>
      </c>
      <c r="C3039" s="69">
        <v>3351</v>
      </c>
      <c r="D3039" s="69">
        <v>0</v>
      </c>
      <c r="E3039" s="69">
        <v>0</v>
      </c>
      <c r="F3039" s="69">
        <v>0</v>
      </c>
      <c r="G3039" s="69">
        <f t="shared" si="450"/>
        <v>0</v>
      </c>
      <c r="H3039" s="69">
        <v>0</v>
      </c>
      <c r="I3039" s="69">
        <f t="shared" si="451"/>
        <v>0</v>
      </c>
      <c r="J3039" s="69">
        <f t="shared" si="451"/>
        <v>0</v>
      </c>
      <c r="M3039" s="57"/>
    </row>
    <row r="3040" spans="1:13" x14ac:dyDescent="0.2">
      <c r="A3040" s="101">
        <v>1015</v>
      </c>
      <c r="B3040" s="70" t="s">
        <v>445</v>
      </c>
      <c r="C3040" s="69">
        <v>2056</v>
      </c>
      <c r="D3040" s="69">
        <v>0</v>
      </c>
      <c r="E3040" s="69">
        <v>0</v>
      </c>
      <c r="F3040" s="69">
        <v>0</v>
      </c>
      <c r="G3040" s="69">
        <f t="shared" si="450"/>
        <v>0</v>
      </c>
      <c r="H3040" s="69">
        <v>0</v>
      </c>
      <c r="I3040" s="69">
        <f t="shared" si="451"/>
        <v>0</v>
      </c>
      <c r="J3040" s="69">
        <f t="shared" si="451"/>
        <v>0</v>
      </c>
      <c r="M3040" s="57"/>
    </row>
    <row r="3041" spans="1:13" x14ac:dyDescent="0.2">
      <c r="A3041" s="101">
        <v>1017</v>
      </c>
      <c r="B3041" s="70" t="s">
        <v>4044</v>
      </c>
      <c r="C3041" s="69">
        <v>226</v>
      </c>
      <c r="D3041" s="69">
        <v>0</v>
      </c>
      <c r="E3041" s="69">
        <v>0</v>
      </c>
      <c r="F3041" s="69">
        <v>0</v>
      </c>
      <c r="G3041" s="69">
        <f t="shared" si="450"/>
        <v>0</v>
      </c>
      <c r="H3041" s="69">
        <v>0</v>
      </c>
      <c r="I3041" s="69">
        <f t="shared" si="451"/>
        <v>0</v>
      </c>
      <c r="J3041" s="69">
        <f t="shared" si="451"/>
        <v>0</v>
      </c>
      <c r="M3041" s="57"/>
    </row>
    <row r="3042" spans="1:13" x14ac:dyDescent="0.2">
      <c r="A3042" s="101">
        <v>1182</v>
      </c>
      <c r="B3042" s="71" t="s">
        <v>1065</v>
      </c>
      <c r="C3042" s="56">
        <v>143</v>
      </c>
      <c r="D3042" s="56">
        <v>0</v>
      </c>
      <c r="E3042" s="56">
        <v>0</v>
      </c>
      <c r="F3042" s="56">
        <v>0</v>
      </c>
      <c r="G3042" s="56">
        <f t="shared" si="450"/>
        <v>0</v>
      </c>
      <c r="H3042" s="56">
        <v>0</v>
      </c>
      <c r="I3042" s="56">
        <f t="shared" si="451"/>
        <v>0</v>
      </c>
      <c r="J3042" s="56">
        <f t="shared" si="451"/>
        <v>0</v>
      </c>
      <c r="M3042" s="57"/>
    </row>
    <row r="3043" spans="1:13" x14ac:dyDescent="0.2">
      <c r="A3043" s="101"/>
      <c r="B3043" s="50" t="s">
        <v>416</v>
      </c>
      <c r="C3043" s="72">
        <f t="shared" ref="C3043:J3043" si="452">SUM(C3035:C3042)</f>
        <v>22647</v>
      </c>
      <c r="D3043" s="72">
        <f t="shared" si="452"/>
        <v>0</v>
      </c>
      <c r="E3043" s="72">
        <f t="shared" si="452"/>
        <v>0</v>
      </c>
      <c r="F3043" s="72">
        <f t="shared" si="452"/>
        <v>0</v>
      </c>
      <c r="G3043" s="72">
        <f t="shared" si="452"/>
        <v>0</v>
      </c>
      <c r="H3043" s="72">
        <f t="shared" si="452"/>
        <v>0</v>
      </c>
      <c r="I3043" s="72">
        <f t="shared" si="452"/>
        <v>0</v>
      </c>
      <c r="J3043" s="72">
        <f t="shared" si="452"/>
        <v>0</v>
      </c>
      <c r="M3043" s="57"/>
    </row>
    <row r="3044" spans="1:13" x14ac:dyDescent="0.2">
      <c r="A3044" s="101"/>
      <c r="B3044" s="70"/>
      <c r="C3044" s="69"/>
      <c r="D3044" s="69"/>
      <c r="E3044" s="69"/>
      <c r="G3044" s="69"/>
      <c r="H3044" s="69"/>
      <c r="I3044" s="69"/>
      <c r="J3044" s="69"/>
      <c r="M3044" s="57"/>
    </row>
    <row r="3045" spans="1:13" x14ac:dyDescent="0.2">
      <c r="B3045" s="58" t="s">
        <v>4021</v>
      </c>
      <c r="C3045" s="69"/>
      <c r="D3045" s="69"/>
      <c r="E3045" s="69"/>
      <c r="G3045" s="69"/>
      <c r="H3045" s="69"/>
      <c r="I3045" s="69"/>
      <c r="J3045" s="69"/>
      <c r="M3045" s="57"/>
    </row>
    <row r="3046" spans="1:13" x14ac:dyDescent="0.2">
      <c r="A3046" s="75">
        <v>3208</v>
      </c>
      <c r="B3046" s="71" t="s">
        <v>33</v>
      </c>
      <c r="C3046" s="56">
        <v>89</v>
      </c>
      <c r="D3046" s="56">
        <v>127050</v>
      </c>
      <c r="E3046" s="56">
        <v>127050</v>
      </c>
      <c r="F3046" s="56">
        <v>1050</v>
      </c>
      <c r="G3046" s="56">
        <f>F3046/$F$11*$G$11</f>
        <v>1260</v>
      </c>
      <c r="H3046" s="56">
        <f>ROUND(E3046*1.05,0)</f>
        <v>133403</v>
      </c>
      <c r="I3046" s="56">
        <f>ROUND(H3046*1.06,0)</f>
        <v>141407</v>
      </c>
      <c r="J3046" s="56">
        <f>ROUND(I3046*1.06,0)</f>
        <v>149891</v>
      </c>
      <c r="M3046" s="57"/>
    </row>
    <row r="3047" spans="1:13" x14ac:dyDescent="0.2">
      <c r="B3047" s="58" t="s">
        <v>417</v>
      </c>
      <c r="C3047" s="72">
        <f>SUM(C3046:C3046)</f>
        <v>89</v>
      </c>
      <c r="D3047" s="72">
        <f t="shared" ref="D3047:J3047" si="453">SUM(D3046:D3046)</f>
        <v>127050</v>
      </c>
      <c r="E3047" s="72">
        <f t="shared" si="453"/>
        <v>127050</v>
      </c>
      <c r="F3047" s="72">
        <f t="shared" si="453"/>
        <v>1050</v>
      </c>
      <c r="G3047" s="72">
        <f t="shared" si="453"/>
        <v>1260</v>
      </c>
      <c r="H3047" s="72">
        <f t="shared" si="453"/>
        <v>133403</v>
      </c>
      <c r="I3047" s="72">
        <f t="shared" si="453"/>
        <v>141407</v>
      </c>
      <c r="J3047" s="72">
        <f t="shared" si="453"/>
        <v>149891</v>
      </c>
      <c r="M3047" s="57"/>
    </row>
    <row r="3048" spans="1:13" x14ac:dyDescent="0.2">
      <c r="B3048" s="58"/>
      <c r="C3048" s="69"/>
      <c r="D3048" s="69"/>
      <c r="E3048" s="69"/>
      <c r="F3048" s="14"/>
      <c r="G3048" s="69"/>
      <c r="H3048" s="69"/>
      <c r="I3048" s="69"/>
      <c r="J3048" s="69"/>
      <c r="M3048" s="57"/>
    </row>
    <row r="3049" spans="1:13" x14ac:dyDescent="0.2">
      <c r="B3049" s="58" t="s">
        <v>435</v>
      </c>
      <c r="C3049" s="69"/>
      <c r="D3049" s="69"/>
      <c r="E3049" s="69"/>
      <c r="G3049" s="69"/>
      <c r="H3049" s="69"/>
      <c r="I3049" s="69"/>
      <c r="J3049" s="69"/>
      <c r="M3049" s="57"/>
    </row>
    <row r="3050" spans="1:13" x14ac:dyDescent="0.2">
      <c r="A3050" s="75">
        <v>2297</v>
      </c>
      <c r="B3050" s="71" t="s">
        <v>4130</v>
      </c>
      <c r="C3050" s="56">
        <v>1724</v>
      </c>
      <c r="D3050" s="56">
        <v>21000</v>
      </c>
      <c r="E3050" s="56">
        <v>21000</v>
      </c>
      <c r="F3050" s="56">
        <v>4246</v>
      </c>
      <c r="G3050" s="56">
        <f>F3050/$F$11*$G$11</f>
        <v>5095.2000000000007</v>
      </c>
      <c r="H3050" s="56">
        <f>ROUND(E3050*1.05,0)</f>
        <v>22050</v>
      </c>
      <c r="I3050" s="56">
        <f>ROUND(H3050*1.06,0)</f>
        <v>23373</v>
      </c>
      <c r="J3050" s="56">
        <f>ROUND(I3050*1.06,0)</f>
        <v>24775</v>
      </c>
      <c r="M3050" s="57"/>
    </row>
    <row r="3051" spans="1:13" x14ac:dyDescent="0.2">
      <c r="B3051" s="58" t="s">
        <v>436</v>
      </c>
      <c r="C3051" s="72">
        <f>SUM(C3050:C3050)</f>
        <v>1724</v>
      </c>
      <c r="D3051" s="72">
        <f t="shared" ref="D3051:J3051" si="454">SUM(D3050:D3050)</f>
        <v>21000</v>
      </c>
      <c r="E3051" s="72">
        <f t="shared" si="454"/>
        <v>21000</v>
      </c>
      <c r="F3051" s="72">
        <f t="shared" si="454"/>
        <v>4246</v>
      </c>
      <c r="G3051" s="72">
        <f t="shared" si="454"/>
        <v>5095.2000000000007</v>
      </c>
      <c r="H3051" s="72">
        <f t="shared" si="454"/>
        <v>22050</v>
      </c>
      <c r="I3051" s="72">
        <f t="shared" si="454"/>
        <v>23373</v>
      </c>
      <c r="J3051" s="72">
        <f t="shared" si="454"/>
        <v>24775</v>
      </c>
      <c r="M3051" s="24"/>
    </row>
    <row r="3052" spans="1:13" x14ac:dyDescent="0.2">
      <c r="B3052" s="61"/>
      <c r="C3052" s="97"/>
      <c r="D3052" s="97"/>
      <c r="E3052" s="97"/>
      <c r="F3052" s="97"/>
      <c r="G3052" s="97"/>
      <c r="H3052" s="97"/>
      <c r="I3052" s="97"/>
      <c r="J3052" s="97"/>
    </row>
    <row r="3053" spans="1:13" x14ac:dyDescent="0.2">
      <c r="B3053" s="58" t="s">
        <v>4055</v>
      </c>
      <c r="C3053" s="73">
        <f>C3043+C3047+C3051</f>
        <v>24460</v>
      </c>
      <c r="D3053" s="73">
        <f t="shared" ref="D3053:J3053" si="455">+D3051+D3047</f>
        <v>148050</v>
      </c>
      <c r="E3053" s="73">
        <f t="shared" si="455"/>
        <v>148050</v>
      </c>
      <c r="F3053" s="73">
        <f t="shared" si="455"/>
        <v>5296</v>
      </c>
      <c r="G3053" s="73">
        <f t="shared" si="455"/>
        <v>6355.2000000000007</v>
      </c>
      <c r="H3053" s="73">
        <f t="shared" si="455"/>
        <v>155453</v>
      </c>
      <c r="I3053" s="73">
        <f t="shared" si="455"/>
        <v>164780</v>
      </c>
      <c r="J3053" s="73">
        <f t="shared" si="455"/>
        <v>174666</v>
      </c>
    </row>
    <row r="3054" spans="1:13" x14ac:dyDescent="0.2">
      <c r="B3054" s="58"/>
      <c r="C3054" s="73"/>
      <c r="D3054" s="73"/>
      <c r="E3054" s="73"/>
      <c r="F3054" s="73"/>
      <c r="G3054" s="73"/>
      <c r="H3054" s="73"/>
      <c r="I3054" s="73"/>
      <c r="J3054" s="73"/>
    </row>
    <row r="3055" spans="1:13" x14ac:dyDescent="0.2">
      <c r="B3055" s="58" t="s">
        <v>418</v>
      </c>
      <c r="C3055" s="73"/>
      <c r="D3055" s="73"/>
      <c r="E3055" s="73"/>
      <c r="F3055" s="73"/>
      <c r="G3055" s="73"/>
      <c r="H3055" s="73"/>
      <c r="I3055" s="73"/>
      <c r="J3055" s="73"/>
    </row>
    <row r="3056" spans="1:13" x14ac:dyDescent="0.2">
      <c r="A3056" s="101">
        <v>4207</v>
      </c>
      <c r="B3056" s="71" t="s">
        <v>222</v>
      </c>
      <c r="C3056" s="56">
        <v>5364</v>
      </c>
      <c r="D3056" s="56">
        <v>0</v>
      </c>
      <c r="E3056" s="56">
        <v>0</v>
      </c>
      <c r="F3056" s="56">
        <v>0</v>
      </c>
      <c r="G3056" s="56">
        <f>F3056/$F$11*$G$11</f>
        <v>0</v>
      </c>
      <c r="H3056" s="56">
        <v>0</v>
      </c>
      <c r="I3056" s="56">
        <f>ROUND(H3056*1.08,0)</f>
        <v>0</v>
      </c>
      <c r="J3056" s="56">
        <f>ROUND(I3056*1.08,0)</f>
        <v>0</v>
      </c>
      <c r="M3056" s="57"/>
    </row>
    <row r="3057" spans="2:10" x14ac:dyDescent="0.2">
      <c r="B3057" s="58" t="s">
        <v>419</v>
      </c>
      <c r="C3057" s="73">
        <f>SUM(C3056)</f>
        <v>5364</v>
      </c>
      <c r="D3057" s="73">
        <f t="shared" ref="D3057:J3057" si="456">SUM(D3056)</f>
        <v>0</v>
      </c>
      <c r="E3057" s="73">
        <f t="shared" si="456"/>
        <v>0</v>
      </c>
      <c r="F3057" s="73">
        <f t="shared" si="456"/>
        <v>0</v>
      </c>
      <c r="G3057" s="73">
        <f t="shared" si="456"/>
        <v>0</v>
      </c>
      <c r="H3057" s="73">
        <f t="shared" si="456"/>
        <v>0</v>
      </c>
      <c r="I3057" s="73">
        <f t="shared" si="456"/>
        <v>0</v>
      </c>
      <c r="J3057" s="73">
        <f t="shared" si="456"/>
        <v>0</v>
      </c>
    </row>
    <row r="3058" spans="2:10" x14ac:dyDescent="0.2">
      <c r="B3058" s="58"/>
      <c r="C3058" s="73"/>
      <c r="D3058" s="73"/>
      <c r="E3058" s="73"/>
      <c r="F3058" s="73"/>
      <c r="G3058" s="73"/>
      <c r="H3058" s="73"/>
      <c r="I3058" s="73"/>
      <c r="J3058" s="73"/>
    </row>
    <row r="3059" spans="2:10" ht="13.5" thickBot="1" x14ac:dyDescent="0.25">
      <c r="B3059" s="65" t="s">
        <v>4033</v>
      </c>
      <c r="C3059" s="76">
        <f>+C3053+C3057</f>
        <v>29824</v>
      </c>
      <c r="D3059" s="76">
        <f t="shared" ref="D3059:J3059" si="457">+D3053+D3057</f>
        <v>148050</v>
      </c>
      <c r="E3059" s="76">
        <f t="shared" si="457"/>
        <v>148050</v>
      </c>
      <c r="F3059" s="76">
        <f t="shared" si="457"/>
        <v>5296</v>
      </c>
      <c r="G3059" s="76">
        <f t="shared" si="457"/>
        <v>6355.2000000000007</v>
      </c>
      <c r="H3059" s="76">
        <f t="shared" si="457"/>
        <v>155453</v>
      </c>
      <c r="I3059" s="76">
        <f t="shared" si="457"/>
        <v>164780</v>
      </c>
      <c r="J3059" s="76">
        <f t="shared" si="457"/>
        <v>174666</v>
      </c>
    </row>
    <row r="3060" spans="2:10" ht="13.5" thickTop="1" x14ac:dyDescent="0.2">
      <c r="B3060" s="58"/>
      <c r="C3060" s="72"/>
      <c r="D3060" s="72"/>
      <c r="E3060" s="72"/>
      <c r="F3060" s="72"/>
      <c r="G3060" s="72"/>
      <c r="H3060" s="72"/>
      <c r="I3060" s="72"/>
      <c r="J3060" s="72"/>
    </row>
    <row r="3061" spans="2:10" ht="13.5" thickBot="1" x14ac:dyDescent="0.25">
      <c r="B3061" s="65" t="s">
        <v>4059</v>
      </c>
      <c r="C3061" s="77">
        <f t="shared" ref="C3061:J3061" si="458">C3030-C3059</f>
        <v>58821</v>
      </c>
      <c r="D3061" s="77">
        <f t="shared" si="458"/>
        <v>-148050</v>
      </c>
      <c r="E3061" s="77">
        <f t="shared" si="458"/>
        <v>-148050</v>
      </c>
      <c r="F3061" s="77">
        <f t="shared" si="458"/>
        <v>48204</v>
      </c>
      <c r="G3061" s="77">
        <f t="shared" si="458"/>
        <v>57844.800000000003</v>
      </c>
      <c r="H3061" s="77">
        <f t="shared" si="458"/>
        <v>0</v>
      </c>
      <c r="I3061" s="77">
        <f t="shared" si="458"/>
        <v>0</v>
      </c>
      <c r="J3061" s="77">
        <f t="shared" si="458"/>
        <v>0</v>
      </c>
    </row>
    <row r="3062" spans="2:10" ht="13.5" thickTop="1" x14ac:dyDescent="0.2">
      <c r="B3062" s="58"/>
      <c r="C3062" s="78"/>
      <c r="D3062" s="78"/>
      <c r="E3062" s="78"/>
      <c r="F3062" s="24"/>
      <c r="G3062" s="24"/>
      <c r="H3062" s="24"/>
      <c r="I3062" s="78"/>
      <c r="J3062" s="78"/>
    </row>
    <row r="3063" spans="2:10" x14ac:dyDescent="0.2">
      <c r="B3063" s="58"/>
      <c r="C3063" s="78"/>
      <c r="D3063" s="78"/>
      <c r="E3063" s="78"/>
      <c r="I3063" s="78"/>
      <c r="J3063" s="78"/>
    </row>
    <row r="3064" spans="2:10" x14ac:dyDescent="0.2">
      <c r="B3064" s="58"/>
      <c r="C3064" s="78"/>
      <c r="D3064" s="78"/>
      <c r="E3064" s="78"/>
      <c r="I3064" s="78"/>
      <c r="J3064" s="78"/>
    </row>
    <row r="3065" spans="2:10" x14ac:dyDescent="0.2">
      <c r="B3065" s="58"/>
      <c r="C3065" s="78"/>
      <c r="D3065" s="78"/>
      <c r="E3065" s="78"/>
      <c r="I3065" s="78"/>
      <c r="J3065" s="78"/>
    </row>
    <row r="3066" spans="2:10" x14ac:dyDescent="0.2">
      <c r="B3066" s="58"/>
      <c r="C3066" s="78"/>
      <c r="D3066" s="78"/>
      <c r="E3066" s="78"/>
      <c r="I3066" s="78"/>
      <c r="J3066" s="78"/>
    </row>
    <row r="3067" spans="2:10" x14ac:dyDescent="0.2">
      <c r="B3067" s="58"/>
      <c r="C3067" s="78"/>
      <c r="D3067" s="78"/>
      <c r="E3067" s="78"/>
      <c r="I3067" s="78"/>
      <c r="J3067" s="78"/>
    </row>
    <row r="3068" spans="2:10" x14ac:dyDescent="0.2">
      <c r="B3068" s="58"/>
      <c r="C3068" s="78"/>
      <c r="D3068" s="78"/>
      <c r="E3068" s="78"/>
      <c r="I3068" s="78"/>
      <c r="J3068" s="78"/>
    </row>
    <row r="3069" spans="2:10" x14ac:dyDescent="0.2">
      <c r="B3069" s="58"/>
      <c r="C3069" s="78"/>
      <c r="D3069" s="78"/>
      <c r="E3069" s="78"/>
      <c r="I3069" s="78"/>
      <c r="J3069" s="78"/>
    </row>
    <row r="3070" spans="2:10" x14ac:dyDescent="0.2">
      <c r="B3070" s="58"/>
      <c r="C3070" s="78"/>
      <c r="D3070" s="78"/>
      <c r="E3070" s="78"/>
      <c r="I3070" s="78"/>
      <c r="J3070" s="78"/>
    </row>
    <row r="3071" spans="2:10" x14ac:dyDescent="0.2">
      <c r="B3071" s="58"/>
      <c r="C3071" s="78"/>
      <c r="D3071" s="78"/>
      <c r="E3071" s="78"/>
      <c r="I3071" s="78"/>
      <c r="J3071" s="78"/>
    </row>
    <row r="3072" spans="2:10" x14ac:dyDescent="0.2">
      <c r="B3072" s="58"/>
      <c r="C3072" s="78"/>
      <c r="D3072" s="78"/>
      <c r="E3072" s="78"/>
      <c r="I3072" s="78"/>
      <c r="J3072" s="78"/>
    </row>
    <row r="3073" spans="2:10" x14ac:dyDescent="0.2">
      <c r="B3073" s="58"/>
      <c r="C3073" s="78"/>
      <c r="D3073" s="78"/>
      <c r="E3073" s="78"/>
      <c r="I3073" s="78"/>
      <c r="J3073" s="78"/>
    </row>
    <row r="3074" spans="2:10" x14ac:dyDescent="0.2">
      <c r="B3074" s="58"/>
      <c r="C3074" s="78"/>
      <c r="D3074" s="78"/>
      <c r="E3074" s="78"/>
      <c r="I3074" s="78"/>
      <c r="J3074" s="78"/>
    </row>
    <row r="3075" spans="2:10" x14ac:dyDescent="0.2">
      <c r="B3075" s="58"/>
      <c r="C3075" s="78"/>
      <c r="D3075" s="78"/>
      <c r="E3075" s="78"/>
      <c r="I3075" s="78"/>
      <c r="J3075" s="78"/>
    </row>
    <row r="3076" spans="2:10" x14ac:dyDescent="0.2">
      <c r="B3076" s="58"/>
      <c r="C3076" s="78"/>
      <c r="D3076" s="78"/>
      <c r="E3076" s="78"/>
      <c r="I3076" s="78"/>
      <c r="J3076" s="78"/>
    </row>
    <row r="3077" spans="2:10" x14ac:dyDescent="0.2">
      <c r="B3077" s="58"/>
      <c r="C3077" s="78"/>
      <c r="D3077" s="78"/>
      <c r="E3077" s="78"/>
      <c r="I3077" s="78"/>
      <c r="J3077" s="78"/>
    </row>
    <row r="3078" spans="2:10" x14ac:dyDescent="0.2">
      <c r="B3078" s="58"/>
      <c r="C3078" s="78"/>
      <c r="D3078" s="78"/>
      <c r="E3078" s="78"/>
      <c r="I3078" s="78"/>
      <c r="J3078" s="78"/>
    </row>
    <row r="3079" spans="2:10" x14ac:dyDescent="0.2">
      <c r="B3079" s="58"/>
      <c r="C3079" s="78"/>
      <c r="D3079" s="78"/>
      <c r="E3079" s="78"/>
      <c r="I3079" s="78"/>
      <c r="J3079" s="78"/>
    </row>
    <row r="3080" spans="2:10" x14ac:dyDescent="0.2">
      <c r="B3080" s="58"/>
      <c r="C3080" s="78"/>
      <c r="D3080" s="78"/>
      <c r="E3080" s="78"/>
      <c r="I3080" s="78"/>
      <c r="J3080" s="78"/>
    </row>
    <row r="3081" spans="2:10" x14ac:dyDescent="0.2">
      <c r="B3081" s="58"/>
      <c r="C3081" s="78"/>
      <c r="D3081" s="78"/>
      <c r="E3081" s="78"/>
      <c r="I3081" s="78"/>
      <c r="J3081" s="78"/>
    </row>
    <row r="3082" spans="2:10" x14ac:dyDescent="0.2">
      <c r="B3082" s="58"/>
      <c r="C3082" s="78"/>
      <c r="D3082" s="78"/>
      <c r="E3082" s="78"/>
      <c r="I3082" s="78"/>
      <c r="J3082" s="78"/>
    </row>
    <row r="3083" spans="2:10" x14ac:dyDescent="0.2">
      <c r="B3083" s="58"/>
      <c r="C3083" s="78"/>
      <c r="D3083" s="78"/>
      <c r="E3083" s="78"/>
      <c r="I3083" s="78"/>
      <c r="J3083" s="78"/>
    </row>
    <row r="3084" spans="2:10" x14ac:dyDescent="0.2">
      <c r="B3084" s="58"/>
      <c r="C3084" s="78"/>
      <c r="D3084" s="78"/>
      <c r="E3084" s="78"/>
      <c r="I3084" s="78"/>
      <c r="J3084" s="78"/>
    </row>
    <row r="3085" spans="2:10" x14ac:dyDescent="0.2">
      <c r="B3085" s="58"/>
      <c r="C3085" s="78"/>
      <c r="D3085" s="78"/>
      <c r="E3085" s="78"/>
      <c r="I3085" s="78"/>
      <c r="J3085" s="78"/>
    </row>
    <row r="3086" spans="2:10" x14ac:dyDescent="0.2">
      <c r="B3086" s="58"/>
      <c r="C3086" s="78"/>
      <c r="D3086" s="78"/>
      <c r="E3086" s="78"/>
      <c r="I3086" s="78"/>
      <c r="J3086" s="78"/>
    </row>
    <row r="3087" spans="2:10" x14ac:dyDescent="0.2">
      <c r="B3087" s="58"/>
      <c r="C3087" s="78"/>
      <c r="D3087" s="78"/>
      <c r="E3087" s="78"/>
      <c r="I3087" s="78"/>
      <c r="J3087" s="78"/>
    </row>
    <row r="3088" spans="2:10" x14ac:dyDescent="0.2">
      <c r="B3088" s="58"/>
      <c r="C3088" s="78"/>
      <c r="D3088" s="78"/>
      <c r="E3088" s="78"/>
      <c r="I3088" s="78"/>
      <c r="J3088" s="78"/>
    </row>
    <row r="3089" spans="2:10" x14ac:dyDescent="0.2">
      <c r="B3089" s="58"/>
      <c r="C3089" s="78"/>
      <c r="D3089" s="78"/>
      <c r="E3089" s="78"/>
      <c r="I3089" s="78"/>
      <c r="J3089" s="78"/>
    </row>
    <row r="3090" spans="2:10" x14ac:dyDescent="0.2">
      <c r="B3090" s="58"/>
      <c r="C3090" s="78"/>
      <c r="D3090" s="78"/>
      <c r="E3090" s="78"/>
      <c r="I3090" s="78"/>
      <c r="J3090" s="78"/>
    </row>
    <row r="3091" spans="2:10" x14ac:dyDescent="0.2">
      <c r="B3091" s="58"/>
      <c r="C3091" s="78"/>
      <c r="D3091" s="78"/>
      <c r="E3091" s="78"/>
      <c r="I3091" s="78"/>
      <c r="J3091" s="78"/>
    </row>
    <row r="3092" spans="2:10" x14ac:dyDescent="0.2">
      <c r="B3092" s="58"/>
      <c r="C3092" s="78"/>
      <c r="D3092" s="78"/>
      <c r="E3092" s="78"/>
      <c r="I3092" s="78"/>
      <c r="J3092" s="78"/>
    </row>
    <row r="3093" spans="2:10" x14ac:dyDescent="0.2">
      <c r="B3093" s="58"/>
      <c r="C3093" s="78"/>
      <c r="D3093" s="78"/>
      <c r="E3093" s="78"/>
      <c r="I3093" s="78"/>
      <c r="J3093" s="78"/>
    </row>
    <row r="3094" spans="2:10" x14ac:dyDescent="0.2">
      <c r="B3094" s="58"/>
      <c r="C3094" s="78"/>
      <c r="D3094" s="78"/>
      <c r="E3094" s="78"/>
      <c r="I3094" s="78"/>
      <c r="J3094" s="78"/>
    </row>
    <row r="3095" spans="2:10" x14ac:dyDescent="0.2">
      <c r="B3095" s="58"/>
      <c r="C3095" s="78"/>
      <c r="D3095" s="78"/>
      <c r="E3095" s="78"/>
      <c r="I3095" s="78"/>
      <c r="J3095" s="78"/>
    </row>
    <row r="3096" spans="2:10" x14ac:dyDescent="0.2">
      <c r="B3096" s="58"/>
      <c r="C3096" s="78"/>
      <c r="D3096" s="78"/>
      <c r="E3096" s="78"/>
      <c r="I3096" s="78"/>
      <c r="J3096" s="78"/>
    </row>
    <row r="3097" spans="2:10" x14ac:dyDescent="0.2">
      <c r="B3097" s="58"/>
      <c r="C3097" s="78"/>
      <c r="D3097" s="78"/>
      <c r="E3097" s="78"/>
      <c r="I3097" s="78"/>
      <c r="J3097" s="78"/>
    </row>
    <row r="3098" spans="2:10" x14ac:dyDescent="0.2">
      <c r="B3098" s="58"/>
      <c r="C3098" s="78"/>
      <c r="D3098" s="78"/>
      <c r="E3098" s="78"/>
      <c r="I3098" s="78"/>
      <c r="J3098" s="78"/>
    </row>
    <row r="3099" spans="2:10" x14ac:dyDescent="0.2">
      <c r="B3099" s="58"/>
      <c r="C3099" s="78"/>
      <c r="D3099" s="78"/>
      <c r="E3099" s="78"/>
      <c r="I3099" s="78"/>
      <c r="J3099" s="78"/>
    </row>
    <row r="3100" spans="2:10" x14ac:dyDescent="0.2">
      <c r="B3100" s="58"/>
      <c r="C3100" s="78"/>
      <c r="D3100" s="78"/>
      <c r="E3100" s="78"/>
      <c r="I3100" s="78"/>
      <c r="J3100" s="78"/>
    </row>
    <row r="3101" spans="2:10" x14ac:dyDescent="0.2">
      <c r="B3101" s="58"/>
      <c r="C3101" s="78"/>
      <c r="D3101" s="78"/>
      <c r="E3101" s="78"/>
      <c r="I3101" s="78"/>
      <c r="J3101" s="78"/>
    </row>
    <row r="3102" spans="2:10" x14ac:dyDescent="0.2">
      <c r="B3102" s="58"/>
      <c r="C3102" s="78"/>
      <c r="D3102" s="78"/>
      <c r="E3102" s="78"/>
      <c r="I3102" s="78"/>
      <c r="J3102" s="78"/>
    </row>
    <row r="3103" spans="2:10" x14ac:dyDescent="0.2">
      <c r="B3103" s="58"/>
      <c r="C3103" s="78"/>
      <c r="D3103" s="78"/>
      <c r="E3103" s="78"/>
      <c r="I3103" s="78"/>
      <c r="J3103" s="78"/>
    </row>
    <row r="3105" spans="1:11" x14ac:dyDescent="0.2">
      <c r="A3105" s="6"/>
      <c r="B3105" s="6"/>
      <c r="C3105" s="6"/>
      <c r="D3105" s="6"/>
      <c r="E3105" s="6"/>
      <c r="I3105" s="6"/>
      <c r="J3105" s="6"/>
    </row>
    <row r="3106" spans="1:11" x14ac:dyDescent="0.2">
      <c r="A3106" s="6"/>
      <c r="B3106" s="6"/>
      <c r="C3106" s="6"/>
      <c r="D3106" s="6"/>
      <c r="E3106" s="6"/>
      <c r="I3106" s="6"/>
      <c r="J3106" s="6"/>
    </row>
    <row r="3107" spans="1:11" x14ac:dyDescent="0.2">
      <c r="A3107" s="6"/>
      <c r="B3107" s="6"/>
      <c r="C3107" s="6"/>
      <c r="D3107" s="6"/>
      <c r="E3107" s="6"/>
      <c r="I3107" s="6"/>
      <c r="J3107" s="6"/>
    </row>
    <row r="3108" spans="1:11" x14ac:dyDescent="0.2">
      <c r="A3108" s="6"/>
      <c r="B3108" s="6"/>
      <c r="C3108" s="6"/>
      <c r="D3108" s="6"/>
      <c r="E3108" s="6"/>
      <c r="I3108" s="6"/>
      <c r="J3108" s="6"/>
    </row>
    <row r="3109" spans="1:11" x14ac:dyDescent="0.2">
      <c r="A3109" s="6"/>
      <c r="B3109" s="6"/>
      <c r="C3109" s="6"/>
      <c r="D3109" s="6"/>
      <c r="E3109" s="6"/>
      <c r="I3109" s="6"/>
      <c r="J3109" s="6"/>
    </row>
    <row r="3110" spans="1:11" x14ac:dyDescent="0.2">
      <c r="A3110" s="6"/>
      <c r="B3110" s="6"/>
      <c r="C3110" s="6"/>
      <c r="D3110" s="6"/>
      <c r="E3110" s="6"/>
      <c r="I3110" s="6"/>
      <c r="J3110" s="6"/>
    </row>
    <row r="3111" spans="1:11" ht="15" x14ac:dyDescent="0.25">
      <c r="B3111" s="48" t="s">
        <v>4131</v>
      </c>
      <c r="C3111" s="48"/>
      <c r="D3111" s="48"/>
      <c r="E3111" s="48"/>
    </row>
    <row r="3112" spans="1:11" ht="15" x14ac:dyDescent="0.25">
      <c r="B3112" s="48"/>
      <c r="C3112" s="48"/>
      <c r="D3112" s="48"/>
      <c r="E3112" s="48"/>
    </row>
    <row r="3113" spans="1:11" x14ac:dyDescent="0.2">
      <c r="B3113" s="132" t="s">
        <v>61</v>
      </c>
      <c r="C3113" s="50"/>
      <c r="D3113" s="50"/>
      <c r="E3113" s="50"/>
    </row>
    <row r="3114" spans="1:11" x14ac:dyDescent="0.2">
      <c r="B3114" s="46"/>
      <c r="C3114" s="46"/>
      <c r="D3114" s="46"/>
      <c r="E3114" s="46"/>
    </row>
    <row r="3115" spans="1:11" x14ac:dyDescent="0.2">
      <c r="B3115" s="80" t="s">
        <v>492</v>
      </c>
      <c r="C3115" s="99">
        <f>C824</f>
        <v>5319008</v>
      </c>
      <c r="D3115" s="99">
        <f t="shared" ref="D3115:J3115" si="459">D824</f>
        <v>6246480</v>
      </c>
      <c r="E3115" s="99">
        <f t="shared" si="459"/>
        <v>6246480</v>
      </c>
      <c r="F3115" s="99">
        <f t="shared" si="459"/>
        <v>7955958.1600000001</v>
      </c>
      <c r="G3115" s="99">
        <f t="shared" si="459"/>
        <v>7955958.1600000001</v>
      </c>
      <c r="H3115" s="99">
        <f>H824</f>
        <v>10383648</v>
      </c>
      <c r="I3115" s="99">
        <f t="shared" si="459"/>
        <v>11006667</v>
      </c>
      <c r="J3115" s="99">
        <f t="shared" si="459"/>
        <v>11667065</v>
      </c>
    </row>
    <row r="3116" spans="1:11" x14ac:dyDescent="0.2">
      <c r="B3116" s="80"/>
      <c r="C3116" s="99"/>
      <c r="D3116" s="99"/>
      <c r="E3116" s="99"/>
      <c r="F3116" s="27"/>
    </row>
    <row r="3117" spans="1:11" x14ac:dyDescent="0.2">
      <c r="B3117" s="80" t="s">
        <v>64</v>
      </c>
      <c r="C3117" s="99">
        <f>C828</f>
        <v>175821</v>
      </c>
      <c r="D3117" s="99">
        <f t="shared" ref="D3117:J3117" si="460">D828</f>
        <v>170100</v>
      </c>
      <c r="E3117" s="99">
        <f t="shared" si="460"/>
        <v>170100</v>
      </c>
      <c r="F3117" s="99">
        <f t="shared" si="460"/>
        <v>186589</v>
      </c>
      <c r="G3117" s="99">
        <f t="shared" si="460"/>
        <v>223906.80000000002</v>
      </c>
      <c r="H3117" s="99">
        <f t="shared" si="460"/>
        <v>311509</v>
      </c>
      <c r="I3117" s="99">
        <f t="shared" si="460"/>
        <v>330200</v>
      </c>
      <c r="J3117" s="99">
        <f t="shared" si="460"/>
        <v>350012</v>
      </c>
    </row>
    <row r="3118" spans="1:11" x14ac:dyDescent="0.2">
      <c r="B3118" s="80"/>
      <c r="C3118" s="99"/>
      <c r="D3118" s="99"/>
      <c r="E3118" s="99"/>
      <c r="F3118" s="27"/>
    </row>
    <row r="3119" spans="1:11" x14ac:dyDescent="0.2">
      <c r="B3119" s="80" t="s">
        <v>65</v>
      </c>
      <c r="C3119" s="99">
        <f t="shared" ref="C3119:J3119" si="461">C2302+C2453+C2748+C2898</f>
        <v>10015263</v>
      </c>
      <c r="D3119" s="99">
        <f t="shared" si="461"/>
        <v>17491473</v>
      </c>
      <c r="E3119" s="99">
        <f t="shared" si="461"/>
        <v>17491473</v>
      </c>
      <c r="F3119" s="99">
        <f t="shared" si="461"/>
        <v>11049846</v>
      </c>
      <c r="G3119" s="99">
        <f t="shared" si="461"/>
        <v>13259815.199999999</v>
      </c>
      <c r="H3119" s="99">
        <f t="shared" si="461"/>
        <v>32866754</v>
      </c>
      <c r="I3119" s="99">
        <f t="shared" si="461"/>
        <v>39467010</v>
      </c>
      <c r="J3119" s="99">
        <f t="shared" si="461"/>
        <v>47958379</v>
      </c>
      <c r="K3119" s="650"/>
    </row>
    <row r="3120" spans="1:11" x14ac:dyDescent="0.2">
      <c r="B3120" s="80"/>
      <c r="C3120" s="99"/>
      <c r="D3120" s="99"/>
      <c r="E3120" s="99"/>
      <c r="F3120" s="27"/>
    </row>
    <row r="3121" spans="2:11" x14ac:dyDescent="0.2">
      <c r="B3121" s="80" t="s">
        <v>66</v>
      </c>
      <c r="C3121" s="99">
        <f t="shared" ref="C3121:J3121" si="462">C981+C1055+C1676+C2218+C2598+C1832</f>
        <v>421958</v>
      </c>
      <c r="D3121" s="99">
        <f t="shared" si="462"/>
        <v>332868</v>
      </c>
      <c r="E3121" s="99">
        <f t="shared" si="462"/>
        <v>332868</v>
      </c>
      <c r="F3121" s="99">
        <f t="shared" si="462"/>
        <v>386494</v>
      </c>
      <c r="G3121" s="99">
        <f t="shared" si="462"/>
        <v>463792.79999999993</v>
      </c>
      <c r="H3121" s="99">
        <f t="shared" si="462"/>
        <v>511171</v>
      </c>
      <c r="I3121" s="99">
        <f t="shared" si="462"/>
        <v>542416</v>
      </c>
      <c r="J3121" s="99">
        <f t="shared" si="462"/>
        <v>575593</v>
      </c>
    </row>
    <row r="3122" spans="2:11" x14ac:dyDescent="0.2">
      <c r="B3122" s="80"/>
      <c r="C3122" s="99"/>
      <c r="D3122" s="99"/>
      <c r="E3122" s="99"/>
      <c r="F3122" s="27"/>
      <c r="I3122" s="99"/>
      <c r="J3122" s="99"/>
    </row>
    <row r="3123" spans="2:11" x14ac:dyDescent="0.2">
      <c r="B3123" s="80" t="s">
        <v>420</v>
      </c>
      <c r="C3123" s="99">
        <f t="shared" ref="C3123:J3123" si="463">C596</f>
        <v>76165</v>
      </c>
      <c r="D3123" s="99">
        <f t="shared" si="463"/>
        <v>36100</v>
      </c>
      <c r="E3123" s="99">
        <f t="shared" si="463"/>
        <v>36100</v>
      </c>
      <c r="F3123" s="99">
        <f t="shared" si="463"/>
        <v>41958</v>
      </c>
      <c r="G3123" s="99">
        <f t="shared" si="463"/>
        <v>50349.599999999999</v>
      </c>
      <c r="H3123" s="99">
        <f t="shared" si="463"/>
        <v>75300</v>
      </c>
      <c r="I3123" s="99">
        <f t="shared" si="463"/>
        <v>75830</v>
      </c>
      <c r="J3123" s="99">
        <f t="shared" si="463"/>
        <v>76413</v>
      </c>
    </row>
    <row r="3124" spans="2:11" x14ac:dyDescent="0.2">
      <c r="B3124" s="80"/>
      <c r="C3124" s="99"/>
      <c r="D3124" s="99"/>
      <c r="E3124" s="99"/>
      <c r="F3124" s="27"/>
      <c r="I3124" s="99"/>
      <c r="J3124" s="99"/>
    </row>
    <row r="3125" spans="2:11" x14ac:dyDescent="0.2">
      <c r="B3125" s="80" t="s">
        <v>4006</v>
      </c>
      <c r="C3125" s="99">
        <f t="shared" ref="C3125:J3125" si="464">+C600</f>
        <v>3158</v>
      </c>
      <c r="D3125" s="99">
        <f t="shared" si="464"/>
        <v>4211</v>
      </c>
      <c r="E3125" s="99">
        <f t="shared" si="464"/>
        <v>4211</v>
      </c>
      <c r="F3125" s="99">
        <f t="shared" si="464"/>
        <v>5204</v>
      </c>
      <c r="G3125" s="99">
        <f t="shared" si="464"/>
        <v>5204</v>
      </c>
      <c r="H3125" s="99">
        <f t="shared" si="464"/>
        <v>0</v>
      </c>
      <c r="I3125" s="99">
        <f t="shared" si="464"/>
        <v>0</v>
      </c>
      <c r="J3125" s="99">
        <f t="shared" si="464"/>
        <v>0</v>
      </c>
    </row>
    <row r="3126" spans="2:11" x14ac:dyDescent="0.2">
      <c r="B3126" s="80"/>
      <c r="C3126" s="99"/>
      <c r="D3126" s="99"/>
      <c r="E3126" s="99"/>
      <c r="F3126" s="27"/>
      <c r="I3126" s="99"/>
      <c r="J3126" s="99"/>
    </row>
    <row r="3127" spans="2:11" x14ac:dyDescent="0.2">
      <c r="B3127" s="80" t="s">
        <v>4007</v>
      </c>
      <c r="C3127" s="99">
        <f t="shared" ref="C3127:J3127" si="465">C1596+C1911</f>
        <v>1033960</v>
      </c>
      <c r="D3127" s="99">
        <f t="shared" si="465"/>
        <v>1360885</v>
      </c>
      <c r="E3127" s="99">
        <f t="shared" si="465"/>
        <v>1360885</v>
      </c>
      <c r="F3127" s="99">
        <f t="shared" si="465"/>
        <v>901572</v>
      </c>
      <c r="G3127" s="99">
        <f t="shared" si="465"/>
        <v>1081886.3999999999</v>
      </c>
      <c r="H3127" s="99">
        <f t="shared" si="465"/>
        <v>1100000</v>
      </c>
      <c r="I3127" s="99">
        <f t="shared" si="465"/>
        <v>1166000</v>
      </c>
      <c r="J3127" s="99">
        <f t="shared" si="465"/>
        <v>1235960</v>
      </c>
    </row>
    <row r="3128" spans="2:11" x14ac:dyDescent="0.2">
      <c r="B3128" s="80"/>
      <c r="C3128" s="99"/>
      <c r="D3128" s="99"/>
      <c r="E3128" s="99"/>
      <c r="F3128" s="27"/>
      <c r="I3128" s="99"/>
      <c r="J3128" s="99"/>
    </row>
    <row r="3129" spans="2:11" x14ac:dyDescent="0.2">
      <c r="B3129" s="80" t="s">
        <v>1059</v>
      </c>
      <c r="C3129" s="99">
        <f>C603</f>
        <v>24832097</v>
      </c>
      <c r="D3129" s="99">
        <f t="shared" ref="D3129:J3129" si="466">D603</f>
        <v>32087000</v>
      </c>
      <c r="E3129" s="99">
        <f t="shared" si="466"/>
        <v>32768000</v>
      </c>
      <c r="F3129" s="99">
        <f t="shared" si="466"/>
        <v>12584976</v>
      </c>
      <c r="G3129" s="99">
        <f t="shared" si="466"/>
        <v>32181000</v>
      </c>
      <c r="H3129" s="99">
        <f t="shared" si="466"/>
        <v>40862000</v>
      </c>
      <c r="I3129" s="99">
        <f t="shared" si="466"/>
        <v>46076000</v>
      </c>
      <c r="J3129" s="99">
        <f t="shared" si="466"/>
        <v>50691000</v>
      </c>
    </row>
    <row r="3130" spans="2:11" x14ac:dyDescent="0.2">
      <c r="B3130" s="80"/>
      <c r="C3130" s="99"/>
      <c r="D3130" s="99"/>
      <c r="E3130" s="99"/>
      <c r="F3130" s="27"/>
      <c r="I3130" s="99"/>
      <c r="J3130" s="99"/>
    </row>
    <row r="3131" spans="2:11" x14ac:dyDescent="0.2">
      <c r="B3131" s="80" t="s">
        <v>413</v>
      </c>
      <c r="C3131" s="99">
        <f>C19+C21+C172+C260+C346+C427+C512+C513+C604+C605+C1204+C1356+C1432</f>
        <v>1352379</v>
      </c>
      <c r="D3131" s="99">
        <f>D19+D21+D172+D260+D346+D427+D512+D513+D604+D605+D1204+D1356+D1432</f>
        <v>4115000</v>
      </c>
      <c r="E3131" s="99">
        <f>E19+E21+E172+E260+E346+E427+E512+E513+E604+E605+E1204+E1356+E1432</f>
        <v>4331350</v>
      </c>
      <c r="F3131" s="99">
        <f>F19+F21+F172+F260+F346+F427+F512+F513+F604+F605+F1204+F1356+F1432</f>
        <v>3805500</v>
      </c>
      <c r="G3131" s="99">
        <f>G19+G21+G172+G260+G346+G427+G512+G513+G604+G605+G1204+G1356+G1432</f>
        <v>4281500</v>
      </c>
      <c r="H3131" s="99">
        <f>H19+H21+H172+H260+H346+H427+H512+H513+H604+H605+H1204+H1356+H1606+H1432</f>
        <v>6087155</v>
      </c>
      <c r="I3131" s="99">
        <f>I19+I21+I172+I260+I346+I427+I512+I513+I604+I605+I1204+I1356+I1606+I1432</f>
        <v>3850685</v>
      </c>
      <c r="J3131" s="99">
        <f>J19+J21+J172+J260+J346+J427+J512+J513+J604+J605+J1204+J1356+J1606+J1432</f>
        <v>3983270</v>
      </c>
    </row>
    <row r="3132" spans="2:11" x14ac:dyDescent="0.2">
      <c r="B3132" s="80"/>
      <c r="C3132" s="99"/>
      <c r="D3132" s="99"/>
      <c r="E3132" s="99"/>
      <c r="F3132" s="27"/>
      <c r="I3132" s="99"/>
      <c r="J3132" s="99"/>
    </row>
    <row r="3133" spans="2:11" x14ac:dyDescent="0.2">
      <c r="B3133" s="80" t="s">
        <v>423</v>
      </c>
      <c r="C3133" s="99">
        <f t="shared" ref="C3133:J3133" si="467">C614+C1601+C1752+C1837+C2458+C2602+C2753+C2904+C1212+C2061+C3028+C2142</f>
        <v>632163</v>
      </c>
      <c r="D3133" s="99">
        <f t="shared" si="467"/>
        <v>460917</v>
      </c>
      <c r="E3133" s="99">
        <f t="shared" si="467"/>
        <v>1035517</v>
      </c>
      <c r="F3133" s="99">
        <f t="shared" si="467"/>
        <v>761935</v>
      </c>
      <c r="G3133" s="99">
        <f t="shared" si="467"/>
        <v>800322</v>
      </c>
      <c r="H3133" s="99">
        <f t="shared" si="467"/>
        <v>330511</v>
      </c>
      <c r="I3133" s="99">
        <f t="shared" si="467"/>
        <v>350342</v>
      </c>
      <c r="J3133" s="99">
        <f t="shared" si="467"/>
        <v>371361</v>
      </c>
    </row>
    <row r="3134" spans="2:11" x14ac:dyDescent="0.2">
      <c r="B3134" s="80"/>
      <c r="C3134" s="99"/>
      <c r="D3134" s="99"/>
      <c r="E3134" s="99"/>
      <c r="F3134" s="149"/>
      <c r="I3134" s="99"/>
      <c r="J3134" s="99"/>
      <c r="K3134" s="96"/>
    </row>
    <row r="3135" spans="2:11" x14ac:dyDescent="0.2">
      <c r="B3135" s="80" t="s">
        <v>4132</v>
      </c>
      <c r="C3135" s="99">
        <f>C831</f>
        <v>-1313887</v>
      </c>
      <c r="D3135" s="99">
        <f t="shared" ref="D3135:J3135" si="468">D831</f>
        <v>-1731073</v>
      </c>
      <c r="E3135" s="99">
        <f t="shared" si="468"/>
        <v>-2387531</v>
      </c>
      <c r="F3135" s="99">
        <f t="shared" si="468"/>
        <v>-1878720</v>
      </c>
      <c r="G3135" s="99">
        <f t="shared" si="468"/>
        <v>-1878720</v>
      </c>
      <c r="H3135" s="99">
        <f t="shared" si="468"/>
        <v>-2720933</v>
      </c>
      <c r="I3135" s="99">
        <f t="shared" si="468"/>
        <v>-3480745</v>
      </c>
      <c r="J3135" s="99">
        <f t="shared" si="468"/>
        <v>-1792542</v>
      </c>
    </row>
    <row r="3136" spans="2:11" x14ac:dyDescent="0.2">
      <c r="B3136" s="80"/>
      <c r="C3136" s="99"/>
      <c r="D3136" s="99"/>
      <c r="E3136" s="99"/>
      <c r="F3136" s="149"/>
      <c r="I3136" s="99"/>
      <c r="J3136" s="99"/>
    </row>
    <row r="3137" spans="2:10" x14ac:dyDescent="0.2">
      <c r="B3137" s="80" t="s">
        <v>4013</v>
      </c>
      <c r="C3137" s="96">
        <f t="shared" ref="C3137:J3137" si="469">+C2757+C2908</f>
        <v>-678648</v>
      </c>
      <c r="D3137" s="96">
        <f t="shared" si="469"/>
        <v>-3134013</v>
      </c>
      <c r="E3137" s="96">
        <f t="shared" si="469"/>
        <v>-3334013</v>
      </c>
      <c r="F3137" s="96">
        <f t="shared" si="469"/>
        <v>-408920</v>
      </c>
      <c r="G3137" s="96">
        <f t="shared" si="469"/>
        <v>-490704</v>
      </c>
      <c r="H3137" s="96">
        <f t="shared" si="469"/>
        <v>-3409974</v>
      </c>
      <c r="I3137" s="96">
        <f t="shared" si="469"/>
        <v>-4223744</v>
      </c>
      <c r="J3137" s="96">
        <f t="shared" si="469"/>
        <v>-4908431</v>
      </c>
    </row>
    <row r="3138" spans="2:10" x14ac:dyDescent="0.2">
      <c r="B3138" s="133"/>
      <c r="C3138" s="62"/>
      <c r="D3138" s="62"/>
      <c r="E3138" s="62"/>
      <c r="F3138" s="150"/>
      <c r="G3138" s="102"/>
      <c r="H3138" s="102"/>
      <c r="I3138" s="62"/>
      <c r="J3138" s="62"/>
    </row>
    <row r="3139" spans="2:10" x14ac:dyDescent="0.2">
      <c r="B3139" s="80" t="s">
        <v>4014</v>
      </c>
      <c r="C3139" s="73">
        <f>SUM(C3115:C3138)</f>
        <v>41869437</v>
      </c>
      <c r="D3139" s="73">
        <f t="shared" ref="D3139:J3139" si="470">SUM(D3115:D3138)</f>
        <v>57439948</v>
      </c>
      <c r="E3139" s="73">
        <f>SUM(E3115:E3138)</f>
        <v>58055440</v>
      </c>
      <c r="F3139" s="73">
        <f t="shared" si="470"/>
        <v>35392392.159999996</v>
      </c>
      <c r="G3139" s="73">
        <f t="shared" si="470"/>
        <v>57934310.960000001</v>
      </c>
      <c r="H3139" s="73">
        <f>SUM(H3115:H3138)</f>
        <v>86397141</v>
      </c>
      <c r="I3139" s="73">
        <f t="shared" si="470"/>
        <v>95160661</v>
      </c>
      <c r="J3139" s="73">
        <f t="shared" si="470"/>
        <v>110208080</v>
      </c>
    </row>
    <row r="3140" spans="2:10" x14ac:dyDescent="0.2">
      <c r="B3140" s="80"/>
      <c r="C3140" s="73"/>
      <c r="D3140" s="73"/>
      <c r="E3140" s="73"/>
      <c r="F3140" s="27"/>
      <c r="I3140" s="73"/>
      <c r="J3140" s="73"/>
    </row>
    <row r="3141" spans="2:10" x14ac:dyDescent="0.2">
      <c r="B3141" s="80" t="s">
        <v>1087</v>
      </c>
      <c r="C3141" s="96">
        <f>C2763+C2464+C2608+C2918</f>
        <v>95044</v>
      </c>
      <c r="D3141" s="96">
        <f t="shared" ref="D3141:J3141" si="471">D2763+D2464+D2608+D2918</f>
        <v>14579000</v>
      </c>
      <c r="E3141" s="96">
        <f t="shared" si="471"/>
        <v>14579000</v>
      </c>
      <c r="F3141" s="96">
        <f t="shared" si="471"/>
        <v>0</v>
      </c>
      <c r="G3141" s="96">
        <f t="shared" si="471"/>
        <v>0</v>
      </c>
      <c r="H3141" s="96">
        <f t="shared" si="471"/>
        <v>0</v>
      </c>
      <c r="I3141" s="96">
        <f t="shared" si="471"/>
        <v>0</v>
      </c>
      <c r="J3141" s="96">
        <f t="shared" si="471"/>
        <v>0</v>
      </c>
    </row>
    <row r="3142" spans="2:10" x14ac:dyDescent="0.2">
      <c r="B3142" s="133"/>
      <c r="C3142" s="105"/>
      <c r="D3142" s="105"/>
      <c r="E3142" s="105"/>
      <c r="F3142" s="151"/>
      <c r="G3142" s="102"/>
      <c r="H3142" s="102"/>
      <c r="I3142" s="105"/>
      <c r="J3142" s="105"/>
    </row>
    <row r="3143" spans="2:10" x14ac:dyDescent="0.2">
      <c r="B3143" s="80" t="s">
        <v>4016</v>
      </c>
      <c r="C3143" s="73">
        <f>+C3139+C3141</f>
        <v>41964481</v>
      </c>
      <c r="D3143" s="73">
        <f t="shared" ref="D3143:J3143" si="472">+D3139+D3141</f>
        <v>72018948</v>
      </c>
      <c r="E3143" s="73">
        <f t="shared" si="472"/>
        <v>72634440</v>
      </c>
      <c r="F3143" s="73">
        <f t="shared" si="472"/>
        <v>35392392.159999996</v>
      </c>
      <c r="G3143" s="73">
        <f t="shared" si="472"/>
        <v>57934310.960000001</v>
      </c>
      <c r="H3143" s="73">
        <f t="shared" si="472"/>
        <v>86397141</v>
      </c>
      <c r="I3143" s="73">
        <f t="shared" si="472"/>
        <v>95160661</v>
      </c>
      <c r="J3143" s="73">
        <f t="shared" si="472"/>
        <v>110208080</v>
      </c>
    </row>
    <row r="3144" spans="2:10" x14ac:dyDescent="0.2">
      <c r="B3144" s="80"/>
      <c r="C3144" s="73"/>
      <c r="D3144" s="73"/>
      <c r="E3144" s="73"/>
      <c r="F3144" s="134"/>
      <c r="I3144" s="73"/>
      <c r="J3144" s="73"/>
    </row>
    <row r="3145" spans="2:10" x14ac:dyDescent="0.2">
      <c r="B3145" s="80" t="s">
        <v>1092</v>
      </c>
      <c r="C3145" s="69">
        <f>C20+C1205+C1606+C1985+C2307+C2467+C2766+C2913</f>
        <v>12178579</v>
      </c>
      <c r="D3145" s="69">
        <f>D20+D1205+D1606+D1985+D2307+D2467+D2766+D2913</f>
        <v>7378472</v>
      </c>
      <c r="E3145" s="69">
        <f>E20+E1205+E1606+E1985+E2307+E2467+E2766+E2913</f>
        <v>8054872</v>
      </c>
      <c r="F3145" s="69">
        <f>F20+F1205+F1606+F1985+F2307+F2467+F2766+F2913</f>
        <v>3051325</v>
      </c>
      <c r="G3145" s="69">
        <f>G20+G1205+G1606+G1985+G2307+G2467+G2766+G2913</f>
        <v>5048429</v>
      </c>
      <c r="H3145" s="69">
        <f>H20+H1205+H1985+H2307+H2467+H2766+H2913</f>
        <v>11955795</v>
      </c>
      <c r="I3145" s="69">
        <f>I20+I1205+I1985+I2307+I2467+I2766+I2913</f>
        <v>11965859</v>
      </c>
      <c r="J3145" s="69">
        <f>J20+J1205+J1985+J2307+J2467+J2766+J2913</f>
        <v>11449642</v>
      </c>
    </row>
    <row r="3146" spans="2:10" x14ac:dyDescent="0.2">
      <c r="B3146" s="80"/>
      <c r="C3146" s="99"/>
      <c r="D3146" s="99"/>
      <c r="E3146" s="99"/>
      <c r="I3146" s="99"/>
      <c r="J3146" s="99"/>
    </row>
    <row r="3147" spans="2:10" ht="13.5" thickBot="1" x14ac:dyDescent="0.25">
      <c r="B3147" s="136" t="s">
        <v>4017</v>
      </c>
      <c r="C3147" s="137">
        <f>+C3143+C3145</f>
        <v>54143060</v>
      </c>
      <c r="D3147" s="137">
        <f t="shared" ref="D3147:J3147" si="473">+D3143+D3145</f>
        <v>79397420</v>
      </c>
      <c r="E3147" s="137">
        <f t="shared" si="473"/>
        <v>80689312</v>
      </c>
      <c r="F3147" s="137">
        <f t="shared" si="473"/>
        <v>38443717.159999996</v>
      </c>
      <c r="G3147" s="137">
        <f t="shared" si="473"/>
        <v>62982739.960000001</v>
      </c>
      <c r="H3147" s="137">
        <f t="shared" si="473"/>
        <v>98352936</v>
      </c>
      <c r="I3147" s="137">
        <f t="shared" si="473"/>
        <v>107126520</v>
      </c>
      <c r="J3147" s="137">
        <f t="shared" si="473"/>
        <v>121657722</v>
      </c>
    </row>
    <row r="3148" spans="2:10" ht="13.5" thickTop="1" x14ac:dyDescent="0.2">
      <c r="B3148" s="80"/>
      <c r="C3148" s="73"/>
      <c r="D3148" s="73"/>
      <c r="E3148" s="73"/>
      <c r="I3148" s="73"/>
      <c r="J3148" s="73"/>
    </row>
    <row r="3149" spans="2:10" x14ac:dyDescent="0.2">
      <c r="B3149" s="68"/>
      <c r="C3149" s="138"/>
      <c r="D3149" s="68"/>
      <c r="E3149" s="138"/>
      <c r="I3149" s="68"/>
      <c r="J3149" s="68"/>
    </row>
    <row r="3150" spans="2:10" x14ac:dyDescent="0.2">
      <c r="B3150" s="132" t="s">
        <v>4018</v>
      </c>
      <c r="C3150" s="50"/>
      <c r="D3150" s="50"/>
      <c r="E3150" s="50"/>
      <c r="I3150" s="50"/>
      <c r="J3150" s="50"/>
    </row>
    <row r="3151" spans="2:10" x14ac:dyDescent="0.2">
      <c r="B3151" s="50"/>
      <c r="C3151" s="50"/>
      <c r="D3151" s="88"/>
      <c r="E3151" s="88"/>
      <c r="I3151" s="50"/>
      <c r="J3151" s="50"/>
    </row>
    <row r="3152" spans="2:10" x14ac:dyDescent="0.2">
      <c r="B3152" s="80" t="s">
        <v>4019</v>
      </c>
      <c r="C3152" s="69">
        <f t="shared" ref="C3152:J3152" si="474">C206+C635+C1233+C1530+C1626+C1695+C1761+C1857+C1931+C2163+C2238+C2329+C2488+C2628+C2787+C52+C294+C380+C461+C547+C754+C912+C1139+C1377+C2081+C3043+C2938+C1452</f>
        <v>19489880.759999998</v>
      </c>
      <c r="D3152" s="69">
        <f t="shared" si="474"/>
        <v>23277687</v>
      </c>
      <c r="E3152" s="69">
        <f t="shared" si="474"/>
        <v>23277687</v>
      </c>
      <c r="F3152" s="69">
        <f t="shared" si="474"/>
        <v>18660234</v>
      </c>
      <c r="G3152" s="69">
        <f t="shared" si="474"/>
        <v>22392280.800000004</v>
      </c>
      <c r="H3152" s="69">
        <f t="shared" si="474"/>
        <v>32957191</v>
      </c>
      <c r="I3152" s="69">
        <f t="shared" si="474"/>
        <v>35569437</v>
      </c>
      <c r="J3152" s="69">
        <f t="shared" si="474"/>
        <v>38415001</v>
      </c>
    </row>
    <row r="3153" spans="1:10" x14ac:dyDescent="0.2">
      <c r="B3153" s="80"/>
      <c r="C3153" s="69"/>
      <c r="D3153" s="69"/>
      <c r="E3153" s="69"/>
      <c r="F3153" s="69"/>
      <c r="I3153" s="69"/>
      <c r="J3153" s="69"/>
    </row>
    <row r="3154" spans="1:10" x14ac:dyDescent="0.2">
      <c r="B3154" s="80" t="s">
        <v>4020</v>
      </c>
      <c r="C3154" s="69">
        <f t="shared" ref="C3154:J3154" si="475">C36</f>
        <v>1714439</v>
      </c>
      <c r="D3154" s="69">
        <f t="shared" si="475"/>
        <v>2006037</v>
      </c>
      <c r="E3154" s="69">
        <f t="shared" si="475"/>
        <v>2006037</v>
      </c>
      <c r="F3154" s="69">
        <f t="shared" si="475"/>
        <v>1613316</v>
      </c>
      <c r="G3154" s="69">
        <f t="shared" si="475"/>
        <v>1935979.2000000002</v>
      </c>
      <c r="H3154" s="69">
        <f t="shared" si="475"/>
        <v>2174900</v>
      </c>
      <c r="I3154" s="69">
        <f t="shared" si="475"/>
        <v>2348893</v>
      </c>
      <c r="J3154" s="69">
        <f t="shared" si="475"/>
        <v>2536805</v>
      </c>
    </row>
    <row r="3155" spans="1:10" x14ac:dyDescent="0.2">
      <c r="B3155" s="80"/>
      <c r="C3155" s="69"/>
      <c r="D3155" s="69"/>
      <c r="E3155" s="69"/>
      <c r="F3155" s="69"/>
      <c r="I3155" s="69"/>
      <c r="J3155" s="69"/>
    </row>
    <row r="3156" spans="1:10" x14ac:dyDescent="0.2">
      <c r="B3156" s="80" t="s">
        <v>4021</v>
      </c>
      <c r="C3156" s="69">
        <f t="shared" ref="C3156:J3156" si="476">C57+C640+C989+C1238+C1534+C1630+C1701+C1766+C1861+C1936+C1994+C2170+C2244+C2345+C2504+C2639+C2804+C758+C917+C1143+C1381+C2085+C3047+C2950</f>
        <v>1346275</v>
      </c>
      <c r="D3156" s="69">
        <f t="shared" si="476"/>
        <v>5141300</v>
      </c>
      <c r="E3156" s="69">
        <f t="shared" si="476"/>
        <v>4137608</v>
      </c>
      <c r="F3156" s="69">
        <f t="shared" si="476"/>
        <v>2673394</v>
      </c>
      <c r="G3156" s="69">
        <f t="shared" si="476"/>
        <v>3208072.8</v>
      </c>
      <c r="H3156" s="69">
        <f t="shared" si="476"/>
        <v>3932859</v>
      </c>
      <c r="I3156" s="69">
        <f t="shared" si="476"/>
        <v>4167782</v>
      </c>
      <c r="J3156" s="69">
        <f t="shared" si="476"/>
        <v>4416750</v>
      </c>
    </row>
    <row r="3157" spans="1:10" x14ac:dyDescent="0.2">
      <c r="B3157" s="80"/>
      <c r="C3157" s="69"/>
      <c r="D3157" s="69"/>
      <c r="E3157" s="69"/>
      <c r="F3157" s="69"/>
      <c r="I3157" s="69"/>
      <c r="J3157" s="69"/>
    </row>
    <row r="3158" spans="1:10" x14ac:dyDescent="0.2">
      <c r="B3158" s="80" t="s">
        <v>425</v>
      </c>
      <c r="C3158" s="69">
        <f t="shared" ref="C3158:J3158" si="477">C644+C2496+C2795+C2337+C2632+C2942</f>
        <v>476943</v>
      </c>
      <c r="D3158" s="69">
        <f t="shared" si="477"/>
        <v>199742</v>
      </c>
      <c r="E3158" s="69">
        <f t="shared" si="477"/>
        <v>199742</v>
      </c>
      <c r="F3158" s="69">
        <f t="shared" si="477"/>
        <v>168000</v>
      </c>
      <c r="G3158" s="69">
        <f t="shared" si="477"/>
        <v>168000</v>
      </c>
      <c r="H3158" s="69">
        <f t="shared" si="477"/>
        <v>5030795</v>
      </c>
      <c r="I3158" s="69">
        <f t="shared" si="477"/>
        <v>5629154</v>
      </c>
      <c r="J3158" s="69">
        <f t="shared" si="477"/>
        <v>5553208</v>
      </c>
    </row>
    <row r="3159" spans="1:10" x14ac:dyDescent="0.2">
      <c r="B3159" s="80"/>
      <c r="C3159" s="69"/>
      <c r="D3159" s="69"/>
      <c r="E3159" s="69"/>
      <c r="F3159" s="69"/>
      <c r="I3159" s="69"/>
      <c r="J3159" s="69"/>
    </row>
    <row r="3160" spans="1:10" x14ac:dyDescent="0.2">
      <c r="B3160" s="80" t="s">
        <v>4023</v>
      </c>
      <c r="C3160" s="69">
        <f t="shared" ref="C3160:J3160" si="478">+C2967+C2843</f>
        <v>437765</v>
      </c>
      <c r="D3160" s="69">
        <f t="shared" si="478"/>
        <v>655418</v>
      </c>
      <c r="E3160" s="69">
        <f t="shared" si="478"/>
        <v>655418</v>
      </c>
      <c r="F3160" s="69">
        <f t="shared" si="478"/>
        <v>310547</v>
      </c>
      <c r="G3160" s="69">
        <f t="shared" si="478"/>
        <v>372656.4</v>
      </c>
      <c r="H3160" s="69">
        <f t="shared" si="478"/>
        <v>9243802</v>
      </c>
      <c r="I3160" s="69">
        <f t="shared" si="478"/>
        <v>11628703</v>
      </c>
      <c r="J3160" s="69">
        <f t="shared" si="478"/>
        <v>14640537</v>
      </c>
    </row>
    <row r="3161" spans="1:10" x14ac:dyDescent="0.2">
      <c r="B3161" s="80"/>
      <c r="C3161" s="69"/>
      <c r="D3161" s="69"/>
      <c r="E3161" s="69"/>
      <c r="F3161" s="69"/>
      <c r="I3161" s="69"/>
      <c r="J3161" s="69"/>
    </row>
    <row r="3162" spans="1:10" x14ac:dyDescent="0.2">
      <c r="B3162" s="80" t="s">
        <v>435</v>
      </c>
      <c r="C3162" s="69">
        <f t="shared" ref="C3162:J3162" si="479">C80+C684+C845+C1255+C1457+C1545+C1641+C1710+C1770+C1872+C1953+C2000+C2183+C2361+C2541+C2654+C2839+C216+C302+C388++C771+C933+C1155+C1400+C2093+C3051+C469+C555+C996+C2963+C2248</f>
        <v>17721012</v>
      </c>
      <c r="D3162" s="69">
        <f t="shared" si="479"/>
        <v>19107254</v>
      </c>
      <c r="E3162" s="69">
        <f t="shared" si="479"/>
        <v>20513569</v>
      </c>
      <c r="F3162" s="69">
        <f t="shared" si="479"/>
        <v>17974654</v>
      </c>
      <c r="G3162" s="69">
        <f t="shared" si="479"/>
        <v>21509854.799999997</v>
      </c>
      <c r="H3162" s="69">
        <f t="shared" si="479"/>
        <v>23720000</v>
      </c>
      <c r="I3162" s="69">
        <f t="shared" si="479"/>
        <v>24673531</v>
      </c>
      <c r="J3162" s="69">
        <f t="shared" si="479"/>
        <v>26137946</v>
      </c>
    </row>
    <row r="3163" spans="1:10" x14ac:dyDescent="0.2">
      <c r="B3163" s="80"/>
      <c r="C3163" s="69"/>
      <c r="D3163" s="69"/>
      <c r="E3163" s="69"/>
      <c r="F3163" s="69"/>
      <c r="G3163" s="69"/>
      <c r="H3163" s="69"/>
      <c r="I3163" s="69"/>
      <c r="J3163" s="69"/>
    </row>
    <row r="3164" spans="1:10" x14ac:dyDescent="0.2">
      <c r="B3164" s="80" t="s">
        <v>2694</v>
      </c>
      <c r="C3164" s="69">
        <f>C937</f>
        <v>0</v>
      </c>
      <c r="D3164" s="69">
        <f t="shared" ref="D3164:J3164" si="480">D937</f>
        <v>0</v>
      </c>
      <c r="E3164" s="69">
        <f t="shared" si="480"/>
        <v>0</v>
      </c>
      <c r="F3164" s="69">
        <f t="shared" si="480"/>
        <v>0</v>
      </c>
      <c r="G3164" s="69">
        <f t="shared" si="480"/>
        <v>0</v>
      </c>
      <c r="H3164" s="69">
        <f t="shared" si="480"/>
        <v>2322154</v>
      </c>
      <c r="I3164" s="69">
        <f t="shared" si="480"/>
        <v>2322154</v>
      </c>
      <c r="J3164" s="69">
        <f t="shared" si="480"/>
        <v>2322154</v>
      </c>
    </row>
    <row r="3165" spans="1:10" x14ac:dyDescent="0.2">
      <c r="B3165" s="133"/>
      <c r="C3165" s="56"/>
      <c r="D3165" s="56"/>
      <c r="E3165" s="56"/>
      <c r="F3165" s="152"/>
      <c r="G3165" s="102"/>
      <c r="H3165" s="102"/>
      <c r="I3165" s="56"/>
      <c r="J3165" s="56"/>
    </row>
    <row r="3166" spans="1:10" x14ac:dyDescent="0.2">
      <c r="B3166" s="80" t="s">
        <v>4025</v>
      </c>
      <c r="C3166" s="73">
        <f>SUM(C3152:C3165)</f>
        <v>41186314.759999998</v>
      </c>
      <c r="D3166" s="73">
        <f t="shared" ref="D3166:J3166" si="481">SUM(D3152:D3165)</f>
        <v>50387438</v>
      </c>
      <c r="E3166" s="73">
        <f t="shared" si="481"/>
        <v>50790061</v>
      </c>
      <c r="F3166" s="73">
        <f t="shared" si="481"/>
        <v>41400145</v>
      </c>
      <c r="G3166" s="73">
        <f t="shared" si="481"/>
        <v>49586844</v>
      </c>
      <c r="H3166" s="73">
        <f t="shared" si="481"/>
        <v>79381701</v>
      </c>
      <c r="I3166" s="73">
        <f t="shared" si="481"/>
        <v>86339654</v>
      </c>
      <c r="J3166" s="73">
        <f t="shared" si="481"/>
        <v>94022401</v>
      </c>
    </row>
    <row r="3167" spans="1:10" s="5" customFormat="1" x14ac:dyDescent="0.2">
      <c r="A3167" s="37"/>
      <c r="B3167" s="80"/>
      <c r="C3167" s="73"/>
      <c r="D3167" s="73"/>
      <c r="E3167" s="73"/>
      <c r="F3167" s="2"/>
      <c r="G3167" s="2"/>
      <c r="H3167" s="2"/>
      <c r="I3167" s="73"/>
      <c r="J3167" s="73"/>
    </row>
    <row r="3168" spans="1:10" x14ac:dyDescent="0.2">
      <c r="B3168" s="80" t="s">
        <v>430</v>
      </c>
      <c r="C3168" s="69">
        <f t="shared" ref="C3168:J3168" si="482">C840+C2333+C2492+C2791</f>
        <v>5763609</v>
      </c>
      <c r="D3168" s="69">
        <f t="shared" si="482"/>
        <v>2856181</v>
      </c>
      <c r="E3168" s="69">
        <f t="shared" si="482"/>
        <v>2856181</v>
      </c>
      <c r="F3168" s="69">
        <f t="shared" si="482"/>
        <v>735398</v>
      </c>
      <c r="G3168" s="69">
        <f t="shared" si="482"/>
        <v>735398</v>
      </c>
      <c r="H3168" s="69">
        <f t="shared" si="482"/>
        <v>4169076</v>
      </c>
      <c r="I3168" s="69">
        <f t="shared" si="482"/>
        <v>4586106</v>
      </c>
      <c r="J3168" s="69">
        <f t="shared" si="482"/>
        <v>5220385</v>
      </c>
    </row>
    <row r="3169" spans="1:10" x14ac:dyDescent="0.2">
      <c r="B3169" s="80"/>
      <c r="C3169" s="73"/>
      <c r="D3169" s="73"/>
      <c r="E3169" s="73"/>
      <c r="I3169" s="73"/>
      <c r="J3169" s="73"/>
    </row>
    <row r="3170" spans="1:10" x14ac:dyDescent="0.2">
      <c r="B3170" s="80" t="s">
        <v>4027</v>
      </c>
      <c r="C3170" s="69">
        <f t="shared" ref="C3170:J3170" si="483">+C2547+C2849+C2376+C2671+C944+C2973</f>
        <v>0</v>
      </c>
      <c r="D3170" s="69">
        <f t="shared" si="483"/>
        <v>0</v>
      </c>
      <c r="E3170" s="69">
        <f t="shared" si="483"/>
        <v>0</v>
      </c>
      <c r="F3170" s="69">
        <f t="shared" si="483"/>
        <v>336000</v>
      </c>
      <c r="G3170" s="69">
        <f t="shared" si="483"/>
        <v>336000</v>
      </c>
      <c r="H3170" s="69">
        <f t="shared" si="483"/>
        <v>943127</v>
      </c>
      <c r="I3170" s="69">
        <f t="shared" si="483"/>
        <v>688564</v>
      </c>
      <c r="J3170" s="69">
        <f t="shared" si="483"/>
        <v>1271917</v>
      </c>
    </row>
    <row r="3171" spans="1:10" x14ac:dyDescent="0.2">
      <c r="B3171" s="80"/>
      <c r="C3171" s="73"/>
      <c r="D3171" s="73"/>
      <c r="E3171" s="73"/>
      <c r="I3171" s="73"/>
      <c r="J3171" s="73"/>
    </row>
    <row r="3172" spans="1:10" x14ac:dyDescent="0.2">
      <c r="B3172" s="80" t="s">
        <v>1095</v>
      </c>
      <c r="C3172" s="69">
        <f t="shared" ref="C3172:J3172" si="484">C94+C95+C96+C221+C222+C395+C689+C690+C691+C778+C851+C948+C949+C950+C1162+C1276+C1277+C1278+C1407+C1552+C1649+C1718+C1776+C1881+C1961+C2101+C2191+C2256+C2382+C2550+C2551+C2552+C2677+C2852+C2853+C2854+C3057</f>
        <v>1315758</v>
      </c>
      <c r="D3172" s="69">
        <f t="shared" si="484"/>
        <v>966099</v>
      </c>
      <c r="E3172" s="69">
        <f t="shared" si="484"/>
        <v>966099</v>
      </c>
      <c r="F3172" s="69">
        <f t="shared" si="484"/>
        <v>346363.91666666663</v>
      </c>
      <c r="G3172" s="69">
        <f t="shared" si="484"/>
        <v>360879.5</v>
      </c>
      <c r="H3172" s="69">
        <f t="shared" si="484"/>
        <v>1049582</v>
      </c>
      <c r="I3172" s="69">
        <f t="shared" si="484"/>
        <v>1122591</v>
      </c>
      <c r="J3172" s="69">
        <f t="shared" si="484"/>
        <v>1209087</v>
      </c>
    </row>
    <row r="3173" spans="1:10" x14ac:dyDescent="0.2">
      <c r="B3173" s="133"/>
      <c r="C3173" s="56"/>
      <c r="D3173" s="56"/>
      <c r="E3173" s="56"/>
      <c r="F3173" s="152"/>
      <c r="G3173" s="102"/>
      <c r="H3173" s="102"/>
      <c r="I3173" s="56"/>
      <c r="J3173" s="56"/>
    </row>
    <row r="3174" spans="1:10" x14ac:dyDescent="0.2">
      <c r="A3174" s="112"/>
      <c r="B3174" s="80" t="s">
        <v>4029</v>
      </c>
      <c r="C3174" s="72">
        <f t="shared" ref="C3174:J3174" si="485">SUM(C3166:C3172)</f>
        <v>48265681.759999998</v>
      </c>
      <c r="D3174" s="72">
        <f t="shared" si="485"/>
        <v>54209718</v>
      </c>
      <c r="E3174" s="72">
        <f t="shared" si="485"/>
        <v>54612341</v>
      </c>
      <c r="F3174" s="72">
        <f t="shared" si="485"/>
        <v>42817906.916666664</v>
      </c>
      <c r="G3174" s="72">
        <f t="shared" si="485"/>
        <v>51019121.5</v>
      </c>
      <c r="H3174" s="72">
        <f t="shared" si="485"/>
        <v>85543486</v>
      </c>
      <c r="I3174" s="72">
        <f t="shared" si="485"/>
        <v>92736915</v>
      </c>
      <c r="J3174" s="72">
        <f t="shared" si="485"/>
        <v>101723790</v>
      </c>
    </row>
    <row r="3175" spans="1:10" x14ac:dyDescent="0.2">
      <c r="B3175" s="80"/>
      <c r="C3175" s="69"/>
      <c r="D3175" s="69"/>
      <c r="E3175" s="69"/>
      <c r="F3175" s="139"/>
      <c r="I3175" s="135"/>
      <c r="J3175" s="69"/>
    </row>
    <row r="3176" spans="1:10" x14ac:dyDescent="0.2">
      <c r="B3176" s="80"/>
      <c r="C3176" s="69"/>
      <c r="D3176" s="69"/>
      <c r="E3176" s="69"/>
      <c r="F3176" s="139"/>
      <c r="I3176" s="135"/>
      <c r="J3176" s="69"/>
    </row>
    <row r="3177" spans="1:10" x14ac:dyDescent="0.2">
      <c r="B3177" s="80"/>
      <c r="C3177" s="69"/>
      <c r="D3177" s="69"/>
      <c r="E3177" s="69"/>
      <c r="F3177" s="139"/>
      <c r="I3177" s="135"/>
      <c r="J3177" s="69"/>
    </row>
    <row r="3178" spans="1:10" x14ac:dyDescent="0.2">
      <c r="B3178" s="80"/>
      <c r="C3178" s="69"/>
      <c r="D3178" s="69"/>
      <c r="E3178" s="69"/>
      <c r="F3178" s="139"/>
      <c r="I3178" s="135"/>
      <c r="J3178" s="69"/>
    </row>
    <row r="3179" spans="1:10" x14ac:dyDescent="0.2">
      <c r="B3179" s="80"/>
      <c r="C3179" s="69"/>
      <c r="D3179" s="69"/>
      <c r="E3179" s="69"/>
      <c r="F3179" s="139"/>
      <c r="I3179" s="135"/>
      <c r="J3179" s="69"/>
    </row>
    <row r="3180" spans="1:10" x14ac:dyDescent="0.2">
      <c r="B3180" s="80"/>
      <c r="C3180" s="69"/>
      <c r="D3180" s="69"/>
      <c r="E3180" s="69"/>
      <c r="F3180" s="139"/>
      <c r="I3180" s="135"/>
      <c r="J3180" s="69"/>
    </row>
    <row r="3181" spans="1:10" x14ac:dyDescent="0.2">
      <c r="F3181" s="139"/>
    </row>
    <row r="3182" spans="1:10" x14ac:dyDescent="0.2">
      <c r="A3182" s="6"/>
      <c r="B3182" s="6"/>
      <c r="C3182" s="6"/>
      <c r="D3182" s="6"/>
      <c r="E3182" s="6"/>
      <c r="F3182" s="139"/>
      <c r="I3182" s="6"/>
      <c r="J3182" s="6"/>
    </row>
    <row r="3183" spans="1:10" x14ac:dyDescent="0.2">
      <c r="A3183" s="6"/>
      <c r="B3183" s="6"/>
      <c r="C3183" s="6"/>
      <c r="D3183" s="6"/>
      <c r="E3183" s="6"/>
      <c r="F3183" s="139"/>
      <c r="I3183" s="6"/>
      <c r="J3183" s="6"/>
    </row>
    <row r="3184" spans="1:10" x14ac:dyDescent="0.2">
      <c r="A3184" s="6"/>
      <c r="B3184" s="6"/>
      <c r="C3184" s="6"/>
      <c r="D3184" s="6"/>
      <c r="E3184" s="6"/>
      <c r="F3184" s="139"/>
      <c r="I3184" s="6"/>
      <c r="J3184" s="6"/>
    </row>
    <row r="3185" spans="1:10" x14ac:dyDescent="0.2">
      <c r="A3185" s="6"/>
      <c r="B3185" s="6"/>
      <c r="C3185" s="6"/>
      <c r="D3185" s="6"/>
      <c r="E3185" s="6"/>
      <c r="F3185" s="139"/>
      <c r="I3185" s="6"/>
      <c r="J3185" s="6"/>
    </row>
    <row r="3186" spans="1:10" x14ac:dyDescent="0.2">
      <c r="A3186" s="6"/>
      <c r="B3186" s="6"/>
      <c r="C3186" s="6"/>
      <c r="D3186" s="6"/>
      <c r="E3186" s="6"/>
      <c r="F3186" s="139"/>
      <c r="I3186" s="6"/>
      <c r="J3186" s="6"/>
    </row>
    <row r="3187" spans="1:10" s="5" customFormat="1" x14ac:dyDescent="0.2">
      <c r="A3187" s="37"/>
      <c r="B3187" s="132" t="s">
        <v>4031</v>
      </c>
      <c r="C3187" s="69"/>
      <c r="D3187" s="69"/>
      <c r="E3187" s="69"/>
      <c r="F3187" s="139"/>
      <c r="G3187" s="2"/>
      <c r="H3187" s="2"/>
      <c r="I3187" s="135"/>
      <c r="J3187" s="69"/>
    </row>
    <row r="3188" spans="1:10" x14ac:dyDescent="0.2">
      <c r="B3188" s="80"/>
      <c r="C3188" s="69"/>
      <c r="D3188" s="69"/>
      <c r="E3188" s="69"/>
      <c r="F3188" s="139"/>
      <c r="I3188" s="135"/>
      <c r="J3188" s="69"/>
    </row>
    <row r="3189" spans="1:10" x14ac:dyDescent="0.2">
      <c r="B3189" s="80" t="s">
        <v>1094</v>
      </c>
      <c r="C3189" s="69">
        <f>C93+C223+C947+C1275+C1413+C2553+C2855+C2856</f>
        <v>122153</v>
      </c>
      <c r="D3189" s="69">
        <f t="shared" ref="D3189:J3189" si="486">D93+D223+D947+D1275+D1413+D2553+D2855+D2856</f>
        <v>0</v>
      </c>
      <c r="E3189" s="69">
        <f t="shared" si="486"/>
        <v>0</v>
      </c>
      <c r="F3189" s="69">
        <f t="shared" si="486"/>
        <v>0</v>
      </c>
      <c r="G3189" s="69">
        <f t="shared" si="486"/>
        <v>0</v>
      </c>
      <c r="H3189" s="69">
        <f t="shared" si="486"/>
        <v>0</v>
      </c>
      <c r="I3189" s="69">
        <f t="shared" si="486"/>
        <v>0</v>
      </c>
      <c r="J3189" s="69">
        <f t="shared" si="486"/>
        <v>0</v>
      </c>
    </row>
    <row r="3190" spans="1:10" x14ac:dyDescent="0.2">
      <c r="B3190" s="80"/>
      <c r="C3190" s="69"/>
      <c r="D3190" s="69"/>
      <c r="E3190" s="69"/>
      <c r="I3190" s="69"/>
      <c r="J3190" s="69"/>
    </row>
    <row r="3191" spans="1:10" x14ac:dyDescent="0.2">
      <c r="B3191" s="80" t="s">
        <v>1089</v>
      </c>
      <c r="C3191" s="96">
        <f t="shared" ref="C3191:J3191" si="487">C2861+C2558+C2683+C2982</f>
        <v>0</v>
      </c>
      <c r="D3191" s="96">
        <f t="shared" si="487"/>
        <v>14579000</v>
      </c>
      <c r="E3191" s="96">
        <f t="shared" si="487"/>
        <v>14579000</v>
      </c>
      <c r="F3191" s="96">
        <f t="shared" si="487"/>
        <v>0</v>
      </c>
      <c r="G3191" s="96">
        <f t="shared" si="487"/>
        <v>0</v>
      </c>
      <c r="H3191" s="96">
        <f t="shared" si="487"/>
        <v>0</v>
      </c>
      <c r="I3191" s="96">
        <f t="shared" si="487"/>
        <v>0</v>
      </c>
      <c r="J3191" s="96">
        <f t="shared" si="487"/>
        <v>0</v>
      </c>
    </row>
    <row r="3192" spans="1:10" x14ac:dyDescent="0.2">
      <c r="B3192" s="133"/>
      <c r="C3192" s="105"/>
      <c r="D3192" s="105"/>
      <c r="E3192" s="105"/>
      <c r="F3192" s="102"/>
      <c r="G3192" s="102"/>
      <c r="H3192" s="102"/>
      <c r="I3192" s="105"/>
      <c r="J3192" s="105"/>
    </row>
    <row r="3193" spans="1:10" x14ac:dyDescent="0.2">
      <c r="A3193" s="112"/>
      <c r="B3193" s="80" t="s">
        <v>4029</v>
      </c>
      <c r="C3193" s="72">
        <f>SUM(C3174:C3191)</f>
        <v>48387834.759999998</v>
      </c>
      <c r="D3193" s="72">
        <f t="shared" ref="D3193:J3193" si="488">SUM(D3174:D3191)</f>
        <v>68788718</v>
      </c>
      <c r="E3193" s="72">
        <f t="shared" si="488"/>
        <v>69191341</v>
      </c>
      <c r="F3193" s="72">
        <f t="shared" si="488"/>
        <v>42817906.916666664</v>
      </c>
      <c r="G3193" s="72">
        <f t="shared" si="488"/>
        <v>51019121.5</v>
      </c>
      <c r="H3193" s="72">
        <f t="shared" si="488"/>
        <v>85543486</v>
      </c>
      <c r="I3193" s="72">
        <f t="shared" si="488"/>
        <v>92736915</v>
      </c>
      <c r="J3193" s="72">
        <f t="shared" si="488"/>
        <v>101723790</v>
      </c>
    </row>
    <row r="3194" spans="1:10" x14ac:dyDescent="0.2">
      <c r="A3194" s="112"/>
      <c r="B3194" s="80"/>
      <c r="C3194" s="72"/>
      <c r="D3194" s="72"/>
      <c r="E3194" s="72"/>
      <c r="F3194" s="5"/>
      <c r="G3194" s="5"/>
      <c r="H3194" s="5"/>
      <c r="I3194" s="72"/>
      <c r="J3194" s="72"/>
    </row>
    <row r="3195" spans="1:10" x14ac:dyDescent="0.2">
      <c r="B3195" s="80" t="s">
        <v>1093</v>
      </c>
      <c r="C3195" s="96">
        <f>C692+C693+C694+C695+C696+C697+C698+C699</f>
        <v>12178579</v>
      </c>
      <c r="D3195" s="96">
        <f t="shared" ref="D3195:J3195" si="489">D692+D693+D694+D695+D696+D697+D698+D699</f>
        <v>7378472</v>
      </c>
      <c r="E3195" s="96">
        <f t="shared" si="489"/>
        <v>8054872</v>
      </c>
      <c r="F3195" s="96">
        <f t="shared" si="489"/>
        <v>3051325</v>
      </c>
      <c r="G3195" s="96">
        <f t="shared" si="489"/>
        <v>5048429</v>
      </c>
      <c r="H3195" s="96">
        <f t="shared" si="489"/>
        <v>11955795</v>
      </c>
      <c r="I3195" s="96">
        <f t="shared" si="489"/>
        <v>11965859</v>
      </c>
      <c r="J3195" s="96">
        <f t="shared" si="489"/>
        <v>11449642</v>
      </c>
    </row>
    <row r="3196" spans="1:10" x14ac:dyDescent="0.2">
      <c r="B3196" s="80"/>
      <c r="C3196" s="69"/>
      <c r="D3196" s="69"/>
      <c r="E3196" s="69"/>
      <c r="I3196" s="69"/>
      <c r="J3196" s="69"/>
    </row>
    <row r="3197" spans="1:10" ht="13.5" thickBot="1" x14ac:dyDescent="0.25">
      <c r="B3197" s="136" t="s">
        <v>4033</v>
      </c>
      <c r="C3197" s="140">
        <f t="shared" ref="C3197:J3197" si="490">+C3193+C3195</f>
        <v>60566413.759999998</v>
      </c>
      <c r="D3197" s="140">
        <f t="shared" si="490"/>
        <v>76167190</v>
      </c>
      <c r="E3197" s="140">
        <f t="shared" si="490"/>
        <v>77246213</v>
      </c>
      <c r="F3197" s="140">
        <f t="shared" si="490"/>
        <v>45869231.916666664</v>
      </c>
      <c r="G3197" s="140">
        <f t="shared" si="490"/>
        <v>56067550.5</v>
      </c>
      <c r="H3197" s="140">
        <f t="shared" si="490"/>
        <v>97499281</v>
      </c>
      <c r="I3197" s="140">
        <f t="shared" si="490"/>
        <v>104702774</v>
      </c>
      <c r="J3197" s="140">
        <f t="shared" si="490"/>
        <v>113173432</v>
      </c>
    </row>
    <row r="3198" spans="1:10" ht="13.5" thickTop="1" x14ac:dyDescent="0.2">
      <c r="B3198" s="80"/>
      <c r="C3198" s="72"/>
      <c r="D3198" s="72"/>
      <c r="E3198" s="72"/>
      <c r="I3198" s="72"/>
      <c r="J3198" s="72"/>
    </row>
    <row r="3199" spans="1:10" ht="13.5" thickBot="1" x14ac:dyDescent="0.25">
      <c r="B3199" s="141" t="s">
        <v>4034</v>
      </c>
      <c r="C3199" s="77">
        <f t="shared" ref="C3199:J3199" si="491">C3147-C3197</f>
        <v>-6423353.7599999979</v>
      </c>
      <c r="D3199" s="77">
        <f t="shared" si="491"/>
        <v>3230230</v>
      </c>
      <c r="E3199" s="77">
        <f t="shared" si="491"/>
        <v>3443099</v>
      </c>
      <c r="F3199" s="77">
        <f t="shared" si="491"/>
        <v>-7425514.7566666678</v>
      </c>
      <c r="G3199" s="77">
        <f t="shared" si="491"/>
        <v>6915189.4600000009</v>
      </c>
      <c r="H3199" s="77">
        <f>H3147-H3197</f>
        <v>853655</v>
      </c>
      <c r="I3199" s="77">
        <f t="shared" si="491"/>
        <v>2423746</v>
      </c>
      <c r="J3199" s="77">
        <f t="shared" si="491"/>
        <v>8484290</v>
      </c>
    </row>
    <row r="3200" spans="1:10" ht="13.5" thickTop="1" x14ac:dyDescent="0.2">
      <c r="B3200" s="80"/>
      <c r="C3200" s="78"/>
      <c r="D3200" s="78"/>
      <c r="E3200" s="78"/>
      <c r="I3200" s="78"/>
      <c r="J3200" s="78"/>
    </row>
    <row r="3201" spans="2:10" x14ac:dyDescent="0.2">
      <c r="B3201" s="80"/>
      <c r="C3201" s="78"/>
      <c r="D3201" s="78"/>
      <c r="E3201" s="78"/>
      <c r="I3201" s="78"/>
      <c r="J3201" s="78"/>
    </row>
    <row r="3202" spans="2:10" x14ac:dyDescent="0.2">
      <c r="B3202" s="80" t="s">
        <v>4035</v>
      </c>
      <c r="C3202" s="78">
        <v>0</v>
      </c>
      <c r="D3202" s="78">
        <v>1500000</v>
      </c>
      <c r="E3202" s="78">
        <f>1750000+250000</f>
        <v>2000000</v>
      </c>
      <c r="F3202" s="78">
        <v>0</v>
      </c>
      <c r="G3202" s="78">
        <v>0</v>
      </c>
      <c r="H3202" s="78">
        <v>0</v>
      </c>
      <c r="I3202" s="78">
        <v>0</v>
      </c>
      <c r="J3202" s="78">
        <f>3000000+3000000</f>
        <v>6000000</v>
      </c>
    </row>
    <row r="3203" spans="2:10" x14ac:dyDescent="0.2">
      <c r="B3203" s="80"/>
      <c r="C3203" s="78"/>
      <c r="D3203" s="78"/>
      <c r="E3203" s="78"/>
      <c r="F3203" s="78"/>
      <c r="G3203" s="78"/>
      <c r="H3203" s="78"/>
      <c r="I3203" s="78"/>
      <c r="J3203" s="131"/>
    </row>
    <row r="3204" spans="2:10" x14ac:dyDescent="0.2">
      <c r="B3204" s="80" t="s">
        <v>4367</v>
      </c>
      <c r="C3204" s="78">
        <v>0</v>
      </c>
      <c r="D3204" s="78">
        <v>0</v>
      </c>
      <c r="E3204" s="78">
        <v>0</v>
      </c>
      <c r="F3204" s="78">
        <v>0</v>
      </c>
      <c r="G3204" s="78">
        <v>0</v>
      </c>
      <c r="H3204" s="78">
        <v>0</v>
      </c>
      <c r="I3204" s="78">
        <f>2000000</f>
        <v>2000000</v>
      </c>
      <c r="J3204" s="131">
        <v>0</v>
      </c>
    </row>
    <row r="3205" spans="2:10" x14ac:dyDescent="0.2">
      <c r="B3205" s="80"/>
      <c r="C3205" s="78"/>
      <c r="D3205" s="78"/>
      <c r="E3205" s="78"/>
      <c r="F3205" s="78"/>
      <c r="G3205" s="78"/>
      <c r="H3205" s="78"/>
      <c r="I3205" s="78"/>
      <c r="J3205" s="131"/>
    </row>
    <row r="3206" spans="2:10" x14ac:dyDescent="0.2">
      <c r="B3206" s="80" t="s">
        <v>4036</v>
      </c>
      <c r="C3206" s="78">
        <v>0</v>
      </c>
      <c r="D3206" s="78">
        <f>37975*12</f>
        <v>455700</v>
      </c>
      <c r="E3206" s="78">
        <f>(37975*12)+30000</f>
        <v>485700</v>
      </c>
      <c r="F3206" s="78">
        <v>0</v>
      </c>
      <c r="G3206" s="78">
        <v>0</v>
      </c>
      <c r="H3206" s="78">
        <v>0</v>
      </c>
      <c r="I3206" s="78">
        <v>0</v>
      </c>
      <c r="J3206" s="78">
        <v>0</v>
      </c>
    </row>
    <row r="3207" spans="2:10" x14ac:dyDescent="0.2">
      <c r="B3207" s="80"/>
      <c r="C3207" s="78"/>
      <c r="D3207" s="78"/>
      <c r="E3207" s="78"/>
      <c r="F3207" s="78"/>
      <c r="G3207" s="78"/>
      <c r="H3207" s="78"/>
      <c r="I3207" s="78"/>
      <c r="J3207" s="78"/>
    </row>
    <row r="3208" spans="2:10" x14ac:dyDescent="0.2">
      <c r="B3208" s="80" t="s">
        <v>3516</v>
      </c>
      <c r="C3208" s="78">
        <v>0</v>
      </c>
      <c r="D3208" s="78">
        <v>0</v>
      </c>
      <c r="E3208" s="78">
        <v>0</v>
      </c>
      <c r="F3208" s="78">
        <v>0</v>
      </c>
      <c r="G3208" s="78">
        <v>0</v>
      </c>
      <c r="H3208" s="78">
        <v>0</v>
      </c>
      <c r="I3208" s="78">
        <v>0</v>
      </c>
      <c r="J3208" s="78">
        <v>0</v>
      </c>
    </row>
    <row r="3209" spans="2:10" x14ac:dyDescent="0.2">
      <c r="B3209" s="80"/>
      <c r="C3209" s="78"/>
      <c r="D3209" s="78"/>
      <c r="E3209" s="78"/>
      <c r="I3209" s="78"/>
      <c r="J3209" s="78"/>
    </row>
    <row r="3210" spans="2:10" ht="13.5" thickBot="1" x14ac:dyDescent="0.25">
      <c r="B3210" s="136" t="s">
        <v>4037</v>
      </c>
      <c r="C3210" s="142">
        <f>C3199-C3202-C3204-C3206-C3208</f>
        <v>-6423353.7599999979</v>
      </c>
      <c r="D3210" s="142">
        <f>D3199-D3202-D3204-D3206-D3208</f>
        <v>1274530</v>
      </c>
      <c r="E3210" s="142">
        <f t="shared" ref="E3210:J3210" si="492">E3199-E3202-E3204-E3206-E3208</f>
        <v>957399</v>
      </c>
      <c r="F3210" s="142">
        <f t="shared" si="492"/>
        <v>-7425514.7566666678</v>
      </c>
      <c r="G3210" s="142">
        <f t="shared" si="492"/>
        <v>6915189.4600000009</v>
      </c>
      <c r="H3210" s="142">
        <f t="shared" si="492"/>
        <v>853655</v>
      </c>
      <c r="I3210" s="142">
        <f t="shared" si="492"/>
        <v>423746</v>
      </c>
      <c r="J3210" s="142">
        <f t="shared" si="492"/>
        <v>2484290</v>
      </c>
    </row>
    <row r="3211" spans="2:10" ht="13.5" thickTop="1" x14ac:dyDescent="0.2">
      <c r="B3211" s="80"/>
      <c r="C3211" s="78"/>
      <c r="D3211" s="78"/>
      <c r="E3211" s="78"/>
      <c r="I3211" s="78"/>
      <c r="J3211" s="78"/>
    </row>
    <row r="3213" spans="2:10" x14ac:dyDescent="0.2">
      <c r="C3213" s="117"/>
      <c r="D3213" s="117"/>
      <c r="E3213" s="117"/>
      <c r="F3213" s="117"/>
      <c r="G3213" s="117"/>
      <c r="H3213" s="117"/>
      <c r="I3213" s="117"/>
      <c r="J3213" s="117"/>
    </row>
    <row r="3214" spans="2:10" x14ac:dyDescent="0.2">
      <c r="C3214" s="117"/>
    </row>
    <row r="3218" spans="1:13" x14ac:dyDescent="0.2">
      <c r="M3218" s="143"/>
    </row>
    <row r="3219" spans="1:13" x14ac:dyDescent="0.2">
      <c r="M3219" s="143"/>
    </row>
    <row r="3220" spans="1:13" x14ac:dyDescent="0.2">
      <c r="M3220" s="143"/>
    </row>
    <row r="3221" spans="1:13" x14ac:dyDescent="0.2">
      <c r="M3221" s="143"/>
    </row>
    <row r="3222" spans="1:13" x14ac:dyDescent="0.2">
      <c r="M3222" s="143"/>
    </row>
    <row r="3223" spans="1:13" x14ac:dyDescent="0.2">
      <c r="B3223" s="80"/>
      <c r="C3223" s="78"/>
      <c r="D3223" s="78"/>
      <c r="E3223" s="78"/>
      <c r="I3223" s="78"/>
      <c r="M3223" s="143"/>
    </row>
    <row r="3224" spans="1:13" x14ac:dyDescent="0.2">
      <c r="M3224" s="143"/>
    </row>
    <row r="3225" spans="1:13" x14ac:dyDescent="0.2">
      <c r="C3225" s="117"/>
      <c r="D3225" s="117"/>
      <c r="E3225" s="117"/>
      <c r="I3225" s="117"/>
      <c r="M3225" s="143"/>
    </row>
    <row r="3228" spans="1:13" x14ac:dyDescent="0.2">
      <c r="B3228" s="80"/>
      <c r="C3228" s="72"/>
      <c r="D3228" s="72"/>
      <c r="E3228" s="72"/>
      <c r="I3228" s="72"/>
    </row>
    <row r="3230" spans="1:13" x14ac:dyDescent="0.2">
      <c r="B3230" s="80"/>
      <c r="C3230" s="78"/>
      <c r="D3230" s="78"/>
      <c r="E3230" s="78"/>
      <c r="I3230" s="78"/>
    </row>
    <row r="3232" spans="1:13" x14ac:dyDescent="0.2">
      <c r="A3232" s="75"/>
    </row>
    <row r="3266" spans="2:10" x14ac:dyDescent="0.2">
      <c r="B3266" s="80" t="s">
        <v>4133</v>
      </c>
      <c r="C3266" s="73">
        <f t="shared" ref="C3266:J3266" si="493">C24+C616+C834+C983+C1057+C1214+C1609+C1678+C1754+C1839+C1913+C1988+C2220+C2310+C2470+C2610+C2769+C2920+C1359+C2063+C3030+C2144+C175+C263+C349+C430+C516+C1434</f>
        <v>54143060</v>
      </c>
      <c r="D3266" s="73">
        <f t="shared" si="493"/>
        <v>79397420</v>
      </c>
      <c r="E3266" s="73">
        <f t="shared" si="493"/>
        <v>80689312</v>
      </c>
      <c r="F3266" s="73">
        <f t="shared" si="493"/>
        <v>38443717.159999996</v>
      </c>
      <c r="G3266" s="73">
        <f t="shared" si="493"/>
        <v>62982739.959999993</v>
      </c>
      <c r="H3266" s="73">
        <f t="shared" si="493"/>
        <v>98352936</v>
      </c>
      <c r="I3266" s="73">
        <f t="shared" si="493"/>
        <v>107126520</v>
      </c>
      <c r="J3266" s="73">
        <f t="shared" si="493"/>
        <v>121657722</v>
      </c>
    </row>
    <row r="3267" spans="2:10" x14ac:dyDescent="0.2">
      <c r="B3267" s="80"/>
      <c r="C3267" s="73">
        <f t="shared" ref="C3267:J3267" si="494">+C3147</f>
        <v>54143060</v>
      </c>
      <c r="D3267" s="73">
        <f>+D3147</f>
        <v>79397420</v>
      </c>
      <c r="E3267" s="73">
        <f t="shared" si="494"/>
        <v>80689312</v>
      </c>
      <c r="F3267" s="73">
        <f t="shared" si="494"/>
        <v>38443717.159999996</v>
      </c>
      <c r="G3267" s="73">
        <f t="shared" si="494"/>
        <v>62982739.960000001</v>
      </c>
      <c r="H3267" s="73">
        <f t="shared" si="494"/>
        <v>98352936</v>
      </c>
      <c r="I3267" s="73">
        <f t="shared" si="494"/>
        <v>107126520</v>
      </c>
      <c r="J3267" s="73">
        <f t="shared" si="494"/>
        <v>121657722</v>
      </c>
    </row>
    <row r="3268" spans="2:10" x14ac:dyDescent="0.2">
      <c r="B3268" s="80"/>
      <c r="C3268" s="73">
        <f t="shared" ref="C3268:J3268" si="495">+C3266-C3267</f>
        <v>0</v>
      </c>
      <c r="D3268" s="73">
        <f>+D3266-D3267</f>
        <v>0</v>
      </c>
      <c r="E3268" s="73">
        <f t="shared" si="495"/>
        <v>0</v>
      </c>
      <c r="F3268" s="73">
        <f t="shared" si="495"/>
        <v>0</v>
      </c>
      <c r="G3268" s="73">
        <f t="shared" si="495"/>
        <v>0</v>
      </c>
      <c r="H3268" s="73">
        <f t="shared" si="495"/>
        <v>0</v>
      </c>
      <c r="I3268" s="73">
        <f t="shared" si="495"/>
        <v>0</v>
      </c>
      <c r="J3268" s="73">
        <f t="shared" si="495"/>
        <v>0</v>
      </c>
    </row>
    <row r="3269" spans="2:10" x14ac:dyDescent="0.2">
      <c r="B3269" s="80"/>
      <c r="C3269" s="73"/>
      <c r="D3269" s="73"/>
      <c r="E3269" s="73"/>
      <c r="I3269" s="73"/>
      <c r="J3269" s="73"/>
    </row>
    <row r="3270" spans="2:10" x14ac:dyDescent="0.2">
      <c r="B3270" s="80" t="s">
        <v>4134</v>
      </c>
      <c r="C3270" s="72">
        <f t="shared" ref="C3270:J3270" si="496">C99+C226+C702+C853+C1000+C1281+C1461+C1554+C1651+C1722+C1778+C1883+C1963+C2004+C2193+C2260+C2386+C2560+C2685+C2863+C2984+C304+C397+C473+C559+C780+C953+C1164+C1415+C2103+C3059</f>
        <v>60566413.759999998</v>
      </c>
      <c r="D3270" s="72">
        <f t="shared" si="496"/>
        <v>76167190</v>
      </c>
      <c r="E3270" s="72">
        <f t="shared" si="496"/>
        <v>77246213</v>
      </c>
      <c r="F3270" s="72">
        <f t="shared" si="496"/>
        <v>45869231.916666664</v>
      </c>
      <c r="G3270" s="72">
        <f t="shared" si="496"/>
        <v>56067550.500000022</v>
      </c>
      <c r="H3270" s="72">
        <f t="shared" si="496"/>
        <v>97499281</v>
      </c>
      <c r="I3270" s="72">
        <f t="shared" si="496"/>
        <v>104702774</v>
      </c>
      <c r="J3270" s="72">
        <f t="shared" si="496"/>
        <v>113173432</v>
      </c>
    </row>
    <row r="3271" spans="2:10" x14ac:dyDescent="0.2">
      <c r="B3271" s="80"/>
      <c r="C3271" s="72">
        <f t="shared" ref="C3271:J3271" si="497">+C3197</f>
        <v>60566413.759999998</v>
      </c>
      <c r="D3271" s="72">
        <f t="shared" si="497"/>
        <v>76167190</v>
      </c>
      <c r="E3271" s="72">
        <f t="shared" si="497"/>
        <v>77246213</v>
      </c>
      <c r="F3271" s="72">
        <f t="shared" si="497"/>
        <v>45869231.916666664</v>
      </c>
      <c r="G3271" s="72">
        <f t="shared" si="497"/>
        <v>56067550.5</v>
      </c>
      <c r="H3271" s="72">
        <f t="shared" si="497"/>
        <v>97499281</v>
      </c>
      <c r="I3271" s="72">
        <f t="shared" si="497"/>
        <v>104702774</v>
      </c>
      <c r="J3271" s="72">
        <f t="shared" si="497"/>
        <v>113173432</v>
      </c>
    </row>
    <row r="3272" spans="2:10" x14ac:dyDescent="0.2">
      <c r="B3272" s="80"/>
      <c r="C3272" s="72">
        <f t="shared" ref="C3272:J3272" si="498">+C3270-C3271</f>
        <v>0</v>
      </c>
      <c r="D3272" s="72">
        <f t="shared" si="498"/>
        <v>0</v>
      </c>
      <c r="E3272" s="72">
        <f t="shared" si="498"/>
        <v>0</v>
      </c>
      <c r="F3272" s="72">
        <f t="shared" si="498"/>
        <v>0</v>
      </c>
      <c r="G3272" s="72">
        <f t="shared" si="498"/>
        <v>0</v>
      </c>
      <c r="H3272" s="72">
        <f t="shared" si="498"/>
        <v>0</v>
      </c>
      <c r="I3272" s="72">
        <f t="shared" si="498"/>
        <v>0</v>
      </c>
      <c r="J3272" s="72">
        <f t="shared" si="498"/>
        <v>0</v>
      </c>
    </row>
    <row r="3273" spans="2:10" x14ac:dyDescent="0.2">
      <c r="B3273" s="80"/>
      <c r="C3273" s="72"/>
      <c r="D3273" s="72"/>
      <c r="E3273" s="72"/>
      <c r="I3273" s="72"/>
      <c r="J3273" s="72"/>
    </row>
    <row r="3274" spans="2:10" ht="13.5" thickBot="1" x14ac:dyDescent="0.25">
      <c r="B3274" s="80" t="s">
        <v>4135</v>
      </c>
      <c r="C3274" s="142">
        <f t="shared" ref="C3274:J3274" si="499">C101+C228+C704+C855+C1002+C1059+C1283+C1463+C1556+C1653+C1724+C1780+C1885+C1965+C2006+C2195+C2262+C2388+C2562+C2687+C2865+C2986+C306+C399+C475+C561+C782+C955+C1166+C1417+C2105+C3061</f>
        <v>-6423353.7599999998</v>
      </c>
      <c r="D3274" s="142">
        <f t="shared" si="499"/>
        <v>3230230</v>
      </c>
      <c r="E3274" s="142">
        <f t="shared" si="499"/>
        <v>3443099</v>
      </c>
      <c r="F3274" s="142">
        <f t="shared" si="499"/>
        <v>-7425514.7566666659</v>
      </c>
      <c r="G3274" s="142">
        <f t="shared" si="499"/>
        <v>6915189.4600000009</v>
      </c>
      <c r="H3274" s="142">
        <f t="shared" si="499"/>
        <v>853655</v>
      </c>
      <c r="I3274" s="142">
        <f t="shared" si="499"/>
        <v>2423746</v>
      </c>
      <c r="J3274" s="142">
        <f t="shared" si="499"/>
        <v>8484290</v>
      </c>
    </row>
    <row r="3275" spans="2:10" ht="13.5" thickTop="1" x14ac:dyDescent="0.2">
      <c r="B3275" s="80"/>
      <c r="C3275" s="78">
        <f t="shared" ref="C3275:J3275" si="500">+C3199</f>
        <v>-6423353.7599999979</v>
      </c>
      <c r="D3275" s="78">
        <f t="shared" si="500"/>
        <v>3230230</v>
      </c>
      <c r="E3275" s="78">
        <f t="shared" si="500"/>
        <v>3443099</v>
      </c>
      <c r="F3275" s="78">
        <f t="shared" si="500"/>
        <v>-7425514.7566666678</v>
      </c>
      <c r="G3275" s="78">
        <f t="shared" si="500"/>
        <v>6915189.4600000009</v>
      </c>
      <c r="H3275" s="78">
        <f t="shared" si="500"/>
        <v>853655</v>
      </c>
      <c r="I3275" s="78">
        <f t="shared" si="500"/>
        <v>2423746</v>
      </c>
      <c r="J3275" s="78">
        <f t="shared" si="500"/>
        <v>8484290</v>
      </c>
    </row>
    <row r="3276" spans="2:10" x14ac:dyDescent="0.2">
      <c r="B3276" s="80"/>
      <c r="C3276" s="78">
        <f t="shared" ref="C3276:J3276" si="501">+C3274-C3275</f>
        <v>0</v>
      </c>
      <c r="D3276" s="78">
        <f t="shared" si="501"/>
        <v>0</v>
      </c>
      <c r="E3276" s="78">
        <f t="shared" si="501"/>
        <v>0</v>
      </c>
      <c r="F3276" s="78">
        <f t="shared" si="501"/>
        <v>0</v>
      </c>
      <c r="G3276" s="78">
        <f t="shared" si="501"/>
        <v>0</v>
      </c>
      <c r="H3276" s="78">
        <f t="shared" si="501"/>
        <v>0</v>
      </c>
      <c r="I3276" s="78">
        <f t="shared" si="501"/>
        <v>0</v>
      </c>
      <c r="J3276" s="78">
        <f t="shared" si="501"/>
        <v>0</v>
      </c>
    </row>
    <row r="3281" spans="2:11" x14ac:dyDescent="0.2">
      <c r="B3281" s="39" t="s">
        <v>472</v>
      </c>
      <c r="C3281" s="651">
        <f t="shared" ref="C3281:J3281" si="502">+C39+C193+C281+C367+C448+C534+C621+C741+C899+C1127+C1219+C1364+C1439+C1517+C1614+C1683+C1844+C1918+C2068+C2149+C2225+C2315+C2475+C2615+C2774+C2925+C3035</f>
        <v>12520408</v>
      </c>
      <c r="D3281" s="651">
        <f t="shared" si="502"/>
        <v>14401420</v>
      </c>
      <c r="E3281" s="651">
        <f t="shared" si="502"/>
        <v>13959976</v>
      </c>
      <c r="F3281" s="651">
        <f t="shared" si="502"/>
        <v>11649554</v>
      </c>
      <c r="G3281" s="651">
        <f t="shared" si="502"/>
        <v>13979464.799999999</v>
      </c>
      <c r="H3281" s="651">
        <f t="shared" si="502"/>
        <v>20103952</v>
      </c>
      <c r="I3281" s="651">
        <f t="shared" si="502"/>
        <v>21712270</v>
      </c>
      <c r="J3281" s="651">
        <f t="shared" si="502"/>
        <v>23449253</v>
      </c>
    </row>
    <row r="3282" spans="2:11" x14ac:dyDescent="0.2">
      <c r="B3282" s="39" t="s">
        <v>28</v>
      </c>
      <c r="C3282" s="651">
        <f>+C44+C198+C286+C372+C453+C539+C626+C7497+C746+C904+C1132+C1224+C1369+C1444+C1522+C1619+C1688+C1849+C1923+C2077+C2154+C2230+C2320+C2480+C2620+C2779+C2930+C3039</f>
        <v>1064788</v>
      </c>
      <c r="D3282" s="651">
        <f t="shared" ref="D3282:J3282" si="503">+D44+D198+D286+D372+D453+D539+D626+D7494+D746+D904+D1132+D1224+D1369+D1444+D1522+D1619+D1688+D1849+D1923+D2077+D2154+D2230+D2320+D2480+D2620+D2779+D2930+D3039</f>
        <v>1189599</v>
      </c>
      <c r="E3282" s="651">
        <f t="shared" si="503"/>
        <v>1190677</v>
      </c>
      <c r="F3282" s="651">
        <f t="shared" si="503"/>
        <v>976681</v>
      </c>
      <c r="G3282" s="651">
        <f t="shared" si="503"/>
        <v>1172017.2000000002</v>
      </c>
      <c r="H3282" s="651">
        <f t="shared" si="503"/>
        <v>1675331</v>
      </c>
      <c r="I3282" s="651">
        <f t="shared" si="503"/>
        <v>1809358</v>
      </c>
      <c r="J3282" s="651">
        <f t="shared" si="503"/>
        <v>1954105</v>
      </c>
    </row>
    <row r="3283" spans="2:11" x14ac:dyDescent="0.2">
      <c r="B3283" s="39" t="s">
        <v>481</v>
      </c>
      <c r="C3283" s="651">
        <f t="shared" ref="C3283:J3283" si="504">+C42+C196+C284+C370+C451+C537+C624+C744+C902+C1130+C1222+C1367+C1442+C1520+C1617+C1686+C1847+C1921+C2071+C2152+C2228+C2318+C2478+C2618+C2777+C2928+C3037</f>
        <v>140843</v>
      </c>
      <c r="D3283" s="651">
        <f t="shared" si="504"/>
        <v>251654</v>
      </c>
      <c r="E3283" s="651">
        <f t="shared" si="504"/>
        <v>252220</v>
      </c>
      <c r="F3283" s="651">
        <f t="shared" si="504"/>
        <v>131377</v>
      </c>
      <c r="G3283" s="651">
        <f t="shared" si="504"/>
        <v>157652.39999999997</v>
      </c>
      <c r="H3283" s="651">
        <f t="shared" si="504"/>
        <v>336625</v>
      </c>
      <c r="I3283" s="651">
        <f t="shared" si="504"/>
        <v>363556</v>
      </c>
      <c r="J3283" s="651">
        <f t="shared" si="504"/>
        <v>392644</v>
      </c>
    </row>
    <row r="3284" spans="2:11" x14ac:dyDescent="0.2">
      <c r="B3284" s="39" t="s">
        <v>4044</v>
      </c>
      <c r="C3284" s="651">
        <f t="shared" ref="C3284:J3284" si="505">+C49+C203+C291+C377+C458+C544+C631+C751+C909+C1136+C1229+C1374+C1449+C1529+C1623+C1693+C1854+C1928+C2079+C2159+C2236+C2325+C2484+C2625+C2785+C2936+C3041</f>
        <v>161248</v>
      </c>
      <c r="D3284" s="651">
        <f t="shared" si="505"/>
        <v>297209</v>
      </c>
      <c r="E3284" s="651">
        <f t="shared" si="505"/>
        <v>297209</v>
      </c>
      <c r="F3284" s="651">
        <f t="shared" si="505"/>
        <v>70462</v>
      </c>
      <c r="G3284" s="651">
        <f t="shared" si="505"/>
        <v>84554.4</v>
      </c>
      <c r="H3284" s="651">
        <f t="shared" si="505"/>
        <v>410796</v>
      </c>
      <c r="I3284" s="651">
        <f t="shared" si="505"/>
        <v>443661</v>
      </c>
      <c r="J3284" s="651">
        <f t="shared" si="505"/>
        <v>479157</v>
      </c>
    </row>
    <row r="3285" spans="2:11" x14ac:dyDescent="0.2">
      <c r="B3285" s="39" t="s">
        <v>482</v>
      </c>
      <c r="C3285" s="651">
        <f t="shared" ref="C3285:J3285" si="506">+C43+C197+C285+C371+C452+C538+C625+C745+C903+C1131+C1223+C1368+C1443+C1521+C1618+C1687+C1848+C1922+C2072+C2153+C2229+C2319+C2479+C2619+C2778+C2929+C3038</f>
        <v>8776</v>
      </c>
      <c r="D3285" s="651">
        <f t="shared" si="506"/>
        <v>8027</v>
      </c>
      <c r="E3285" s="651">
        <f t="shared" si="506"/>
        <v>8271</v>
      </c>
      <c r="F3285" s="651">
        <f t="shared" si="506"/>
        <v>7604</v>
      </c>
      <c r="G3285" s="651">
        <f t="shared" si="506"/>
        <v>9124.7999999999993</v>
      </c>
      <c r="H3285" s="651">
        <f t="shared" si="506"/>
        <v>11070</v>
      </c>
      <c r="I3285" s="651">
        <f t="shared" si="506"/>
        <v>11958</v>
      </c>
      <c r="J3285" s="651">
        <f t="shared" si="506"/>
        <v>12915</v>
      </c>
    </row>
    <row r="3286" spans="2:11" x14ac:dyDescent="0.2">
      <c r="B3286" s="39" t="s">
        <v>1065</v>
      </c>
      <c r="C3286" s="651">
        <f t="shared" ref="C3286:J3286" si="507">+C51+C205+C293+C379+C460+C546+C634+C753+C911+C1138+C1232+C1376+C1451+C1528+C1625+C1694+C1759+C1856+C1930+C2080+C2162+C2237+C2328+C2487+C2627+C2786+C2937+C3042</f>
        <v>149911</v>
      </c>
      <c r="D3286" s="651">
        <f t="shared" si="507"/>
        <v>277271</v>
      </c>
      <c r="E3286" s="651">
        <f t="shared" si="507"/>
        <v>277271</v>
      </c>
      <c r="F3286" s="651">
        <f t="shared" si="507"/>
        <v>0</v>
      </c>
      <c r="G3286" s="651">
        <f t="shared" si="507"/>
        <v>0</v>
      </c>
      <c r="H3286" s="651">
        <f t="shared" si="507"/>
        <v>382043</v>
      </c>
      <c r="I3286" s="651">
        <f t="shared" si="507"/>
        <v>412607</v>
      </c>
      <c r="J3286" s="651">
        <f t="shared" si="507"/>
        <v>445615</v>
      </c>
    </row>
    <row r="3287" spans="2:11" x14ac:dyDescent="0.2">
      <c r="B3287" s="39" t="s">
        <v>3421</v>
      </c>
      <c r="C3287" s="651">
        <f t="shared" ref="C3287:J3287" si="508">+C41+C195+C283+C369+C450+C536+C623+C743+C901+C1129+C1221+C1366+C1441+C1519+C1616+C1685+C1846+C1920+C2070+C2151+C2227+C2317+C2477+C2617+C2776+C2927+C3036</f>
        <v>2225298</v>
      </c>
      <c r="D3287" s="651">
        <f t="shared" si="508"/>
        <v>1424724</v>
      </c>
      <c r="E3287" s="651">
        <f t="shared" si="508"/>
        <v>1650670</v>
      </c>
      <c r="F3287" s="651">
        <f t="shared" si="508"/>
        <v>2077512</v>
      </c>
      <c r="G3287" s="651">
        <f t="shared" si="508"/>
        <v>2493014.4</v>
      </c>
      <c r="H3287" s="651">
        <f t="shared" si="508"/>
        <v>3318100</v>
      </c>
      <c r="I3287" s="651">
        <f t="shared" si="508"/>
        <v>3583546</v>
      </c>
      <c r="J3287" s="651">
        <f t="shared" si="508"/>
        <v>3870231</v>
      </c>
    </row>
    <row r="3288" spans="2:11" x14ac:dyDescent="0.2">
      <c r="B3288" s="39" t="s">
        <v>3422</v>
      </c>
      <c r="C3288" s="651">
        <f t="shared" ref="C3288:J3288" si="509">+C40+C194+C282+C368+C449+C535+C622+C742+C900+C1128+C1220+C1365+C1440+C1518+C1615+C1684+C1845+C1919+C2069+C2150+C2226+C2316+C2476+C2616+C2775+C2926</f>
        <v>781088</v>
      </c>
      <c r="D3288" s="651">
        <f t="shared" si="509"/>
        <v>548343</v>
      </c>
      <c r="E3288" s="651">
        <f t="shared" si="509"/>
        <v>726550</v>
      </c>
      <c r="F3288" s="651">
        <f t="shared" si="509"/>
        <v>801772</v>
      </c>
      <c r="G3288" s="651">
        <f t="shared" si="509"/>
        <v>962126.4</v>
      </c>
      <c r="H3288" s="651">
        <f t="shared" si="509"/>
        <v>1061346</v>
      </c>
      <c r="I3288" s="651">
        <f t="shared" si="509"/>
        <v>1146256</v>
      </c>
      <c r="J3288" s="651">
        <f t="shared" si="509"/>
        <v>1237957</v>
      </c>
    </row>
    <row r="3289" spans="2:11" x14ac:dyDescent="0.2">
      <c r="B3289" s="39" t="s">
        <v>3423</v>
      </c>
      <c r="C3289" s="651">
        <f t="shared" ref="C3289:J3289" si="510">+C46+C200+C288+C374+C455+C541+C628+C748+C906+C1226+C1371+C1446+C1524+C1851+C1925+C2075+C2156+C2233+C2322+C2622+C2781+C2932</f>
        <v>66590</v>
      </c>
      <c r="D3289" s="651">
        <f t="shared" si="510"/>
        <v>53826</v>
      </c>
      <c r="E3289" s="651">
        <f t="shared" si="510"/>
        <v>59996</v>
      </c>
      <c r="F3289" s="651">
        <f t="shared" si="510"/>
        <v>41129</v>
      </c>
      <c r="G3289" s="651">
        <f t="shared" si="510"/>
        <v>49354.8</v>
      </c>
      <c r="H3289" s="651">
        <f t="shared" si="510"/>
        <v>44371</v>
      </c>
      <c r="I3289" s="651">
        <f t="shared" si="510"/>
        <v>47920</v>
      </c>
      <c r="J3289" s="651">
        <f t="shared" si="510"/>
        <v>51753</v>
      </c>
    </row>
    <row r="3290" spans="2:11" x14ac:dyDescent="0.2">
      <c r="B3290" s="39" t="s">
        <v>3424</v>
      </c>
      <c r="C3290" s="651">
        <f t="shared" ref="C3290:J3290" si="511">+C48+C202+C290+C376+C457+C543+C630+C750+C908+C1135+C1228+C1373+C1448+C1526+C1622+C1691+C1853+C1927+C2074+C2158+C2232+C2324+C2483+C2624+C2783+C2934</f>
        <v>9300</v>
      </c>
      <c r="D3290" s="651">
        <f t="shared" si="511"/>
        <v>238743</v>
      </c>
      <c r="E3290" s="651">
        <f t="shared" si="511"/>
        <v>257618</v>
      </c>
      <c r="F3290" s="651">
        <f t="shared" si="511"/>
        <v>241204</v>
      </c>
      <c r="G3290" s="651">
        <f t="shared" si="511"/>
        <v>289444.80000000005</v>
      </c>
      <c r="H3290" s="651">
        <f t="shared" si="511"/>
        <v>902245</v>
      </c>
      <c r="I3290" s="651">
        <f t="shared" si="511"/>
        <v>974425</v>
      </c>
      <c r="J3290" s="651">
        <f t="shared" si="511"/>
        <v>1052379</v>
      </c>
    </row>
    <row r="3291" spans="2:11" x14ac:dyDescent="0.2">
      <c r="B3291" s="39" t="s">
        <v>3425</v>
      </c>
      <c r="C3291" s="651">
        <f t="shared" ref="C3291:J3291" si="512">+C45+C199+C287+C373+C454+C540+C627+C747+C905+C1133+C1225+C1370+C1445+C1523+C1620+C1689+C1850+C1924+C2073+C2155+C2231+C2321+C2481+C2621+C2780+C2931</f>
        <v>42630</v>
      </c>
      <c r="D3291" s="651">
        <f t="shared" si="512"/>
        <v>0</v>
      </c>
      <c r="E3291" s="651">
        <f t="shared" si="512"/>
        <v>0</v>
      </c>
      <c r="F3291" s="651">
        <f t="shared" si="512"/>
        <v>0</v>
      </c>
      <c r="G3291" s="651">
        <f t="shared" si="512"/>
        <v>0</v>
      </c>
      <c r="H3291" s="651">
        <f t="shared" si="512"/>
        <v>63654</v>
      </c>
      <c r="I3291" s="651">
        <f t="shared" si="512"/>
        <v>68746</v>
      </c>
      <c r="J3291" s="651">
        <f t="shared" si="512"/>
        <v>74246</v>
      </c>
    </row>
    <row r="3292" spans="2:11" x14ac:dyDescent="0.2">
      <c r="B3292" s="39" t="s">
        <v>3426</v>
      </c>
      <c r="C3292" s="651">
        <f t="shared" ref="C3292:J3292" si="513">+C50+C204+C292+C378+C459+C545+C633+C752+C910+C1137+C1231+C1375+C1450+C1527+C1624+C1692+C1855+C1929+C2076+C2160+C2234+C2326+C2485+C2626+C2784+C2935</f>
        <v>272538</v>
      </c>
      <c r="D3292" s="651">
        <f t="shared" si="513"/>
        <v>251562</v>
      </c>
      <c r="E3292" s="651">
        <f t="shared" si="513"/>
        <v>261018</v>
      </c>
      <c r="F3292" s="651">
        <f t="shared" si="513"/>
        <v>159018</v>
      </c>
      <c r="G3292" s="651">
        <f t="shared" si="513"/>
        <v>190821.6</v>
      </c>
      <c r="H3292" s="651">
        <f t="shared" si="513"/>
        <v>273557</v>
      </c>
      <c r="I3292" s="651">
        <f t="shared" si="513"/>
        <v>295441</v>
      </c>
      <c r="J3292" s="651">
        <f t="shared" si="513"/>
        <v>319075</v>
      </c>
    </row>
    <row r="3293" spans="2:11" x14ac:dyDescent="0.2">
      <c r="B3293" s="39" t="s">
        <v>445</v>
      </c>
      <c r="C3293" s="651">
        <f t="shared" ref="C3293:J3293" si="514">+C47+C201+C289+C375+C456+C542+C629+C749+C907+C1134+C1227+C1372+C1447+C1525+C1621+C1690+C1852+C1926+C2078+C2157+C2235+C2323+C2482+C2623+C2782+C2933+C3040</f>
        <v>831444</v>
      </c>
      <c r="D3293" s="651">
        <f t="shared" si="514"/>
        <v>1012719</v>
      </c>
      <c r="E3293" s="651">
        <f t="shared" si="514"/>
        <v>1013621</v>
      </c>
      <c r="F3293" s="651">
        <f t="shared" si="514"/>
        <v>783864</v>
      </c>
      <c r="G3293" s="651">
        <f t="shared" si="514"/>
        <v>940636.8</v>
      </c>
      <c r="H3293" s="651">
        <f t="shared" si="514"/>
        <v>866828</v>
      </c>
      <c r="I3293" s="651">
        <f t="shared" si="514"/>
        <v>936176</v>
      </c>
      <c r="J3293" s="651">
        <f t="shared" si="514"/>
        <v>1011070</v>
      </c>
    </row>
    <row r="3294" spans="2:11" x14ac:dyDescent="0.2">
      <c r="B3294" s="39" t="s">
        <v>242</v>
      </c>
      <c r="C3294" s="651">
        <f>+C1760+C2161+C2327+C2486</f>
        <v>170980</v>
      </c>
      <c r="D3294" s="651">
        <f t="shared" ref="D3294:J3294" si="515">+D1760+D2161+D2327+D2486</f>
        <v>0</v>
      </c>
      <c r="E3294" s="651">
        <f t="shared" si="515"/>
        <v>0</v>
      </c>
      <c r="F3294" s="651">
        <f t="shared" si="515"/>
        <v>130576</v>
      </c>
      <c r="G3294" s="651">
        <f t="shared" si="515"/>
        <v>156691.20000000001</v>
      </c>
      <c r="H3294" s="651">
        <f t="shared" si="515"/>
        <v>0</v>
      </c>
      <c r="I3294" s="651">
        <f t="shared" si="515"/>
        <v>0</v>
      </c>
      <c r="J3294" s="651">
        <f t="shared" si="515"/>
        <v>0</v>
      </c>
    </row>
    <row r="3295" spans="2:11" x14ac:dyDescent="0.2">
      <c r="B3295" s="39" t="s">
        <v>4081</v>
      </c>
      <c r="C3295" s="651">
        <f>+C632</f>
        <v>238750</v>
      </c>
      <c r="D3295" s="651">
        <f t="shared" ref="D3295:J3295" si="516">+D632</f>
        <v>331197</v>
      </c>
      <c r="E3295" s="651">
        <f t="shared" si="516"/>
        <v>331197</v>
      </c>
      <c r="F3295" s="651">
        <f t="shared" si="516"/>
        <v>301286</v>
      </c>
      <c r="G3295" s="651">
        <f t="shared" si="516"/>
        <v>361543.19999999995</v>
      </c>
      <c r="H3295" s="651">
        <f t="shared" si="516"/>
        <v>196983</v>
      </c>
      <c r="I3295" s="651">
        <f t="shared" si="516"/>
        <v>212742</v>
      </c>
      <c r="J3295" s="651">
        <f t="shared" si="516"/>
        <v>229761</v>
      </c>
    </row>
    <row r="3296" spans="2:11" x14ac:dyDescent="0.2">
      <c r="B3296" s="39" t="s">
        <v>3427</v>
      </c>
      <c r="C3296" s="653">
        <f>+C1230</f>
        <v>0</v>
      </c>
      <c r="D3296" s="653">
        <f t="shared" ref="D3296:J3296" si="517">+D1230</f>
        <v>34003</v>
      </c>
      <c r="E3296" s="653">
        <f t="shared" si="517"/>
        <v>34003</v>
      </c>
      <c r="F3296" s="653">
        <f t="shared" si="517"/>
        <v>0</v>
      </c>
      <c r="G3296" s="653">
        <f t="shared" si="517"/>
        <v>0</v>
      </c>
      <c r="H3296" s="653">
        <f t="shared" si="517"/>
        <v>26127</v>
      </c>
      <c r="I3296" s="653">
        <f t="shared" si="517"/>
        <v>28217</v>
      </c>
      <c r="J3296" s="653">
        <f t="shared" si="517"/>
        <v>30474</v>
      </c>
      <c r="K3296" s="651"/>
    </row>
    <row r="3297" spans="2:11" x14ac:dyDescent="0.2">
      <c r="C3297" s="121">
        <f>SUM(C3281:C3296)</f>
        <v>18684592</v>
      </c>
      <c r="D3297" s="121">
        <f t="shared" ref="D3297:J3297" si="518">SUM(D3281:D3296)</f>
        <v>20320297</v>
      </c>
      <c r="E3297" s="121">
        <f t="shared" si="518"/>
        <v>20320297</v>
      </c>
      <c r="F3297" s="121">
        <f t="shared" si="518"/>
        <v>17372039</v>
      </c>
      <c r="G3297" s="121">
        <f t="shared" si="518"/>
        <v>20846446.800000001</v>
      </c>
      <c r="H3297" s="121">
        <f t="shared" si="518"/>
        <v>29673028</v>
      </c>
      <c r="I3297" s="121">
        <f t="shared" si="518"/>
        <v>32046879</v>
      </c>
      <c r="J3297" s="121">
        <f t="shared" si="518"/>
        <v>34610635</v>
      </c>
    </row>
    <row r="3298" spans="2:11" x14ac:dyDescent="0.2">
      <c r="C3298" s="121"/>
    </row>
    <row r="3299" spans="2:11" x14ac:dyDescent="0.2">
      <c r="B3299" s="652" t="s">
        <v>3428</v>
      </c>
    </row>
    <row r="3300" spans="2:11" x14ac:dyDescent="0.2">
      <c r="B3300" s="39" t="s">
        <v>472</v>
      </c>
      <c r="C3300" s="651">
        <f>+C180+C268+C354+C435+C521</f>
        <v>599708</v>
      </c>
      <c r="D3300" s="651">
        <f t="shared" ref="D3300:J3300" si="519">+D180+D268+D354+D435+D521</f>
        <v>1735229</v>
      </c>
      <c r="E3300" s="651">
        <f t="shared" si="519"/>
        <v>1559467</v>
      </c>
      <c r="F3300" s="651">
        <f t="shared" si="519"/>
        <v>840942</v>
      </c>
      <c r="G3300" s="651">
        <f t="shared" si="519"/>
        <v>1009130.4</v>
      </c>
      <c r="H3300" s="651">
        <f t="shared" si="519"/>
        <v>1844210</v>
      </c>
      <c r="I3300" s="651">
        <f t="shared" si="519"/>
        <v>1991748</v>
      </c>
      <c r="J3300" s="651">
        <f t="shared" si="519"/>
        <v>2151087</v>
      </c>
    </row>
    <row r="3301" spans="2:11" x14ac:dyDescent="0.2">
      <c r="B3301" s="39" t="s">
        <v>2725</v>
      </c>
      <c r="C3301" s="651">
        <f>+C181+C269+C355+C436+C522</f>
        <v>0</v>
      </c>
      <c r="D3301" s="651">
        <f t="shared" ref="D3301:J3301" si="520">+D181+D269+D355+D436+D522</f>
        <v>0</v>
      </c>
      <c r="E3301" s="651">
        <f t="shared" si="520"/>
        <v>0</v>
      </c>
      <c r="F3301" s="651">
        <f t="shared" si="520"/>
        <v>0</v>
      </c>
      <c r="G3301" s="651">
        <f t="shared" si="520"/>
        <v>0</v>
      </c>
      <c r="H3301" s="651">
        <f t="shared" si="520"/>
        <v>65503</v>
      </c>
      <c r="I3301" s="651">
        <f t="shared" si="520"/>
        <v>70744</v>
      </c>
      <c r="J3301" s="651">
        <f t="shared" si="520"/>
        <v>76404</v>
      </c>
    </row>
    <row r="3302" spans="2:11" x14ac:dyDescent="0.2">
      <c r="B3302" s="39" t="s">
        <v>28</v>
      </c>
      <c r="C3302" s="651">
        <f>+C186+C274+C360+C441+C527</f>
        <v>14027</v>
      </c>
      <c r="D3302" s="651">
        <f t="shared" ref="D3302:J3302" si="521">+D186+D274+D360+D441+D527</f>
        <v>152769</v>
      </c>
      <c r="E3302" s="651">
        <f t="shared" si="521"/>
        <v>152769</v>
      </c>
      <c r="F3302" s="651">
        <f t="shared" si="521"/>
        <v>45005</v>
      </c>
      <c r="G3302" s="651">
        <f t="shared" si="521"/>
        <v>54006</v>
      </c>
      <c r="H3302" s="651">
        <f t="shared" si="521"/>
        <v>153683</v>
      </c>
      <c r="I3302" s="651">
        <f t="shared" si="521"/>
        <v>165977</v>
      </c>
      <c r="J3302" s="651">
        <f t="shared" si="521"/>
        <v>179257</v>
      </c>
    </row>
    <row r="3303" spans="2:11" x14ac:dyDescent="0.2">
      <c r="B3303" s="39" t="s">
        <v>481</v>
      </c>
      <c r="C3303" s="651">
        <f>+C184+C272+C358+C439+C525</f>
        <v>1747</v>
      </c>
      <c r="D3303" s="651">
        <f t="shared" ref="D3303:J3303" si="522">+D184+D272+D358+D439+D525</f>
        <v>0</v>
      </c>
      <c r="E3303" s="651">
        <f t="shared" si="522"/>
        <v>2396</v>
      </c>
      <c r="F3303" s="651">
        <f t="shared" si="522"/>
        <v>2496</v>
      </c>
      <c r="G3303" s="651">
        <f t="shared" si="522"/>
        <v>2995.2</v>
      </c>
      <c r="H3303" s="651">
        <f t="shared" si="522"/>
        <v>8085</v>
      </c>
      <c r="I3303" s="651">
        <f t="shared" si="522"/>
        <v>8730</v>
      </c>
      <c r="J3303" s="651">
        <f t="shared" si="522"/>
        <v>9430</v>
      </c>
      <c r="K3303" s="651"/>
    </row>
    <row r="3304" spans="2:11" x14ac:dyDescent="0.2">
      <c r="B3304" s="39" t="s">
        <v>4044</v>
      </c>
      <c r="C3304" s="651">
        <f>+C190+C278+C364+C445+C531</f>
        <v>2025</v>
      </c>
      <c r="D3304" s="651">
        <f t="shared" ref="D3304:J3304" si="523">+D190+D278+D364+D445+D531</f>
        <v>0</v>
      </c>
      <c r="E3304" s="651">
        <f t="shared" si="523"/>
        <v>0</v>
      </c>
      <c r="F3304" s="651">
        <f t="shared" si="523"/>
        <v>5316</v>
      </c>
      <c r="G3304" s="651">
        <f t="shared" si="523"/>
        <v>6379.1999999999989</v>
      </c>
      <c r="H3304" s="651">
        <f t="shared" si="523"/>
        <v>45949</v>
      </c>
      <c r="I3304" s="651">
        <f t="shared" si="523"/>
        <v>49625</v>
      </c>
      <c r="J3304" s="651">
        <f t="shared" si="523"/>
        <v>53594</v>
      </c>
    </row>
    <row r="3305" spans="2:11" x14ac:dyDescent="0.2">
      <c r="B3305" s="39" t="s">
        <v>482</v>
      </c>
      <c r="C3305" s="651">
        <f>+C185+C273+C359+C440+C526</f>
        <v>45</v>
      </c>
      <c r="D3305" s="651">
        <f t="shared" ref="D3305:J3305" si="524">+D185+D273+D359+D440+D526</f>
        <v>0</v>
      </c>
      <c r="E3305" s="651">
        <f t="shared" si="524"/>
        <v>72</v>
      </c>
      <c r="F3305" s="651">
        <f t="shared" si="524"/>
        <v>57</v>
      </c>
      <c r="G3305" s="651">
        <f t="shared" si="524"/>
        <v>68.399999999999991</v>
      </c>
      <c r="H3305" s="651">
        <f t="shared" si="524"/>
        <v>90</v>
      </c>
      <c r="I3305" s="651">
        <f t="shared" si="524"/>
        <v>98</v>
      </c>
      <c r="J3305" s="651">
        <f t="shared" si="524"/>
        <v>106</v>
      </c>
    </row>
    <row r="3306" spans="2:11" x14ac:dyDescent="0.2">
      <c r="B3306" s="39" t="s">
        <v>1065</v>
      </c>
      <c r="C3306" s="651">
        <f>+C192+C280+C366+C447+C533</f>
        <v>5972</v>
      </c>
      <c r="D3306" s="651">
        <f t="shared" ref="D3306:J3306" si="525">+D192+D280+D366+D447+D533</f>
        <v>0</v>
      </c>
      <c r="E3306" s="651">
        <f t="shared" si="525"/>
        <v>0</v>
      </c>
      <c r="F3306" s="651">
        <f t="shared" si="525"/>
        <v>0</v>
      </c>
      <c r="G3306" s="651">
        <f t="shared" si="525"/>
        <v>0</v>
      </c>
      <c r="H3306" s="651">
        <f t="shared" si="525"/>
        <v>42732</v>
      </c>
      <c r="I3306" s="651">
        <f t="shared" si="525"/>
        <v>46151</v>
      </c>
      <c r="J3306" s="651">
        <f t="shared" si="525"/>
        <v>49842</v>
      </c>
    </row>
    <row r="3307" spans="2:11" x14ac:dyDescent="0.2">
      <c r="B3307" s="39" t="s">
        <v>3421</v>
      </c>
      <c r="C3307" s="651">
        <f>+C183+C271+C357+C438+C524</f>
        <v>19140</v>
      </c>
      <c r="D3307" s="651">
        <f t="shared" ref="D3307:J3307" si="526">+D183+D271+D357+D438+D524</f>
        <v>0</v>
      </c>
      <c r="E3307" s="651">
        <f t="shared" si="526"/>
        <v>130944</v>
      </c>
      <c r="F3307" s="651">
        <f t="shared" si="526"/>
        <v>144201</v>
      </c>
      <c r="G3307" s="651">
        <f t="shared" si="526"/>
        <v>173041.2</v>
      </c>
      <c r="H3307" s="651">
        <f t="shared" si="526"/>
        <v>196995</v>
      </c>
      <c r="I3307" s="651">
        <f t="shared" si="526"/>
        <v>212754</v>
      </c>
      <c r="J3307" s="651">
        <f t="shared" si="526"/>
        <v>229775</v>
      </c>
    </row>
    <row r="3308" spans="2:11" x14ac:dyDescent="0.2">
      <c r="B3308" s="39" t="s">
        <v>3422</v>
      </c>
      <c r="C3308" s="651">
        <f>+C182+C270+C356+C437+C523</f>
        <v>9033</v>
      </c>
      <c r="D3308" s="651">
        <f t="shared" ref="D3308:J3308" si="527">+D182+D270+D356+D437+D523</f>
        <v>0</v>
      </c>
      <c r="E3308" s="651">
        <f t="shared" si="527"/>
        <v>16349</v>
      </c>
      <c r="F3308" s="651">
        <f t="shared" si="527"/>
        <v>17030</v>
      </c>
      <c r="G3308" s="651">
        <f t="shared" si="527"/>
        <v>20436</v>
      </c>
      <c r="H3308" s="651">
        <f t="shared" si="527"/>
        <v>20436</v>
      </c>
      <c r="I3308" s="651">
        <f t="shared" si="527"/>
        <v>22071</v>
      </c>
      <c r="J3308" s="651">
        <f t="shared" si="527"/>
        <v>23837</v>
      </c>
    </row>
    <row r="3309" spans="2:11" x14ac:dyDescent="0.2">
      <c r="B3309" s="39" t="s">
        <v>3423</v>
      </c>
      <c r="C3309" s="651">
        <f>+C188+C276+C362+C443+C529</f>
        <v>16472</v>
      </c>
      <c r="D3309" s="651">
        <f t="shared" ref="D3309:J3309" si="528">+D188+D276+D362+D443+D529</f>
        <v>171272</v>
      </c>
      <c r="E3309" s="651">
        <f t="shared" si="528"/>
        <v>171272</v>
      </c>
      <c r="F3309" s="651">
        <f t="shared" si="528"/>
        <v>56041</v>
      </c>
      <c r="G3309" s="651">
        <f t="shared" si="528"/>
        <v>67249.2</v>
      </c>
      <c r="H3309" s="651">
        <f t="shared" si="528"/>
        <v>168551</v>
      </c>
      <c r="I3309" s="651">
        <f t="shared" si="528"/>
        <v>182034</v>
      </c>
      <c r="J3309" s="651">
        <f t="shared" si="528"/>
        <v>196596</v>
      </c>
    </row>
    <row r="3310" spans="2:11" x14ac:dyDescent="0.2">
      <c r="B3310" s="39" t="s">
        <v>3424</v>
      </c>
      <c r="C3310" s="651">
        <f>+C189+C277+C363+C444+C530</f>
        <v>4440</v>
      </c>
      <c r="D3310" s="651">
        <f t="shared" ref="D3310:J3310" si="529">+D189+D277+D363+D444+D530</f>
        <v>117216</v>
      </c>
      <c r="E3310" s="651">
        <f t="shared" si="529"/>
        <v>127262</v>
      </c>
      <c r="F3310" s="651">
        <f t="shared" si="529"/>
        <v>20355</v>
      </c>
      <c r="G3310" s="651">
        <f t="shared" si="529"/>
        <v>24426</v>
      </c>
      <c r="H3310" s="651">
        <f t="shared" si="529"/>
        <v>0</v>
      </c>
      <c r="I3310" s="651">
        <f t="shared" si="529"/>
        <v>0</v>
      </c>
      <c r="J3310" s="651">
        <f t="shared" si="529"/>
        <v>0</v>
      </c>
    </row>
    <row r="3311" spans="2:11" x14ac:dyDescent="0.2">
      <c r="B3311" s="39" t="s">
        <v>3425</v>
      </c>
      <c r="C3311" s="651">
        <f>+C187+C275+C361+C442+C528</f>
        <v>5601.76</v>
      </c>
      <c r="D3311" s="651">
        <f t="shared" ref="D3311:J3311" si="530">+D187+D275+D361+D442+D528</f>
        <v>35135</v>
      </c>
      <c r="E3311" s="651">
        <f t="shared" si="530"/>
        <v>51090</v>
      </c>
      <c r="F3311" s="651">
        <f t="shared" si="530"/>
        <v>22407</v>
      </c>
      <c r="G3311" s="651">
        <f t="shared" si="530"/>
        <v>26888.399999999998</v>
      </c>
      <c r="H3311" s="651">
        <f t="shared" si="530"/>
        <v>127359</v>
      </c>
      <c r="I3311" s="651">
        <f t="shared" si="530"/>
        <v>113209</v>
      </c>
      <c r="J3311" s="651">
        <f t="shared" si="530"/>
        <v>122266</v>
      </c>
    </row>
    <row r="3312" spans="2:11" x14ac:dyDescent="0.2">
      <c r="B3312" s="39" t="s">
        <v>3426</v>
      </c>
      <c r="C3312" s="653">
        <f>+C191+C279+C365+C446+C532</f>
        <v>127078</v>
      </c>
      <c r="D3312" s="653">
        <f t="shared" ref="D3312:J3312" si="531">+D191+D279+D365+D446+D532</f>
        <v>745769</v>
      </c>
      <c r="E3312" s="653">
        <f t="shared" si="531"/>
        <v>745769</v>
      </c>
      <c r="F3312" s="653">
        <f t="shared" si="531"/>
        <v>134345</v>
      </c>
      <c r="G3312" s="653">
        <f t="shared" si="531"/>
        <v>161214</v>
      </c>
      <c r="H3312" s="653">
        <f t="shared" si="531"/>
        <v>610570</v>
      </c>
      <c r="I3312" s="653">
        <f t="shared" si="531"/>
        <v>659417</v>
      </c>
      <c r="J3312" s="653">
        <f t="shared" si="531"/>
        <v>712172</v>
      </c>
    </row>
    <row r="3313" spans="2:11" x14ac:dyDescent="0.2">
      <c r="C3313" s="651">
        <f>SUBTOTAL(9,C3300:C3312)</f>
        <v>805288.76</v>
      </c>
      <c r="D3313" s="651">
        <f t="shared" ref="D3313:J3313" si="532">SUBTOTAL(9,D3300:D3312)</f>
        <v>2957390</v>
      </c>
      <c r="E3313" s="651">
        <f t="shared" si="532"/>
        <v>2957390</v>
      </c>
      <c r="F3313" s="651">
        <f t="shared" si="532"/>
        <v>1288195</v>
      </c>
      <c r="G3313" s="651">
        <f t="shared" si="532"/>
        <v>1545833.9999999995</v>
      </c>
      <c r="H3313" s="651">
        <f t="shared" si="532"/>
        <v>3284163</v>
      </c>
      <c r="I3313" s="651">
        <f t="shared" si="532"/>
        <v>3522558</v>
      </c>
      <c r="J3313" s="651">
        <f t="shared" si="532"/>
        <v>3804366</v>
      </c>
      <c r="K3313" s="651"/>
    </row>
    <row r="3315" spans="2:11" x14ac:dyDescent="0.2">
      <c r="C3315" s="651">
        <f>+C3297+C3313</f>
        <v>19489880.760000002</v>
      </c>
      <c r="D3315" s="651">
        <f>+D3297+D3313</f>
        <v>23277687</v>
      </c>
      <c r="E3315" s="651">
        <f t="shared" ref="E3315:J3315" si="533">+E3297+E3313</f>
        <v>23277687</v>
      </c>
      <c r="F3315" s="651">
        <f t="shared" si="533"/>
        <v>18660234</v>
      </c>
      <c r="G3315" s="651">
        <f t="shared" si="533"/>
        <v>22392280.800000001</v>
      </c>
      <c r="H3315" s="651">
        <f t="shared" si="533"/>
        <v>32957191</v>
      </c>
      <c r="I3315" s="651">
        <f t="shared" si="533"/>
        <v>35569437</v>
      </c>
      <c r="J3315" s="651">
        <f t="shared" si="533"/>
        <v>38415001</v>
      </c>
    </row>
    <row r="3316" spans="2:11" x14ac:dyDescent="0.2">
      <c r="C3316" s="651">
        <f>+C3152</f>
        <v>19489880.759999998</v>
      </c>
      <c r="D3316" s="651">
        <f t="shared" ref="D3316:J3316" si="534">+D3152</f>
        <v>23277687</v>
      </c>
      <c r="E3316" s="651">
        <f t="shared" si="534"/>
        <v>23277687</v>
      </c>
      <c r="F3316" s="651">
        <f t="shared" si="534"/>
        <v>18660234</v>
      </c>
      <c r="G3316" s="651">
        <f t="shared" si="534"/>
        <v>22392280.800000004</v>
      </c>
      <c r="H3316" s="651">
        <f t="shared" si="534"/>
        <v>32957191</v>
      </c>
      <c r="I3316" s="651">
        <f t="shared" si="534"/>
        <v>35569437</v>
      </c>
      <c r="J3316" s="651">
        <f t="shared" si="534"/>
        <v>38415001</v>
      </c>
    </row>
    <row r="3317" spans="2:11" x14ac:dyDescent="0.2">
      <c r="C3317" s="651">
        <f>+C3315-C3316</f>
        <v>0</v>
      </c>
      <c r="D3317" s="651">
        <f t="shared" ref="D3317:J3317" si="535">+D3315-D3316</f>
        <v>0</v>
      </c>
      <c r="E3317" s="651">
        <f t="shared" si="535"/>
        <v>0</v>
      </c>
      <c r="F3317" s="651">
        <f t="shared" si="535"/>
        <v>0</v>
      </c>
      <c r="G3317" s="651">
        <f t="shared" si="535"/>
        <v>0</v>
      </c>
      <c r="H3317" s="651">
        <f t="shared" si="535"/>
        <v>0</v>
      </c>
      <c r="I3317" s="651">
        <f t="shared" si="535"/>
        <v>0</v>
      </c>
      <c r="J3317" s="651">
        <f t="shared" si="535"/>
        <v>0</v>
      </c>
    </row>
    <row r="3319" spans="2:11" x14ac:dyDescent="0.2">
      <c r="B3319" s="652" t="s">
        <v>3429</v>
      </c>
    </row>
    <row r="3320" spans="2:11" x14ac:dyDescent="0.2">
      <c r="B3320" s="654" t="s">
        <v>3554</v>
      </c>
      <c r="C3320" s="651">
        <f t="shared" ref="C3320:J3326" si="536">+C29</f>
        <v>0</v>
      </c>
      <c r="D3320" s="651">
        <f t="shared" si="536"/>
        <v>0</v>
      </c>
      <c r="E3320" s="651">
        <f t="shared" si="536"/>
        <v>0</v>
      </c>
      <c r="F3320" s="651">
        <f t="shared" si="536"/>
        <v>0</v>
      </c>
      <c r="G3320" s="651">
        <f t="shared" si="536"/>
        <v>0</v>
      </c>
      <c r="H3320" s="651">
        <f t="shared" si="536"/>
        <v>1677</v>
      </c>
      <c r="I3320" s="651">
        <f t="shared" si="536"/>
        <v>1811</v>
      </c>
      <c r="J3320" s="651">
        <f t="shared" si="536"/>
        <v>1956</v>
      </c>
    </row>
    <row r="3321" spans="2:11" x14ac:dyDescent="0.2">
      <c r="B3321" s="654" t="s">
        <v>3555</v>
      </c>
      <c r="C3321" s="651">
        <f t="shared" si="536"/>
        <v>0</v>
      </c>
      <c r="D3321" s="651">
        <f t="shared" si="536"/>
        <v>0</v>
      </c>
      <c r="E3321" s="651">
        <f t="shared" si="536"/>
        <v>0</v>
      </c>
      <c r="F3321" s="651">
        <f t="shared" si="536"/>
        <v>0</v>
      </c>
      <c r="G3321" s="651">
        <f t="shared" si="536"/>
        <v>0</v>
      </c>
      <c r="H3321" s="651">
        <f t="shared" si="536"/>
        <v>45</v>
      </c>
      <c r="I3321" s="651">
        <f t="shared" si="536"/>
        <v>49</v>
      </c>
      <c r="J3321" s="651">
        <f t="shared" si="536"/>
        <v>53</v>
      </c>
    </row>
    <row r="3322" spans="2:11" x14ac:dyDescent="0.2">
      <c r="B3322" s="654" t="s">
        <v>3556</v>
      </c>
      <c r="C3322" s="651">
        <f t="shared" si="536"/>
        <v>0</v>
      </c>
      <c r="D3322" s="651">
        <f t="shared" si="536"/>
        <v>19862</v>
      </c>
      <c r="E3322" s="651">
        <f t="shared" si="536"/>
        <v>19862</v>
      </c>
      <c r="F3322" s="651">
        <f t="shared" si="536"/>
        <v>5511</v>
      </c>
      <c r="G3322" s="651">
        <f t="shared" si="536"/>
        <v>6613.2000000000007</v>
      </c>
      <c r="H3322" s="651">
        <f t="shared" si="536"/>
        <v>4848</v>
      </c>
      <c r="I3322" s="651">
        <f t="shared" si="536"/>
        <v>5236</v>
      </c>
      <c r="J3322" s="651">
        <f t="shared" si="536"/>
        <v>5655</v>
      </c>
    </row>
    <row r="3323" spans="2:11" x14ac:dyDescent="0.2">
      <c r="B3323" s="654" t="s">
        <v>3557</v>
      </c>
      <c r="C3323" s="651">
        <f t="shared" si="536"/>
        <v>1248325</v>
      </c>
      <c r="D3323" s="651">
        <f t="shared" si="536"/>
        <v>1402403</v>
      </c>
      <c r="E3323" s="651">
        <f t="shared" si="536"/>
        <v>1402403</v>
      </c>
      <c r="F3323" s="651">
        <f t="shared" si="536"/>
        <v>1162556</v>
      </c>
      <c r="G3323" s="651">
        <f t="shared" si="536"/>
        <v>1395067.2000000002</v>
      </c>
      <c r="H3323" s="651">
        <f t="shared" si="536"/>
        <v>1527850</v>
      </c>
      <c r="I3323" s="651">
        <f t="shared" si="536"/>
        <v>1650078</v>
      </c>
      <c r="J3323" s="651">
        <f t="shared" si="536"/>
        <v>1782084</v>
      </c>
    </row>
    <row r="3324" spans="2:11" x14ac:dyDescent="0.2">
      <c r="B3324" s="654" t="s">
        <v>3558</v>
      </c>
      <c r="C3324" s="651">
        <f t="shared" si="536"/>
        <v>89003</v>
      </c>
      <c r="D3324" s="651">
        <f t="shared" si="536"/>
        <v>116305</v>
      </c>
      <c r="E3324" s="651">
        <f t="shared" si="536"/>
        <v>116305</v>
      </c>
      <c r="F3324" s="651">
        <f t="shared" si="536"/>
        <v>88135</v>
      </c>
      <c r="G3324" s="651">
        <f t="shared" si="536"/>
        <v>105762</v>
      </c>
      <c r="H3324" s="651">
        <f t="shared" si="536"/>
        <v>126685</v>
      </c>
      <c r="I3324" s="651">
        <f t="shared" si="536"/>
        <v>136820</v>
      </c>
      <c r="J3324" s="651">
        <f t="shared" si="536"/>
        <v>147766</v>
      </c>
    </row>
    <row r="3325" spans="2:11" x14ac:dyDescent="0.2">
      <c r="B3325" s="654" t="s">
        <v>3559</v>
      </c>
      <c r="C3325" s="651">
        <f t="shared" si="536"/>
        <v>377111</v>
      </c>
      <c r="D3325" s="651">
        <f t="shared" si="536"/>
        <v>467467</v>
      </c>
      <c r="E3325" s="651">
        <f t="shared" si="536"/>
        <v>467467</v>
      </c>
      <c r="F3325" s="651">
        <f t="shared" si="536"/>
        <v>357114</v>
      </c>
      <c r="G3325" s="651">
        <f t="shared" si="536"/>
        <v>428536.80000000005</v>
      </c>
      <c r="H3325" s="651">
        <f t="shared" si="536"/>
        <v>509286</v>
      </c>
      <c r="I3325" s="651">
        <f t="shared" si="536"/>
        <v>550029</v>
      </c>
      <c r="J3325" s="651">
        <f t="shared" si="536"/>
        <v>594031</v>
      </c>
    </row>
    <row r="3326" spans="2:11" x14ac:dyDescent="0.2">
      <c r="B3326" s="654" t="s">
        <v>3560</v>
      </c>
      <c r="C3326" s="653">
        <f t="shared" si="536"/>
        <v>0</v>
      </c>
      <c r="D3326" s="653">
        <f t="shared" si="536"/>
        <v>0</v>
      </c>
      <c r="E3326" s="653">
        <f t="shared" si="536"/>
        <v>0</v>
      </c>
      <c r="F3326" s="653">
        <f t="shared" si="536"/>
        <v>0</v>
      </c>
      <c r="G3326" s="653">
        <f t="shared" si="536"/>
        <v>0</v>
      </c>
      <c r="H3326" s="653">
        <f t="shared" si="536"/>
        <v>4509</v>
      </c>
      <c r="I3326" s="653">
        <f t="shared" si="536"/>
        <v>4870</v>
      </c>
      <c r="J3326" s="653">
        <f t="shared" si="536"/>
        <v>5260</v>
      </c>
    </row>
    <row r="3327" spans="2:11" x14ac:dyDescent="0.2">
      <c r="C3327" s="651">
        <f>SUBTOTAL(9,C3320:C3326)</f>
        <v>1714439</v>
      </c>
      <c r="D3327" s="651">
        <f t="shared" ref="D3327:J3327" si="537">SUBTOTAL(9,D3320:D3326)</f>
        <v>2006037</v>
      </c>
      <c r="E3327" s="651">
        <f t="shared" si="537"/>
        <v>2006037</v>
      </c>
      <c r="F3327" s="651">
        <f t="shared" si="537"/>
        <v>1613316</v>
      </c>
      <c r="G3327" s="651">
        <f t="shared" si="537"/>
        <v>1935979.2000000002</v>
      </c>
      <c r="H3327" s="651">
        <f t="shared" si="537"/>
        <v>2174900</v>
      </c>
      <c r="I3327" s="651">
        <f t="shared" si="537"/>
        <v>2348893</v>
      </c>
      <c r="J3327" s="651">
        <f t="shared" si="537"/>
        <v>2536805</v>
      </c>
    </row>
    <row r="3329" spans="2:10" x14ac:dyDescent="0.2">
      <c r="C3329" s="651">
        <f>+C3154</f>
        <v>1714439</v>
      </c>
      <c r="D3329" s="651">
        <f t="shared" ref="D3329:J3329" si="538">+D3154</f>
        <v>2006037</v>
      </c>
      <c r="E3329" s="651">
        <f t="shared" si="538"/>
        <v>2006037</v>
      </c>
      <c r="F3329" s="651">
        <f t="shared" si="538"/>
        <v>1613316</v>
      </c>
      <c r="G3329" s="651">
        <f t="shared" si="538"/>
        <v>1935979.2000000002</v>
      </c>
      <c r="H3329" s="651">
        <f t="shared" si="538"/>
        <v>2174900</v>
      </c>
      <c r="I3329" s="651">
        <f t="shared" si="538"/>
        <v>2348893</v>
      </c>
      <c r="J3329" s="651">
        <f t="shared" si="538"/>
        <v>2536805</v>
      </c>
    </row>
    <row r="3330" spans="2:10" x14ac:dyDescent="0.2">
      <c r="C3330" s="651">
        <f>+C3327-C3329</f>
        <v>0</v>
      </c>
      <c r="D3330" s="651">
        <f t="shared" ref="D3330:J3330" si="539">+D3327-D3329</f>
        <v>0</v>
      </c>
      <c r="E3330" s="651">
        <f t="shared" si="539"/>
        <v>0</v>
      </c>
      <c r="F3330" s="651">
        <f t="shared" si="539"/>
        <v>0</v>
      </c>
      <c r="G3330" s="651">
        <f t="shared" si="539"/>
        <v>0</v>
      </c>
      <c r="H3330" s="651">
        <f t="shared" si="539"/>
        <v>0</v>
      </c>
      <c r="I3330" s="651">
        <f t="shared" si="539"/>
        <v>0</v>
      </c>
      <c r="J3330" s="651">
        <f t="shared" si="539"/>
        <v>0</v>
      </c>
    </row>
    <row r="3334" spans="2:10" x14ac:dyDescent="0.2">
      <c r="B3334" s="652" t="s">
        <v>4556</v>
      </c>
    </row>
    <row r="3335" spans="2:10" x14ac:dyDescent="0.2">
      <c r="B3335" s="39" t="s">
        <v>42</v>
      </c>
      <c r="C3335" s="651">
        <f t="shared" ref="C3335:J3335" si="540">+C56+C639+C916+C2169+C2341+C2501+C2638+C2800+C2946</f>
        <v>353553</v>
      </c>
      <c r="D3335" s="651">
        <f t="shared" si="540"/>
        <v>929750</v>
      </c>
      <c r="E3335" s="651">
        <f t="shared" si="540"/>
        <v>878256</v>
      </c>
      <c r="F3335" s="651">
        <f t="shared" si="540"/>
        <v>1152012</v>
      </c>
      <c r="G3335" s="651">
        <f t="shared" si="540"/>
        <v>1382414.4</v>
      </c>
      <c r="H3335" s="651">
        <f t="shared" si="540"/>
        <v>11550</v>
      </c>
      <c r="I3335" s="651">
        <f t="shared" si="540"/>
        <v>12243</v>
      </c>
      <c r="J3335" s="651">
        <f t="shared" si="540"/>
        <v>12978</v>
      </c>
    </row>
    <row r="3336" spans="2:10" x14ac:dyDescent="0.2">
      <c r="B3336" s="39" t="s">
        <v>39</v>
      </c>
      <c r="C3336" s="651">
        <f t="shared" ref="C3336:J3336" si="541">+C2167+C2242+C2340+C2500+C2636+C2803</f>
        <v>36187</v>
      </c>
      <c r="D3336" s="651">
        <f t="shared" si="541"/>
        <v>67200</v>
      </c>
      <c r="E3336" s="651">
        <f t="shared" si="541"/>
        <v>65002</v>
      </c>
      <c r="F3336" s="651">
        <f t="shared" si="541"/>
        <v>42900</v>
      </c>
      <c r="G3336" s="651">
        <f t="shared" si="541"/>
        <v>51480</v>
      </c>
      <c r="H3336" s="651">
        <f t="shared" si="541"/>
        <v>68253</v>
      </c>
      <c r="I3336" s="651">
        <f t="shared" si="541"/>
        <v>72349</v>
      </c>
      <c r="J3336" s="651">
        <f t="shared" si="541"/>
        <v>76691</v>
      </c>
    </row>
    <row r="3337" spans="2:10" x14ac:dyDescent="0.2">
      <c r="B3337" s="39" t="s">
        <v>446</v>
      </c>
      <c r="C3337" s="651">
        <f t="shared" ref="C3337:J3337" si="542">C988+C1236+C2166+C2241+C2499+C2635+C2798</f>
        <v>26329</v>
      </c>
      <c r="D3337" s="651">
        <f t="shared" si="542"/>
        <v>326550</v>
      </c>
      <c r="E3337" s="651">
        <f t="shared" si="542"/>
        <v>326550</v>
      </c>
      <c r="F3337" s="651">
        <f t="shared" si="542"/>
        <v>193500</v>
      </c>
      <c r="G3337" s="651">
        <f t="shared" si="542"/>
        <v>232200.00000000003</v>
      </c>
      <c r="H3337" s="651">
        <f t="shared" si="542"/>
        <v>342877.5</v>
      </c>
      <c r="I3337" s="651">
        <f t="shared" si="542"/>
        <v>363451</v>
      </c>
      <c r="J3337" s="651">
        <f t="shared" si="542"/>
        <v>385258</v>
      </c>
    </row>
    <row r="3338" spans="2:10" x14ac:dyDescent="0.2">
      <c r="B3338" s="39" t="s">
        <v>4046</v>
      </c>
      <c r="C3338" s="651">
        <f>+C55+C638+C757+C915+C1142+C1237+C1380+C1533+C1860</f>
        <v>23080</v>
      </c>
      <c r="D3338" s="651">
        <f t="shared" ref="D3338:J3338" si="543">+D55+D638+D757+D915+D1142+D1237+D1380+D1533+D1860</f>
        <v>141500</v>
      </c>
      <c r="E3338" s="651">
        <f t="shared" si="543"/>
        <v>141500</v>
      </c>
      <c r="F3338" s="651">
        <f t="shared" si="543"/>
        <v>17321</v>
      </c>
      <c r="G3338" s="651">
        <f t="shared" si="543"/>
        <v>20785.199999999997</v>
      </c>
      <c r="H3338" s="651">
        <f t="shared" si="543"/>
        <v>148578</v>
      </c>
      <c r="I3338" s="651">
        <f t="shared" si="543"/>
        <v>157492</v>
      </c>
      <c r="J3338" s="651">
        <f t="shared" si="543"/>
        <v>166941</v>
      </c>
    </row>
    <row r="3339" spans="2:10" x14ac:dyDescent="0.2">
      <c r="B3339" s="39" t="s">
        <v>4108</v>
      </c>
      <c r="C3339" s="121">
        <f>+C2344</f>
        <v>0</v>
      </c>
      <c r="D3339" s="121">
        <f t="shared" ref="D3339:J3339" si="544">+D2344</f>
        <v>63000</v>
      </c>
      <c r="E3339" s="121">
        <f t="shared" si="544"/>
        <v>63000</v>
      </c>
      <c r="F3339" s="121">
        <f t="shared" si="544"/>
        <v>0</v>
      </c>
      <c r="G3339" s="121">
        <f t="shared" si="544"/>
        <v>0</v>
      </c>
      <c r="H3339" s="121">
        <f t="shared" si="544"/>
        <v>66150</v>
      </c>
      <c r="I3339" s="121">
        <f t="shared" si="544"/>
        <v>70119</v>
      </c>
      <c r="J3339" s="121">
        <f t="shared" si="544"/>
        <v>74326</v>
      </c>
    </row>
    <row r="3340" spans="2:10" x14ac:dyDescent="0.2">
      <c r="B3340" s="39" t="s">
        <v>2952</v>
      </c>
      <c r="C3340" s="121">
        <v>0</v>
      </c>
      <c r="D3340" s="121">
        <v>0</v>
      </c>
      <c r="E3340" s="121">
        <v>0</v>
      </c>
      <c r="F3340" s="121">
        <v>0</v>
      </c>
      <c r="G3340" s="121">
        <v>0</v>
      </c>
      <c r="H3340" s="121">
        <v>0</v>
      </c>
      <c r="I3340" s="121">
        <v>0</v>
      </c>
      <c r="J3340" s="121">
        <v>0</v>
      </c>
    </row>
    <row r="3341" spans="2:10" x14ac:dyDescent="0.2">
      <c r="B3341" s="39" t="s">
        <v>2953</v>
      </c>
      <c r="C3341" s="121">
        <v>0</v>
      </c>
      <c r="D3341" s="121">
        <v>0</v>
      </c>
      <c r="E3341" s="121">
        <v>0</v>
      </c>
      <c r="F3341" s="121">
        <v>0</v>
      </c>
      <c r="G3341" s="121">
        <v>0</v>
      </c>
      <c r="H3341" s="121">
        <v>0</v>
      </c>
      <c r="I3341" s="121">
        <v>0</v>
      </c>
      <c r="J3341" s="121">
        <v>0</v>
      </c>
    </row>
    <row r="3342" spans="2:10" x14ac:dyDescent="0.2">
      <c r="B3342" s="39" t="s">
        <v>2421</v>
      </c>
      <c r="C3342" s="121">
        <v>0</v>
      </c>
      <c r="D3342" s="121">
        <v>0</v>
      </c>
      <c r="E3342" s="121">
        <v>0</v>
      </c>
      <c r="F3342" s="121">
        <v>0</v>
      </c>
      <c r="G3342" s="121">
        <v>0</v>
      </c>
      <c r="H3342" s="121">
        <v>0</v>
      </c>
      <c r="I3342" s="121">
        <v>0</v>
      </c>
      <c r="J3342" s="121">
        <v>0</v>
      </c>
    </row>
    <row r="3343" spans="2:10" x14ac:dyDescent="0.2">
      <c r="B3343" s="39" t="s">
        <v>33</v>
      </c>
      <c r="C3343" s="121">
        <f>+C3046</f>
        <v>89</v>
      </c>
      <c r="D3343" s="121">
        <f t="shared" ref="D3343:J3343" si="545">+D3046</f>
        <v>127050</v>
      </c>
      <c r="E3343" s="121">
        <f t="shared" si="545"/>
        <v>127050</v>
      </c>
      <c r="F3343" s="121">
        <f t="shared" si="545"/>
        <v>1050</v>
      </c>
      <c r="G3343" s="121">
        <f t="shared" si="545"/>
        <v>1260</v>
      </c>
      <c r="H3343" s="121">
        <f t="shared" si="545"/>
        <v>133403</v>
      </c>
      <c r="I3343" s="121">
        <f t="shared" si="545"/>
        <v>141407</v>
      </c>
      <c r="J3343" s="121">
        <f t="shared" si="545"/>
        <v>149891</v>
      </c>
    </row>
    <row r="3344" spans="2:10" x14ac:dyDescent="0.2">
      <c r="B3344" s="39" t="s">
        <v>4121</v>
      </c>
      <c r="C3344" s="121">
        <v>0</v>
      </c>
      <c r="D3344" s="121">
        <v>0</v>
      </c>
      <c r="E3344" s="121">
        <v>0</v>
      </c>
      <c r="F3344" s="121">
        <v>0</v>
      </c>
      <c r="G3344" s="121">
        <v>0</v>
      </c>
      <c r="H3344" s="121">
        <v>0</v>
      </c>
      <c r="I3344" s="121">
        <v>0</v>
      </c>
      <c r="J3344" s="121">
        <v>0</v>
      </c>
    </row>
    <row r="3345" spans="2:10" x14ac:dyDescent="0.2">
      <c r="B3345" s="39" t="s">
        <v>4122</v>
      </c>
      <c r="C3345" s="121">
        <v>0</v>
      </c>
      <c r="D3345" s="121">
        <v>0</v>
      </c>
      <c r="E3345" s="121">
        <v>0</v>
      </c>
      <c r="F3345" s="121">
        <v>0</v>
      </c>
      <c r="G3345" s="121">
        <v>0</v>
      </c>
      <c r="H3345" s="121">
        <v>0</v>
      </c>
      <c r="I3345" s="121">
        <v>0</v>
      </c>
      <c r="J3345" s="121">
        <v>0</v>
      </c>
    </row>
    <row r="3346" spans="2:10" x14ac:dyDescent="0.2">
      <c r="B3346" s="39" t="s">
        <v>2417</v>
      </c>
      <c r="C3346" s="121">
        <v>0</v>
      </c>
      <c r="D3346" s="121">
        <v>0</v>
      </c>
      <c r="E3346" s="121">
        <v>0</v>
      </c>
      <c r="F3346" s="121">
        <v>0</v>
      </c>
      <c r="G3346" s="121">
        <v>0</v>
      </c>
      <c r="H3346" s="121">
        <v>0</v>
      </c>
      <c r="I3346" s="121">
        <v>0</v>
      </c>
      <c r="J3346" s="121">
        <v>0</v>
      </c>
    </row>
    <row r="3347" spans="2:10" x14ac:dyDescent="0.2">
      <c r="B3347" s="39" t="s">
        <v>443</v>
      </c>
      <c r="C3347" s="121">
        <v>0</v>
      </c>
      <c r="D3347" s="121">
        <v>0</v>
      </c>
      <c r="E3347" s="121">
        <v>0</v>
      </c>
      <c r="F3347" s="121">
        <v>0</v>
      </c>
      <c r="G3347" s="121">
        <v>0</v>
      </c>
      <c r="H3347" s="121">
        <v>0</v>
      </c>
      <c r="I3347" s="121">
        <v>0</v>
      </c>
      <c r="J3347" s="121">
        <v>0</v>
      </c>
    </row>
    <row r="3348" spans="2:10" x14ac:dyDescent="0.2">
      <c r="B3348" s="39" t="s">
        <v>4106</v>
      </c>
      <c r="C3348" s="121">
        <v>0</v>
      </c>
      <c r="D3348" s="121">
        <v>0</v>
      </c>
      <c r="E3348" s="121">
        <v>0</v>
      </c>
      <c r="F3348" s="121">
        <v>0</v>
      </c>
      <c r="G3348" s="121">
        <v>0</v>
      </c>
      <c r="H3348" s="121">
        <v>0</v>
      </c>
      <c r="I3348" s="121">
        <v>0</v>
      </c>
      <c r="J3348" s="121">
        <v>0</v>
      </c>
    </row>
    <row r="3349" spans="2:10" x14ac:dyDescent="0.2">
      <c r="B3349" s="39" t="s">
        <v>4107</v>
      </c>
      <c r="C3349" s="121">
        <v>0</v>
      </c>
      <c r="D3349" s="121">
        <v>0</v>
      </c>
      <c r="E3349" s="121">
        <v>0</v>
      </c>
      <c r="F3349" s="121">
        <v>0</v>
      </c>
      <c r="G3349" s="121">
        <v>0</v>
      </c>
      <c r="H3349" s="121">
        <v>0</v>
      </c>
      <c r="I3349" s="121">
        <v>0</v>
      </c>
      <c r="J3349" s="121">
        <v>0</v>
      </c>
    </row>
    <row r="3350" spans="2:10" x14ac:dyDescent="0.2">
      <c r="B3350" s="39" t="s">
        <v>256</v>
      </c>
      <c r="C3350" s="121">
        <v>0</v>
      </c>
      <c r="D3350" s="121">
        <v>0</v>
      </c>
      <c r="E3350" s="121">
        <v>0</v>
      </c>
      <c r="F3350" s="121">
        <v>0</v>
      </c>
      <c r="G3350" s="121">
        <v>0</v>
      </c>
      <c r="H3350" s="121">
        <v>0</v>
      </c>
      <c r="I3350" s="121">
        <v>0</v>
      </c>
      <c r="J3350" s="121">
        <v>0</v>
      </c>
    </row>
    <row r="3351" spans="2:10" x14ac:dyDescent="0.2">
      <c r="B3351" s="39" t="s">
        <v>37</v>
      </c>
      <c r="C3351" s="121">
        <v>0</v>
      </c>
      <c r="D3351" s="121">
        <v>0</v>
      </c>
      <c r="E3351" s="121">
        <v>0</v>
      </c>
      <c r="F3351" s="121">
        <v>0</v>
      </c>
      <c r="G3351" s="121">
        <v>0</v>
      </c>
      <c r="H3351" s="121">
        <v>0</v>
      </c>
      <c r="I3351" s="121">
        <v>0</v>
      </c>
      <c r="J3351" s="121">
        <v>0</v>
      </c>
    </row>
    <row r="3352" spans="2:10" x14ac:dyDescent="0.2">
      <c r="B3352" s="39" t="s">
        <v>4557</v>
      </c>
      <c r="C3352" s="121">
        <v>0</v>
      </c>
      <c r="D3352" s="121">
        <v>0</v>
      </c>
      <c r="E3352" s="121">
        <v>0</v>
      </c>
      <c r="F3352" s="121">
        <v>0</v>
      </c>
      <c r="G3352" s="121">
        <v>0</v>
      </c>
      <c r="H3352" s="121">
        <v>0</v>
      </c>
      <c r="I3352" s="121">
        <v>0</v>
      </c>
      <c r="J3352" s="121">
        <v>0</v>
      </c>
    </row>
    <row r="3353" spans="2:10" x14ac:dyDescent="0.2">
      <c r="B3353" s="39" t="s">
        <v>240</v>
      </c>
      <c r="C3353" s="653">
        <v>0</v>
      </c>
      <c r="D3353" s="653">
        <v>0</v>
      </c>
      <c r="E3353" s="653">
        <v>0</v>
      </c>
      <c r="F3353" s="653">
        <v>0</v>
      </c>
      <c r="G3353" s="653">
        <v>0</v>
      </c>
      <c r="H3353" s="653">
        <v>0</v>
      </c>
      <c r="I3353" s="653">
        <v>0</v>
      </c>
      <c r="J3353" s="653">
        <v>0</v>
      </c>
    </row>
    <row r="3354" spans="2:10" x14ac:dyDescent="0.2">
      <c r="C3354" s="651">
        <f>SUBTOTAL(9,C3335:C3353)</f>
        <v>439238</v>
      </c>
      <c r="D3354" s="651">
        <f t="shared" ref="D3354:J3354" si="546">SUBTOTAL(9,D3335:D3353)</f>
        <v>1655050</v>
      </c>
      <c r="E3354" s="651">
        <f t="shared" si="546"/>
        <v>1601358</v>
      </c>
      <c r="F3354" s="651">
        <f t="shared" si="546"/>
        <v>1406783</v>
      </c>
      <c r="G3354" s="651">
        <f t="shared" si="546"/>
        <v>1688139.5999999999</v>
      </c>
      <c r="H3354" s="651">
        <f t="shared" si="546"/>
        <v>770811.5</v>
      </c>
      <c r="I3354" s="651">
        <f t="shared" si="546"/>
        <v>817061</v>
      </c>
      <c r="J3354" s="651">
        <f t="shared" si="546"/>
        <v>866085</v>
      </c>
    </row>
    <row r="3355" spans="2:10" x14ac:dyDescent="0.2">
      <c r="C3355" s="651">
        <f>+C3156</f>
        <v>1346275</v>
      </c>
      <c r="D3355" s="651">
        <f t="shared" ref="D3355:J3355" si="547">+D3156</f>
        <v>5141300</v>
      </c>
      <c r="E3355" s="651">
        <f t="shared" si="547"/>
        <v>4137608</v>
      </c>
      <c r="F3355" s="651">
        <f t="shared" si="547"/>
        <v>2673394</v>
      </c>
      <c r="G3355" s="651">
        <f t="shared" si="547"/>
        <v>3208072.8</v>
      </c>
      <c r="H3355" s="651">
        <f t="shared" si="547"/>
        <v>3932859</v>
      </c>
      <c r="I3355" s="651">
        <f t="shared" si="547"/>
        <v>4167782</v>
      </c>
      <c r="J3355" s="651">
        <f t="shared" si="547"/>
        <v>4416750</v>
      </c>
    </row>
    <row r="3356" spans="2:10" x14ac:dyDescent="0.2">
      <c r="C3356" s="651">
        <f>+C3354-C3355</f>
        <v>-907037</v>
      </c>
      <c r="D3356" s="651">
        <f t="shared" ref="D3356:J3356" si="548">+D3354-D3355</f>
        <v>-3486250</v>
      </c>
      <c r="E3356" s="651">
        <f t="shared" si="548"/>
        <v>-2536250</v>
      </c>
      <c r="F3356" s="651">
        <f t="shared" si="548"/>
        <v>-1266611</v>
      </c>
      <c r="G3356" s="651">
        <f t="shared" si="548"/>
        <v>-1519933.2</v>
      </c>
      <c r="H3356" s="651">
        <f t="shared" si="548"/>
        <v>-3162047.5</v>
      </c>
      <c r="I3356" s="651">
        <f t="shared" si="548"/>
        <v>-3350721</v>
      </c>
      <c r="J3356" s="651">
        <f t="shared" si="548"/>
        <v>-3550665</v>
      </c>
    </row>
    <row r="3357" spans="2:10" x14ac:dyDescent="0.2">
      <c r="C3357" s="651"/>
      <c r="D3357" s="651"/>
      <c r="E3357" s="651"/>
      <c r="F3357" s="651"/>
      <c r="G3357" s="651"/>
      <c r="H3357" s="651"/>
      <c r="I3357" s="651"/>
      <c r="J3357" s="651"/>
    </row>
    <row r="3358" spans="2:10" x14ac:dyDescent="0.2">
      <c r="B3358" s="39" t="s">
        <v>4054</v>
      </c>
      <c r="C3358" s="651">
        <f t="shared" ref="C3358:J3358" si="549">+C77+C931+C1951+C2180+C2357+C2537+C2652+C2836+C2954</f>
        <v>1069670</v>
      </c>
      <c r="D3358" s="651">
        <f t="shared" si="549"/>
        <v>1656353</v>
      </c>
      <c r="E3358" s="651">
        <f t="shared" si="549"/>
        <v>1656353</v>
      </c>
      <c r="F3358" s="651">
        <f t="shared" si="549"/>
        <v>1020532</v>
      </c>
      <c r="G3358" s="651">
        <f t="shared" si="549"/>
        <v>1224638.4000000004</v>
      </c>
      <c r="H3358" s="651">
        <f t="shared" si="549"/>
        <v>1820568</v>
      </c>
      <c r="I3358" s="651">
        <f t="shared" si="549"/>
        <v>1929802</v>
      </c>
      <c r="J3358" s="651">
        <f t="shared" si="549"/>
        <v>2045591</v>
      </c>
    </row>
    <row r="3359" spans="2:10" x14ac:dyDescent="0.2">
      <c r="B3359" s="39" t="s">
        <v>3308</v>
      </c>
      <c r="C3359" s="651">
        <f>+C936</f>
        <v>0</v>
      </c>
      <c r="D3359" s="651">
        <f t="shared" ref="D3359:J3359" si="550">+D936</f>
        <v>0</v>
      </c>
      <c r="E3359" s="651">
        <f t="shared" si="550"/>
        <v>0</v>
      </c>
      <c r="F3359" s="651">
        <f t="shared" si="550"/>
        <v>0</v>
      </c>
      <c r="G3359" s="651">
        <f t="shared" si="550"/>
        <v>0</v>
      </c>
      <c r="H3359" s="651">
        <f t="shared" si="550"/>
        <v>2322154</v>
      </c>
      <c r="I3359" s="651">
        <f t="shared" si="550"/>
        <v>2322154</v>
      </c>
      <c r="J3359" s="651">
        <f t="shared" si="550"/>
        <v>2322154</v>
      </c>
    </row>
    <row r="3361" spans="2:10" x14ac:dyDescent="0.2">
      <c r="B3361" s="39" t="s">
        <v>3564</v>
      </c>
      <c r="C3361" s="651">
        <f>+C1629</f>
        <v>621</v>
      </c>
      <c r="D3361" s="651">
        <f t="shared" ref="D3361:J3361" si="551">+D1629</f>
        <v>31500</v>
      </c>
      <c r="E3361" s="651">
        <f t="shared" si="551"/>
        <v>31500</v>
      </c>
      <c r="F3361" s="651">
        <f t="shared" si="551"/>
        <v>0</v>
      </c>
      <c r="G3361" s="651">
        <f t="shared" si="551"/>
        <v>0</v>
      </c>
      <c r="H3361" s="651">
        <f t="shared" si="551"/>
        <v>33075</v>
      </c>
      <c r="I3361" s="651">
        <f t="shared" si="551"/>
        <v>35060</v>
      </c>
      <c r="J3361" s="651">
        <f t="shared" si="551"/>
        <v>37164</v>
      </c>
    </row>
    <row r="3362" spans="2:10" x14ac:dyDescent="0.2">
      <c r="B3362" s="39" t="s">
        <v>4561</v>
      </c>
      <c r="C3362" s="651">
        <f>+C1698+C1699+C1700</f>
        <v>14465</v>
      </c>
      <c r="D3362" s="651">
        <f t="shared" ref="D3362:J3362" si="552">+D1698+D1699+D1700</f>
        <v>510500</v>
      </c>
      <c r="E3362" s="651">
        <f t="shared" si="552"/>
        <v>510500</v>
      </c>
      <c r="F3362" s="651">
        <f t="shared" si="552"/>
        <v>33951</v>
      </c>
      <c r="G3362" s="651">
        <f t="shared" si="552"/>
        <v>40741.199999999997</v>
      </c>
      <c r="H3362" s="651">
        <f t="shared" si="552"/>
        <v>536026</v>
      </c>
      <c r="I3362" s="651">
        <f t="shared" si="552"/>
        <v>568188</v>
      </c>
      <c r="J3362" s="651">
        <f t="shared" si="552"/>
        <v>602280</v>
      </c>
    </row>
    <row r="3363" spans="2:10" x14ac:dyDescent="0.2">
      <c r="B3363" s="39" t="s">
        <v>1831</v>
      </c>
      <c r="C3363" s="651">
        <f>+C1764+C1765</f>
        <v>0</v>
      </c>
      <c r="D3363" s="651">
        <f t="shared" ref="D3363:J3363" si="553">+D1764+D1765</f>
        <v>1000000</v>
      </c>
      <c r="E3363" s="651">
        <f t="shared" si="553"/>
        <v>400000</v>
      </c>
      <c r="F3363" s="651">
        <f t="shared" si="553"/>
        <v>1433</v>
      </c>
      <c r="G3363" s="651">
        <f t="shared" si="553"/>
        <v>1719.6000000000001</v>
      </c>
      <c r="H3363" s="651">
        <f t="shared" si="553"/>
        <v>420000</v>
      </c>
      <c r="I3363" s="651">
        <f t="shared" si="553"/>
        <v>445200</v>
      </c>
      <c r="J3363" s="651">
        <f t="shared" si="553"/>
        <v>471912</v>
      </c>
    </row>
    <row r="3364" spans="2:10" x14ac:dyDescent="0.2">
      <c r="B3364" s="39" t="s">
        <v>248</v>
      </c>
      <c r="C3364" s="651">
        <f>+C1934+C1935</f>
        <v>9664</v>
      </c>
      <c r="D3364" s="651">
        <f t="shared" ref="D3364:J3364" si="554">+D1934+D1935</f>
        <v>231500</v>
      </c>
      <c r="E3364" s="651">
        <f t="shared" si="554"/>
        <v>181500</v>
      </c>
      <c r="F3364" s="651">
        <f t="shared" si="554"/>
        <v>219298</v>
      </c>
      <c r="G3364" s="651">
        <f t="shared" si="554"/>
        <v>263157.59999999998</v>
      </c>
      <c r="H3364" s="651">
        <f t="shared" si="554"/>
        <v>190575</v>
      </c>
      <c r="I3364" s="651">
        <f t="shared" si="554"/>
        <v>202010</v>
      </c>
      <c r="J3364" s="651">
        <f t="shared" si="554"/>
        <v>214131</v>
      </c>
    </row>
    <row r="3365" spans="2:10" x14ac:dyDescent="0.2">
      <c r="B3365" s="39" t="s">
        <v>3492</v>
      </c>
      <c r="C3365" s="651">
        <f>+C1993</f>
        <v>498</v>
      </c>
      <c r="D3365" s="651">
        <f t="shared" ref="D3365:J3365" si="555">+D1993</f>
        <v>200000</v>
      </c>
      <c r="E3365" s="651">
        <f t="shared" si="555"/>
        <v>100000</v>
      </c>
      <c r="F3365" s="651">
        <f t="shared" si="555"/>
        <v>161082</v>
      </c>
      <c r="G3365" s="651">
        <f t="shared" si="555"/>
        <v>193298.40000000002</v>
      </c>
      <c r="H3365" s="651">
        <f t="shared" si="555"/>
        <v>105000</v>
      </c>
      <c r="I3365" s="651">
        <f t="shared" si="555"/>
        <v>110250</v>
      </c>
      <c r="J3365" s="651">
        <f t="shared" si="555"/>
        <v>115763</v>
      </c>
    </row>
    <row r="3366" spans="2:10" x14ac:dyDescent="0.2">
      <c r="B3366" s="39" t="s">
        <v>2945</v>
      </c>
      <c r="C3366" s="651">
        <f>+C2084</f>
        <v>1000</v>
      </c>
      <c r="D3366" s="651">
        <f t="shared" ref="D3366:J3366" si="556">+D2084</f>
        <v>80000</v>
      </c>
      <c r="E3366" s="651">
        <f t="shared" si="556"/>
        <v>80000</v>
      </c>
      <c r="F3366" s="651">
        <f t="shared" si="556"/>
        <v>0</v>
      </c>
      <c r="G3366" s="651">
        <f t="shared" si="556"/>
        <v>0</v>
      </c>
      <c r="H3366" s="651">
        <f t="shared" si="556"/>
        <v>84000</v>
      </c>
      <c r="I3366" s="651">
        <f t="shared" si="556"/>
        <v>89040</v>
      </c>
      <c r="J3366" s="651">
        <f t="shared" si="556"/>
        <v>94382</v>
      </c>
    </row>
    <row r="3367" spans="2:10" x14ac:dyDescent="0.2">
      <c r="B3367" s="39" t="s">
        <v>2946</v>
      </c>
      <c r="C3367" s="651">
        <f>+C2168</f>
        <v>195</v>
      </c>
      <c r="D3367" s="651">
        <f t="shared" ref="D3367:J3367" si="557">+D2168</f>
        <v>50000</v>
      </c>
      <c r="E3367" s="651">
        <f t="shared" si="557"/>
        <v>50000</v>
      </c>
      <c r="F3367" s="651">
        <f t="shared" si="557"/>
        <v>120</v>
      </c>
      <c r="G3367" s="651">
        <f t="shared" si="557"/>
        <v>144</v>
      </c>
      <c r="H3367" s="651">
        <f t="shared" si="557"/>
        <v>52500</v>
      </c>
      <c r="I3367" s="651">
        <f t="shared" si="557"/>
        <v>55650</v>
      </c>
      <c r="J3367" s="651">
        <f t="shared" si="557"/>
        <v>58989</v>
      </c>
    </row>
    <row r="3368" spans="2:10" x14ac:dyDescent="0.2">
      <c r="B3368" s="39" t="s">
        <v>254</v>
      </c>
      <c r="C3368" s="651">
        <f>+C2243</f>
        <v>3487</v>
      </c>
      <c r="D3368" s="651">
        <f t="shared" ref="D3368:J3368" si="558">+D2243</f>
        <v>5250</v>
      </c>
      <c r="E3368" s="651">
        <f t="shared" si="558"/>
        <v>5250</v>
      </c>
      <c r="F3368" s="651">
        <f t="shared" si="558"/>
        <v>1503</v>
      </c>
      <c r="G3368" s="651">
        <f t="shared" si="558"/>
        <v>1803.6000000000001</v>
      </c>
      <c r="H3368" s="651">
        <f t="shared" si="558"/>
        <v>5512.5</v>
      </c>
      <c r="I3368" s="651">
        <f t="shared" si="558"/>
        <v>5843</v>
      </c>
      <c r="J3368" s="651">
        <f t="shared" si="558"/>
        <v>6194</v>
      </c>
    </row>
    <row r="3369" spans="2:10" x14ac:dyDescent="0.2">
      <c r="B3369" s="39" t="s">
        <v>3491</v>
      </c>
      <c r="C3369" s="651">
        <f>+C2342+C2343</f>
        <v>0</v>
      </c>
      <c r="D3369" s="651">
        <f t="shared" ref="D3369:J3369" si="559">+D2342+D2343</f>
        <v>155000</v>
      </c>
      <c r="E3369" s="651">
        <f t="shared" si="559"/>
        <v>155000</v>
      </c>
      <c r="F3369" s="651">
        <f t="shared" si="559"/>
        <v>0</v>
      </c>
      <c r="G3369" s="651">
        <f t="shared" si="559"/>
        <v>0</v>
      </c>
      <c r="H3369" s="651">
        <f t="shared" si="559"/>
        <v>162750</v>
      </c>
      <c r="I3369" s="651">
        <f t="shared" si="559"/>
        <v>172515</v>
      </c>
      <c r="J3369" s="651">
        <f t="shared" si="559"/>
        <v>182866</v>
      </c>
    </row>
    <row r="3370" spans="2:10" x14ac:dyDescent="0.2">
      <c r="B3370" s="39" t="s">
        <v>1830</v>
      </c>
      <c r="C3370" s="651">
        <f>+C2502+C2503</f>
        <v>226848</v>
      </c>
      <c r="D3370" s="651">
        <f t="shared" ref="D3370:J3370" si="560">+D2502+D2503</f>
        <v>262500</v>
      </c>
      <c r="E3370" s="651">
        <f t="shared" si="560"/>
        <v>262500</v>
      </c>
      <c r="F3370" s="651">
        <f t="shared" si="560"/>
        <v>80822</v>
      </c>
      <c r="G3370" s="651">
        <f t="shared" si="560"/>
        <v>96986.4</v>
      </c>
      <c r="H3370" s="651">
        <f t="shared" si="560"/>
        <v>275625</v>
      </c>
      <c r="I3370" s="651">
        <f t="shared" si="560"/>
        <v>292163</v>
      </c>
      <c r="J3370" s="651">
        <f t="shared" si="560"/>
        <v>309693</v>
      </c>
    </row>
    <row r="3371" spans="2:10" x14ac:dyDescent="0.2">
      <c r="B3371" s="39" t="s">
        <v>4562</v>
      </c>
      <c r="C3371" s="651">
        <f>+C2637</f>
        <v>8908</v>
      </c>
      <c r="D3371" s="651">
        <f t="shared" ref="D3371:J3371" si="561">+D2637</f>
        <v>500000</v>
      </c>
      <c r="E3371" s="651">
        <f t="shared" si="561"/>
        <v>300000</v>
      </c>
      <c r="F3371" s="651">
        <f t="shared" si="561"/>
        <v>1811</v>
      </c>
      <c r="G3371" s="651">
        <f t="shared" si="561"/>
        <v>2173.1999999999998</v>
      </c>
      <c r="H3371" s="651">
        <f t="shared" si="561"/>
        <v>315000</v>
      </c>
      <c r="I3371" s="651">
        <f t="shared" si="561"/>
        <v>333900</v>
      </c>
      <c r="J3371" s="651">
        <f t="shared" si="561"/>
        <v>353934</v>
      </c>
    </row>
    <row r="3372" spans="2:10" x14ac:dyDescent="0.2">
      <c r="B3372" s="39" t="s">
        <v>444</v>
      </c>
      <c r="C3372" s="651">
        <f>+C2801+C2802</f>
        <v>641351</v>
      </c>
      <c r="D3372" s="651">
        <f t="shared" ref="D3372:J3372" si="562">+D2801+D2802</f>
        <v>410000</v>
      </c>
      <c r="E3372" s="651">
        <f t="shared" si="562"/>
        <v>410000</v>
      </c>
      <c r="F3372" s="651">
        <f t="shared" si="562"/>
        <v>766591</v>
      </c>
      <c r="G3372" s="651">
        <f t="shared" si="562"/>
        <v>919909.2</v>
      </c>
      <c r="H3372" s="651">
        <f t="shared" si="562"/>
        <v>573174</v>
      </c>
      <c r="I3372" s="651">
        <f t="shared" si="562"/>
        <v>607564</v>
      </c>
      <c r="J3372" s="651">
        <f t="shared" si="562"/>
        <v>644018</v>
      </c>
    </row>
    <row r="3373" spans="2:10" x14ac:dyDescent="0.2">
      <c r="B3373" s="39" t="s">
        <v>4121</v>
      </c>
      <c r="C3373" s="651">
        <f>+C2799</f>
        <v>0</v>
      </c>
      <c r="D3373" s="651">
        <f t="shared" ref="D3373:J3373" si="563">+D2799</f>
        <v>50000</v>
      </c>
      <c r="E3373" s="651">
        <f t="shared" si="563"/>
        <v>50000</v>
      </c>
      <c r="F3373" s="651">
        <f t="shared" si="563"/>
        <v>0</v>
      </c>
      <c r="G3373" s="651">
        <f t="shared" si="563"/>
        <v>0</v>
      </c>
      <c r="H3373" s="651">
        <f t="shared" si="563"/>
        <v>52500</v>
      </c>
      <c r="I3373" s="651">
        <f t="shared" si="563"/>
        <v>55650</v>
      </c>
      <c r="J3373" s="651">
        <f t="shared" si="563"/>
        <v>58989</v>
      </c>
    </row>
    <row r="3374" spans="2:10" x14ac:dyDescent="0.2">
      <c r="B3374" s="39" t="s">
        <v>2421</v>
      </c>
      <c r="C3374" s="651">
        <f>+C2949</f>
        <v>0</v>
      </c>
      <c r="D3374" s="651">
        <f t="shared" ref="D3374:J3374" si="564">+D2949</f>
        <v>0</v>
      </c>
      <c r="E3374" s="651">
        <f t="shared" si="564"/>
        <v>0</v>
      </c>
      <c r="F3374" s="651">
        <f t="shared" si="564"/>
        <v>0</v>
      </c>
      <c r="G3374" s="651">
        <f t="shared" si="564"/>
        <v>0</v>
      </c>
      <c r="H3374" s="651">
        <f t="shared" si="564"/>
        <v>48441</v>
      </c>
      <c r="I3374" s="651">
        <f t="shared" si="564"/>
        <v>51347</v>
      </c>
      <c r="J3374" s="651">
        <f t="shared" si="564"/>
        <v>54428</v>
      </c>
    </row>
    <row r="3375" spans="2:10" x14ac:dyDescent="0.2">
      <c r="B3375" s="39" t="s">
        <v>4382</v>
      </c>
      <c r="C3375" s="653">
        <f>+C2945+C2947+C2948</f>
        <v>0</v>
      </c>
      <c r="D3375" s="653">
        <f t="shared" ref="D3375:J3375" si="565">+D2945+D2947+D2948</f>
        <v>0</v>
      </c>
      <c r="E3375" s="653">
        <f t="shared" si="565"/>
        <v>0</v>
      </c>
      <c r="F3375" s="653">
        <f t="shared" si="565"/>
        <v>0</v>
      </c>
      <c r="G3375" s="653">
        <f t="shared" si="565"/>
        <v>0</v>
      </c>
      <c r="H3375" s="653">
        <f t="shared" si="565"/>
        <v>307869</v>
      </c>
      <c r="I3375" s="653">
        <f t="shared" si="565"/>
        <v>326341</v>
      </c>
      <c r="J3375" s="653">
        <f t="shared" si="565"/>
        <v>345922</v>
      </c>
    </row>
    <row r="3376" spans="2:10" x14ac:dyDescent="0.2">
      <c r="C3376" s="651">
        <f>SUM(C3361:C3375)</f>
        <v>907037</v>
      </c>
      <c r="D3376" s="651">
        <f t="shared" ref="D3376:J3376" si="566">SUM(D3361:D3375)</f>
        <v>3486250</v>
      </c>
      <c r="E3376" s="651">
        <f t="shared" si="566"/>
        <v>2536250</v>
      </c>
      <c r="F3376" s="651">
        <f t="shared" si="566"/>
        <v>1266611</v>
      </c>
      <c r="G3376" s="651">
        <f t="shared" si="566"/>
        <v>1519933.1999999997</v>
      </c>
      <c r="H3376" s="651">
        <f t="shared" si="566"/>
        <v>3162047.5</v>
      </c>
      <c r="I3376" s="651">
        <f t="shared" si="566"/>
        <v>3350721</v>
      </c>
      <c r="J3376" s="651">
        <f t="shared" si="566"/>
        <v>3550665</v>
      </c>
    </row>
    <row r="3377" spans="3:10" x14ac:dyDescent="0.2">
      <c r="C3377" s="651">
        <f>+C3356+C3376</f>
        <v>0</v>
      </c>
      <c r="D3377" s="651">
        <f t="shared" ref="D3377:J3377" si="567">+D3356+D3376</f>
        <v>0</v>
      </c>
      <c r="E3377" s="651">
        <f t="shared" si="567"/>
        <v>0</v>
      </c>
      <c r="F3377" s="651">
        <f t="shared" si="567"/>
        <v>0</v>
      </c>
      <c r="G3377" s="651">
        <f t="shared" si="567"/>
        <v>0</v>
      </c>
      <c r="H3377" s="651">
        <f t="shared" si="567"/>
        <v>0</v>
      </c>
      <c r="I3377" s="651">
        <f t="shared" si="567"/>
        <v>0</v>
      </c>
      <c r="J3377" s="651">
        <f t="shared" si="567"/>
        <v>0</v>
      </c>
    </row>
    <row r="3379" spans="3:10" x14ac:dyDescent="0.2">
      <c r="C3379" s="651">
        <f>+C3354+C3358+C3376+C3359</f>
        <v>2415945</v>
      </c>
      <c r="D3379" s="651">
        <f t="shared" ref="D3379:J3379" si="568">+D3354+D3358+D3376+D3359</f>
        <v>6797653</v>
      </c>
      <c r="E3379" s="651">
        <f t="shared" si="568"/>
        <v>5793961</v>
      </c>
      <c r="F3379" s="651">
        <f t="shared" si="568"/>
        <v>3693926</v>
      </c>
      <c r="G3379" s="651">
        <f t="shared" si="568"/>
        <v>4432711.1999999993</v>
      </c>
      <c r="H3379" s="651">
        <f t="shared" si="568"/>
        <v>8075581</v>
      </c>
      <c r="I3379" s="651">
        <f t="shared" si="568"/>
        <v>8419738</v>
      </c>
      <c r="J3379" s="651">
        <f t="shared" si="568"/>
        <v>8784495</v>
      </c>
    </row>
  </sheetData>
  <autoFilter ref="A6:J3264">
    <filterColumn colId="3" showButton="0"/>
    <filterColumn colId="4" showButton="0"/>
    <filterColumn colId="5" showButton="0"/>
    <filterColumn colId="7" showButton="0"/>
    <filterColumn colId="8" showButton="0"/>
    <sortState ref="A39:J3035">
      <sortCondition ref="B6:B3261"/>
    </sortState>
  </autoFilter>
  <mergeCells count="15">
    <mergeCell ref="A1:J1"/>
    <mergeCell ref="A3:J3"/>
    <mergeCell ref="J8:J10"/>
    <mergeCell ref="B6:B10"/>
    <mergeCell ref="E8:E10"/>
    <mergeCell ref="F8:F10"/>
    <mergeCell ref="G8:G10"/>
    <mergeCell ref="H8:H10"/>
    <mergeCell ref="A6:A10"/>
    <mergeCell ref="D6:G7"/>
    <mergeCell ref="H6:J7"/>
    <mergeCell ref="C8:C10"/>
    <mergeCell ref="D8:D10"/>
    <mergeCell ref="C6:C7"/>
    <mergeCell ref="I8:I10"/>
  </mergeCells>
  <phoneticPr fontId="20" type="noConversion"/>
  <printOptions horizontalCentered="1"/>
  <pageMargins left="0.74803149606299213" right="0.74803149606299213" top="0.98425196850393704" bottom="0.98425196850393704" header="0.51181102362204722" footer="0.51181102362204722"/>
  <pageSetup scale="37" orientation="landscape" r:id="rId1"/>
  <headerFooter alignWithMargins="0"/>
  <rowBreaks count="41" manualBreakCount="41">
    <brk id="89" max="9" man="1"/>
    <brk id="166" max="9" man="1"/>
    <brk id="253" max="9" man="1"/>
    <brk id="339" max="9" man="1"/>
    <brk id="420" max="9" man="1"/>
    <brk id="505" max="9" man="1"/>
    <brk id="586" max="9" man="1"/>
    <brk id="661" max="9" man="1"/>
    <brk id="734" max="9" man="1"/>
    <brk id="811" max="9" man="1"/>
    <brk id="893" max="9" man="1"/>
    <brk id="971" max="9" man="1"/>
    <brk id="1047" max="9" man="1"/>
    <brk id="1121" max="9" man="1"/>
    <brk id="1198" max="9" man="1"/>
    <brk id="1271" max="9" man="1"/>
    <brk id="1347" max="9" man="1"/>
    <brk id="1424" max="9" man="1"/>
    <brk id="1510" max="9" man="1"/>
    <brk id="1589" max="9" man="1"/>
    <brk id="1668" max="9" man="1"/>
    <brk id="1745" max="9" man="1"/>
    <brk id="1824" max="9" man="1"/>
    <brk id="1903" max="9" man="1"/>
    <brk id="1979" max="9" man="1"/>
    <brk id="2053" max="9" man="1"/>
    <brk id="2133" max="9" man="1"/>
    <brk id="2212" max="9" man="1"/>
    <brk id="2294" max="9" man="1"/>
    <brk id="2371" max="9" man="1"/>
    <brk id="2445" max="9" man="1"/>
    <brk id="2521" max="9" man="1"/>
    <brk id="2590" max="9" man="1"/>
    <brk id="2666" max="9" man="1"/>
    <brk id="2740" max="9" man="1"/>
    <brk id="2817" max="9" man="1"/>
    <brk id="2889" max="9" man="1"/>
    <brk id="2975" max="9" man="1"/>
    <brk id="3020" max="9" man="1"/>
    <brk id="3186" max="9" man="1"/>
    <brk id="3284"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0"/>
  <sheetViews>
    <sheetView topLeftCell="B1" zoomScaleNormal="100" zoomScaleSheetLayoutView="100" workbookViewId="0">
      <pane ySplit="1785" activePane="bottomLeft"/>
      <selection pane="bottomLeft" activeCell="H32" sqref="H32"/>
    </sheetView>
  </sheetViews>
  <sheetFormatPr defaultColWidth="10.6640625" defaultRowHeight="12.75" x14ac:dyDescent="0.2"/>
  <cols>
    <col min="1" max="1" width="57.83203125" style="180" customWidth="1"/>
    <col min="2" max="2" width="21.33203125" style="214" bestFit="1" customWidth="1"/>
    <col min="3" max="3" width="24" style="214" bestFit="1" customWidth="1"/>
    <col min="4" max="5" width="23.6640625" style="214" bestFit="1" customWidth="1"/>
    <col min="6" max="6" width="23.83203125" style="214" bestFit="1" customWidth="1"/>
    <col min="7" max="8" width="23.83203125" style="214" customWidth="1"/>
    <col min="9" max="13" width="12.5" style="214" customWidth="1"/>
    <col min="14" max="16384" width="10.6640625" style="180"/>
  </cols>
  <sheetData>
    <row r="1" spans="1:13" x14ac:dyDescent="0.2">
      <c r="A1" s="213"/>
      <c r="B1" s="173" t="s">
        <v>1096</v>
      </c>
      <c r="C1" s="174" t="s">
        <v>1097</v>
      </c>
      <c r="D1" s="175"/>
      <c r="E1" s="176"/>
      <c r="F1" s="177" t="s">
        <v>1098</v>
      </c>
      <c r="G1" s="178"/>
      <c r="H1" s="179"/>
    </row>
    <row r="2" spans="1:13" x14ac:dyDescent="0.2">
      <c r="A2" s="181" t="s">
        <v>4370</v>
      </c>
      <c r="B2" s="182" t="s">
        <v>1103</v>
      </c>
      <c r="C2" s="183" t="s">
        <v>4093</v>
      </c>
      <c r="D2" s="184"/>
      <c r="E2" s="185"/>
      <c r="F2" s="186" t="s">
        <v>1100</v>
      </c>
      <c r="G2" s="181" t="s">
        <v>1101</v>
      </c>
      <c r="H2" s="181" t="s">
        <v>1102</v>
      </c>
    </row>
    <row r="3" spans="1:13" x14ac:dyDescent="0.2">
      <c r="A3" s="200"/>
      <c r="B3" s="187"/>
      <c r="C3" s="188"/>
      <c r="D3" s="189"/>
      <c r="E3" s="190"/>
      <c r="F3" s="191" t="s">
        <v>4094</v>
      </c>
      <c r="G3" s="191" t="s">
        <v>4095</v>
      </c>
      <c r="H3" s="191" t="s">
        <v>4096</v>
      </c>
      <c r="I3" s="221"/>
      <c r="J3" s="221"/>
      <c r="K3" s="221"/>
      <c r="L3" s="221"/>
      <c r="M3" s="221"/>
    </row>
    <row r="4" spans="1:13" x14ac:dyDescent="0.2">
      <c r="A4" s="181" t="s">
        <v>4138</v>
      </c>
      <c r="B4" s="192" t="s">
        <v>1104</v>
      </c>
      <c r="C4" s="173" t="s">
        <v>1105</v>
      </c>
      <c r="D4" s="173" t="s">
        <v>1106</v>
      </c>
      <c r="E4" s="193" t="s">
        <v>1107</v>
      </c>
      <c r="F4" s="193" t="s">
        <v>1108</v>
      </c>
      <c r="G4" s="193" t="s">
        <v>1108</v>
      </c>
      <c r="H4" s="193" t="s">
        <v>1108</v>
      </c>
    </row>
    <row r="5" spans="1:13" x14ac:dyDescent="0.2">
      <c r="A5" s="200"/>
      <c r="B5" s="194" t="s">
        <v>1109</v>
      </c>
      <c r="C5" s="181" t="s">
        <v>1109</v>
      </c>
      <c r="D5" s="181" t="s">
        <v>1109</v>
      </c>
      <c r="E5" s="181" t="s">
        <v>1109</v>
      </c>
      <c r="F5" s="181" t="s">
        <v>1109</v>
      </c>
      <c r="G5" s="181" t="s">
        <v>1109</v>
      </c>
      <c r="H5" s="181" t="s">
        <v>1109</v>
      </c>
    </row>
    <row r="6" spans="1:13" x14ac:dyDescent="0.2">
      <c r="A6" s="195"/>
      <c r="B6" s="196" t="s">
        <v>1110</v>
      </c>
      <c r="C6" s="197" t="s">
        <v>1111</v>
      </c>
      <c r="D6" s="197" t="s">
        <v>1112</v>
      </c>
      <c r="E6" s="197" t="s">
        <v>1113</v>
      </c>
      <c r="F6" s="197" t="s">
        <v>1114</v>
      </c>
      <c r="G6" s="198" t="s">
        <v>1115</v>
      </c>
      <c r="H6" s="198" t="s">
        <v>1116</v>
      </c>
    </row>
    <row r="7" spans="1:13" x14ac:dyDescent="0.2">
      <c r="A7" s="200"/>
      <c r="B7" s="215"/>
      <c r="C7" s="215"/>
      <c r="D7" s="215"/>
      <c r="E7" s="215"/>
      <c r="F7" s="215"/>
      <c r="G7" s="215"/>
      <c r="H7" s="215"/>
      <c r="I7" s="217"/>
      <c r="J7" s="216"/>
      <c r="K7" s="216"/>
      <c r="L7" s="216"/>
      <c r="M7" s="216"/>
    </row>
    <row r="8" spans="1:13" x14ac:dyDescent="0.2">
      <c r="A8" s="600" t="s">
        <v>4371</v>
      </c>
      <c r="B8" s="601">
        <f>SUM(B9)</f>
        <v>103070</v>
      </c>
      <c r="C8" s="601">
        <f t="shared" ref="C8:H8" si="0">SUM(C9)</f>
        <v>2093221</v>
      </c>
      <c r="D8" s="601">
        <f t="shared" si="0"/>
        <v>2093221</v>
      </c>
      <c r="E8" s="601">
        <f t="shared" si="0"/>
        <v>459351</v>
      </c>
      <c r="F8" s="601">
        <f t="shared" si="0"/>
        <v>1633870</v>
      </c>
      <c r="G8" s="601">
        <f t="shared" si="0"/>
        <v>0</v>
      </c>
      <c r="H8" s="601">
        <f t="shared" si="0"/>
        <v>0</v>
      </c>
    </row>
    <row r="9" spans="1:13" x14ac:dyDescent="0.2">
      <c r="A9" s="587" t="s">
        <v>627</v>
      </c>
      <c r="B9" s="255">
        <v>103070</v>
      </c>
      <c r="C9" s="255">
        <v>2093221</v>
      </c>
      <c r="D9" s="255">
        <v>2093221</v>
      </c>
      <c r="E9" s="255">
        <v>459351</v>
      </c>
      <c r="F9" s="255">
        <v>1633870</v>
      </c>
      <c r="G9" s="588">
        <v>0</v>
      </c>
      <c r="H9" s="588">
        <v>0</v>
      </c>
    </row>
    <row r="10" spans="1:13" x14ac:dyDescent="0.2">
      <c r="A10" s="587" t="s">
        <v>628</v>
      </c>
      <c r="B10" s="255">
        <v>-103070</v>
      </c>
      <c r="C10" s="255">
        <v>-2093221</v>
      </c>
      <c r="D10" s="255">
        <v>-2093221</v>
      </c>
      <c r="E10" s="255">
        <v>-459351</v>
      </c>
      <c r="F10" s="255">
        <v>-1633870</v>
      </c>
      <c r="G10" s="588">
        <v>0</v>
      </c>
      <c r="H10" s="588">
        <v>0</v>
      </c>
    </row>
    <row r="11" spans="1:13" x14ac:dyDescent="0.2">
      <c r="A11" s="210"/>
      <c r="B11" s="208"/>
      <c r="C11" s="208"/>
      <c r="D11" s="208"/>
      <c r="E11" s="208"/>
      <c r="F11" s="208"/>
      <c r="G11" s="219"/>
      <c r="H11" s="219"/>
    </row>
    <row r="12" spans="1:13" x14ac:dyDescent="0.2">
      <c r="A12" s="195" t="s">
        <v>4372</v>
      </c>
      <c r="B12" s="602">
        <f>SUM(B13:B15)</f>
        <v>292616</v>
      </c>
      <c r="C12" s="602">
        <f t="shared" ref="C12:H12" si="1">SUM(C13:C15)</f>
        <v>0</v>
      </c>
      <c r="D12" s="602">
        <f t="shared" si="1"/>
        <v>2000000</v>
      </c>
      <c r="E12" s="602">
        <f t="shared" si="1"/>
        <v>0</v>
      </c>
      <c r="F12" s="602">
        <f t="shared" si="1"/>
        <v>4000000</v>
      </c>
      <c r="G12" s="602">
        <f t="shared" si="1"/>
        <v>0</v>
      </c>
      <c r="H12" s="602">
        <f t="shared" si="1"/>
        <v>0</v>
      </c>
    </row>
    <row r="13" spans="1:13" x14ac:dyDescent="0.2">
      <c r="A13" s="589" t="s">
        <v>629</v>
      </c>
      <c r="B13" s="180">
        <v>0</v>
      </c>
      <c r="C13" s="208">
        <v>0</v>
      </c>
      <c r="D13" s="208">
        <v>2000000</v>
      </c>
      <c r="E13" s="219">
        <v>0</v>
      </c>
      <c r="F13" s="208">
        <f>2000000+2000000</f>
        <v>4000000</v>
      </c>
      <c r="G13" s="219">
        <v>0</v>
      </c>
      <c r="H13" s="219">
        <v>0</v>
      </c>
    </row>
    <row r="14" spans="1:13" x14ac:dyDescent="0.2">
      <c r="A14" s="589" t="s">
        <v>4520</v>
      </c>
      <c r="B14" s="180">
        <v>0</v>
      </c>
      <c r="C14" s="208">
        <v>0</v>
      </c>
      <c r="D14" s="208">
        <v>0</v>
      </c>
      <c r="E14" s="219">
        <v>0</v>
      </c>
      <c r="F14" s="208">
        <v>0</v>
      </c>
      <c r="G14" s="219"/>
      <c r="H14" s="219"/>
    </row>
    <row r="15" spans="1:13" x14ac:dyDescent="0.2">
      <c r="A15" s="590" t="s">
        <v>4046</v>
      </c>
      <c r="B15" s="255">
        <v>292616</v>
      </c>
      <c r="C15" s="255">
        <v>0</v>
      </c>
      <c r="D15" s="255">
        <v>0</v>
      </c>
      <c r="E15" s="588">
        <v>0</v>
      </c>
      <c r="F15" s="255">
        <v>0</v>
      </c>
      <c r="G15" s="588">
        <v>0</v>
      </c>
      <c r="H15" s="588">
        <v>0</v>
      </c>
    </row>
    <row r="16" spans="1:13" x14ac:dyDescent="0.2">
      <c r="A16" s="589" t="s">
        <v>631</v>
      </c>
      <c r="B16" s="208">
        <v>-292616</v>
      </c>
      <c r="C16" s="208">
        <v>0</v>
      </c>
      <c r="D16" s="208">
        <v>-1000000</v>
      </c>
      <c r="E16" s="219">
        <v>0</v>
      </c>
      <c r="F16" s="208">
        <v>-2000000</v>
      </c>
      <c r="G16" s="219">
        <v>0</v>
      </c>
      <c r="H16" s="219">
        <v>0</v>
      </c>
    </row>
    <row r="17" spans="1:8" x14ac:dyDescent="0.2">
      <c r="A17" s="589" t="s">
        <v>3307</v>
      </c>
      <c r="B17" s="208">
        <v>0</v>
      </c>
      <c r="C17" s="208">
        <v>0</v>
      </c>
      <c r="D17" s="208">
        <v>0</v>
      </c>
      <c r="E17" s="219">
        <v>0</v>
      </c>
      <c r="F17" s="208">
        <v>0</v>
      </c>
      <c r="G17" s="219"/>
      <c r="H17" s="219"/>
    </row>
    <row r="18" spans="1:8" x14ac:dyDescent="0.2">
      <c r="A18" s="590" t="s">
        <v>630</v>
      </c>
      <c r="B18" s="255">
        <v>0</v>
      </c>
      <c r="C18" s="255">
        <v>0</v>
      </c>
      <c r="D18" s="255">
        <v>-1000000</v>
      </c>
      <c r="E18" s="588">
        <v>0</v>
      </c>
      <c r="F18" s="255">
        <v>-2000000</v>
      </c>
      <c r="G18" s="588">
        <v>0</v>
      </c>
      <c r="H18" s="588">
        <v>0</v>
      </c>
    </row>
    <row r="19" spans="1:8" x14ac:dyDescent="0.2">
      <c r="A19" s="589"/>
      <c r="B19" s="591"/>
      <c r="C19" s="241"/>
      <c r="D19" s="591"/>
      <c r="E19" s="232"/>
      <c r="F19" s="591"/>
      <c r="G19" s="232"/>
      <c r="H19" s="592"/>
    </row>
    <row r="20" spans="1:8" x14ac:dyDescent="0.2">
      <c r="A20" s="600" t="s">
        <v>4373</v>
      </c>
      <c r="B20" s="603">
        <f>SUM(B21)</f>
        <v>0</v>
      </c>
      <c r="C20" s="602">
        <f t="shared" ref="C20:H20" si="2">SUM(C21)</f>
        <v>2220000</v>
      </c>
      <c r="D20" s="602">
        <f t="shared" si="2"/>
        <v>2220000</v>
      </c>
      <c r="E20" s="602">
        <f t="shared" si="2"/>
        <v>0</v>
      </c>
      <c r="F20" s="602">
        <f t="shared" si="2"/>
        <v>2220000</v>
      </c>
      <c r="G20" s="602">
        <f t="shared" si="2"/>
        <v>0</v>
      </c>
      <c r="H20" s="602">
        <f t="shared" si="2"/>
        <v>0</v>
      </c>
    </row>
    <row r="21" spans="1:8" x14ac:dyDescent="0.2">
      <c r="A21" s="587" t="s">
        <v>632</v>
      </c>
      <c r="B21" s="588">
        <v>0</v>
      </c>
      <c r="C21" s="593">
        <v>2220000</v>
      </c>
      <c r="D21" s="255">
        <v>2220000</v>
      </c>
      <c r="E21" s="594">
        <v>0</v>
      </c>
      <c r="F21" s="255">
        <v>2220000</v>
      </c>
      <c r="G21" s="594">
        <v>0</v>
      </c>
      <c r="H21" s="588">
        <v>0</v>
      </c>
    </row>
    <row r="22" spans="1:8" x14ac:dyDescent="0.2">
      <c r="A22" s="595" t="s">
        <v>4515</v>
      </c>
      <c r="B22" s="588">
        <v>0</v>
      </c>
      <c r="C22" s="593">
        <v>-2220000</v>
      </c>
      <c r="D22" s="255">
        <v>-2220000</v>
      </c>
      <c r="E22" s="594">
        <v>0</v>
      </c>
      <c r="F22" s="255">
        <v>-2220000</v>
      </c>
      <c r="G22" s="594">
        <v>0</v>
      </c>
      <c r="H22" s="588">
        <v>0</v>
      </c>
    </row>
    <row r="23" spans="1:8" x14ac:dyDescent="0.2">
      <c r="A23" s="218"/>
      <c r="B23" s="219"/>
      <c r="C23" s="241"/>
      <c r="D23" s="208"/>
      <c r="E23" s="232"/>
      <c r="F23" s="208"/>
      <c r="G23" s="232"/>
      <c r="H23" s="219"/>
    </row>
    <row r="24" spans="1:8" x14ac:dyDescent="0.2">
      <c r="A24" s="600" t="s">
        <v>4374</v>
      </c>
      <c r="B24" s="604">
        <f>SUM(B25)</f>
        <v>0</v>
      </c>
      <c r="C24" s="604">
        <f t="shared" ref="C24:H24" si="3">SUM(C25)</f>
        <v>0</v>
      </c>
      <c r="D24" s="604">
        <f t="shared" si="3"/>
        <v>0</v>
      </c>
      <c r="E24" s="604">
        <f t="shared" si="3"/>
        <v>0</v>
      </c>
      <c r="F24" s="602">
        <f t="shared" si="3"/>
        <v>1500000</v>
      </c>
      <c r="G24" s="602">
        <f t="shared" si="3"/>
        <v>2000000</v>
      </c>
      <c r="H24" s="604">
        <f t="shared" si="3"/>
        <v>0</v>
      </c>
    </row>
    <row r="25" spans="1:8" x14ac:dyDescent="0.2">
      <c r="A25" s="587" t="s">
        <v>4516</v>
      </c>
      <c r="B25" s="588">
        <v>0</v>
      </c>
      <c r="C25" s="594">
        <v>0</v>
      </c>
      <c r="D25" s="588">
        <v>0</v>
      </c>
      <c r="E25" s="594">
        <v>0</v>
      </c>
      <c r="F25" s="255">
        <v>1500000</v>
      </c>
      <c r="G25" s="593">
        <v>2000000</v>
      </c>
      <c r="H25" s="588">
        <v>0</v>
      </c>
    </row>
    <row r="26" spans="1:8" x14ac:dyDescent="0.2">
      <c r="A26" s="595" t="s">
        <v>4517</v>
      </c>
      <c r="B26" s="596">
        <v>0</v>
      </c>
      <c r="C26" s="597">
        <v>0</v>
      </c>
      <c r="D26" s="596">
        <v>0</v>
      </c>
      <c r="E26" s="597">
        <v>0</v>
      </c>
      <c r="F26" s="598">
        <v>-1500000</v>
      </c>
      <c r="G26" s="599">
        <v>-2000000</v>
      </c>
      <c r="H26" s="596">
        <v>0</v>
      </c>
    </row>
    <row r="27" spans="1:8" x14ac:dyDescent="0.2">
      <c r="A27" s="586"/>
      <c r="B27" s="219"/>
      <c r="C27" s="232"/>
      <c r="D27" s="219"/>
      <c r="E27" s="232"/>
      <c r="F27" s="208"/>
      <c r="G27" s="241"/>
      <c r="H27" s="219"/>
    </row>
    <row r="28" spans="1:8" x14ac:dyDescent="0.2">
      <c r="A28" s="600" t="s">
        <v>4380</v>
      </c>
      <c r="B28" s="602">
        <f>SUM(B29)</f>
        <v>3777478</v>
      </c>
      <c r="C28" s="602">
        <f t="shared" ref="C28:H28" si="4">SUM(C29)</f>
        <v>4301271</v>
      </c>
      <c r="D28" s="602">
        <f t="shared" si="4"/>
        <v>4301271</v>
      </c>
      <c r="E28" s="602">
        <f t="shared" si="4"/>
        <v>8665901</v>
      </c>
      <c r="F28" s="602">
        <f t="shared" si="4"/>
        <v>6892247</v>
      </c>
      <c r="G28" s="602">
        <f t="shared" si="4"/>
        <v>0</v>
      </c>
      <c r="H28" s="602">
        <f t="shared" si="4"/>
        <v>0</v>
      </c>
    </row>
    <row r="29" spans="1:8" x14ac:dyDescent="0.2">
      <c r="A29" s="587" t="s">
        <v>4518</v>
      </c>
      <c r="B29" s="255">
        <v>3777478</v>
      </c>
      <c r="C29" s="593">
        <v>4301271</v>
      </c>
      <c r="D29" s="255">
        <v>4301271</v>
      </c>
      <c r="E29" s="593">
        <v>8665901</v>
      </c>
      <c r="F29" s="255">
        <v>6892247</v>
      </c>
      <c r="G29" s="594">
        <v>0</v>
      </c>
      <c r="H29" s="588">
        <v>0</v>
      </c>
    </row>
    <row r="30" spans="1:8" x14ac:dyDescent="0.2">
      <c r="A30" s="595" t="s">
        <v>4519</v>
      </c>
      <c r="B30" s="598">
        <v>-3777478</v>
      </c>
      <c r="C30" s="599">
        <v>-4301271</v>
      </c>
      <c r="D30" s="598">
        <v>-4301271</v>
      </c>
      <c r="E30" s="599">
        <v>-8665901</v>
      </c>
      <c r="F30" s="598">
        <v>-6892247</v>
      </c>
      <c r="G30" s="597">
        <v>0</v>
      </c>
      <c r="H30" s="596">
        <v>0</v>
      </c>
    </row>
    <row r="31" spans="1:8" x14ac:dyDescent="0.2">
      <c r="A31" s="218"/>
      <c r="B31" s="208"/>
      <c r="C31" s="241"/>
      <c r="D31" s="208"/>
      <c r="E31" s="241"/>
      <c r="F31" s="208"/>
      <c r="G31" s="232"/>
      <c r="H31" s="219"/>
    </row>
    <row r="32" spans="1:8" x14ac:dyDescent="0.2">
      <c r="A32" s="600" t="s">
        <v>4381</v>
      </c>
      <c r="B32" s="602">
        <f>SUM(B33:B34)</f>
        <v>43827</v>
      </c>
      <c r="C32" s="602">
        <f t="shared" ref="C32:H32" si="5">SUM(C33:C34)</f>
        <v>0</v>
      </c>
      <c r="D32" s="602">
        <f t="shared" si="5"/>
        <v>797884</v>
      </c>
      <c r="E32" s="602">
        <f t="shared" si="5"/>
        <v>797884</v>
      </c>
      <c r="F32" s="602">
        <f t="shared" si="5"/>
        <v>25003400</v>
      </c>
      <c r="G32" s="602">
        <f t="shared" si="5"/>
        <v>0</v>
      </c>
      <c r="H32" s="602">
        <f t="shared" si="5"/>
        <v>0</v>
      </c>
    </row>
    <row r="33" spans="1:13" x14ac:dyDescent="0.2">
      <c r="A33" s="210" t="s">
        <v>39</v>
      </c>
      <c r="B33" s="208">
        <v>43827</v>
      </c>
      <c r="C33" s="241">
        <v>0</v>
      </c>
      <c r="D33" s="208">
        <v>0</v>
      </c>
      <c r="E33" s="241">
        <v>0</v>
      </c>
      <c r="F33" s="219">
        <v>0</v>
      </c>
      <c r="G33" s="232">
        <v>0</v>
      </c>
      <c r="H33" s="219">
        <v>0</v>
      </c>
    </row>
    <row r="34" spans="1:13" x14ac:dyDescent="0.2">
      <c r="A34" s="587" t="s">
        <v>4520</v>
      </c>
      <c r="B34" s="255">
        <v>0</v>
      </c>
      <c r="C34" s="593">
        <v>0</v>
      </c>
      <c r="D34" s="255">
        <v>797884</v>
      </c>
      <c r="E34" s="255">
        <v>797884</v>
      </c>
      <c r="F34" s="662">
        <v>25003400</v>
      </c>
      <c r="G34" s="594">
        <v>0</v>
      </c>
      <c r="H34" s="588">
        <v>0</v>
      </c>
    </row>
    <row r="35" spans="1:13" x14ac:dyDescent="0.2">
      <c r="A35" s="663" t="s">
        <v>3307</v>
      </c>
      <c r="B35" s="591">
        <v>0</v>
      </c>
      <c r="C35" s="591">
        <v>0</v>
      </c>
      <c r="D35" s="241">
        <v>0</v>
      </c>
      <c r="E35" s="591">
        <v>0</v>
      </c>
      <c r="F35" s="241">
        <v>-25003400</v>
      </c>
      <c r="G35" s="592"/>
      <c r="H35" s="592"/>
    </row>
    <row r="36" spans="1:13" x14ac:dyDescent="0.2">
      <c r="A36" s="587" t="s">
        <v>4521</v>
      </c>
      <c r="B36" s="255">
        <v>-43827</v>
      </c>
      <c r="C36" s="255">
        <v>0</v>
      </c>
      <c r="D36" s="593">
        <v>-797884</v>
      </c>
      <c r="E36" s="255">
        <v>-797884</v>
      </c>
      <c r="F36" s="594">
        <v>0</v>
      </c>
      <c r="G36" s="588">
        <v>0</v>
      </c>
      <c r="H36" s="588">
        <v>0</v>
      </c>
    </row>
    <row r="37" spans="1:13" x14ac:dyDescent="0.2">
      <c r="A37" s="218"/>
      <c r="B37" s="208"/>
      <c r="C37" s="241"/>
      <c r="D37" s="208"/>
      <c r="E37" s="241"/>
      <c r="F37" s="219"/>
      <c r="G37" s="232"/>
      <c r="H37" s="219"/>
    </row>
    <row r="38" spans="1:13" x14ac:dyDescent="0.2">
      <c r="A38" s="600" t="s">
        <v>444</v>
      </c>
      <c r="B38" s="602">
        <f>SUM(B39)</f>
        <v>1722004</v>
      </c>
      <c r="C38" s="602">
        <f t="shared" ref="C38:H38" si="6">SUM(C39)</f>
        <v>11721818</v>
      </c>
      <c r="D38" s="602">
        <f t="shared" si="6"/>
        <v>14555468</v>
      </c>
      <c r="E38" s="602">
        <f t="shared" si="6"/>
        <v>906367</v>
      </c>
      <c r="F38" s="602">
        <f t="shared" si="6"/>
        <v>12913000</v>
      </c>
      <c r="G38" s="602">
        <f t="shared" si="6"/>
        <v>15531000</v>
      </c>
      <c r="H38" s="602">
        <f t="shared" si="6"/>
        <v>18884000</v>
      </c>
    </row>
    <row r="39" spans="1:13" x14ac:dyDescent="0.2">
      <c r="A39" s="587" t="s">
        <v>4522</v>
      </c>
      <c r="B39" s="255">
        <f>1339827+382177</f>
        <v>1722004</v>
      </c>
      <c r="C39" s="593">
        <f>11629000+92818</f>
        <v>11721818</v>
      </c>
      <c r="D39" s="255">
        <v>14555468</v>
      </c>
      <c r="E39" s="593">
        <f>250195+656172</f>
        <v>906367</v>
      </c>
      <c r="F39" s="255">
        <v>12913000</v>
      </c>
      <c r="G39" s="593">
        <v>15531000</v>
      </c>
      <c r="H39" s="255">
        <v>18884000</v>
      </c>
    </row>
    <row r="40" spans="1:13" x14ac:dyDescent="0.2">
      <c r="A40" s="595" t="s">
        <v>4519</v>
      </c>
      <c r="B40" s="598">
        <f>-1339827-382177</f>
        <v>-1722004</v>
      </c>
      <c r="C40" s="599">
        <f>-11629000-92818</f>
        <v>-11721818</v>
      </c>
      <c r="D40" s="598">
        <v>-14555468</v>
      </c>
      <c r="E40" s="599">
        <f>-250195-656172</f>
        <v>-906367</v>
      </c>
      <c r="F40" s="598">
        <v>-12913000</v>
      </c>
      <c r="G40" s="599">
        <v>-15531000</v>
      </c>
      <c r="H40" s="598">
        <v>-18884000</v>
      </c>
    </row>
    <row r="41" spans="1:13" x14ac:dyDescent="0.2">
      <c r="A41" s="218"/>
      <c r="B41" s="208"/>
      <c r="C41" s="241"/>
      <c r="D41" s="208"/>
      <c r="E41" s="241"/>
      <c r="F41" s="208"/>
      <c r="G41" s="241"/>
      <c r="H41" s="208"/>
    </row>
    <row r="42" spans="1:13" x14ac:dyDescent="0.2">
      <c r="A42" s="600" t="s">
        <v>4382</v>
      </c>
      <c r="B42" s="604">
        <f>SUM(B43)</f>
        <v>0</v>
      </c>
      <c r="C42" s="602">
        <f t="shared" ref="C42:H42" si="7">SUM(C43)</f>
        <v>3859915</v>
      </c>
      <c r="D42" s="602">
        <f t="shared" si="7"/>
        <v>3859915</v>
      </c>
      <c r="E42" s="602">
        <f t="shared" si="7"/>
        <v>1035845</v>
      </c>
      <c r="F42" s="602">
        <f t="shared" si="7"/>
        <v>2824071</v>
      </c>
      <c r="G42" s="602">
        <f t="shared" si="7"/>
        <v>300000</v>
      </c>
      <c r="H42" s="602">
        <f t="shared" si="7"/>
        <v>500000</v>
      </c>
    </row>
    <row r="43" spans="1:13" x14ac:dyDescent="0.2">
      <c r="A43" s="587" t="s">
        <v>2952</v>
      </c>
      <c r="B43" s="588">
        <v>0</v>
      </c>
      <c r="C43" s="593">
        <v>3859915</v>
      </c>
      <c r="D43" s="255">
        <v>3859915</v>
      </c>
      <c r="E43" s="593">
        <v>1035845</v>
      </c>
      <c r="F43" s="255">
        <v>2824071</v>
      </c>
      <c r="G43" s="593">
        <v>300000</v>
      </c>
      <c r="H43" s="255">
        <v>500000</v>
      </c>
    </row>
    <row r="44" spans="1:13" x14ac:dyDescent="0.2">
      <c r="A44" s="203" t="s">
        <v>4524</v>
      </c>
      <c r="B44" s="219">
        <v>0</v>
      </c>
      <c r="C44" s="241">
        <f>-3859915+909915</f>
        <v>-2950000</v>
      </c>
      <c r="D44" s="208">
        <f>-3859915+909915</f>
        <v>-2950000</v>
      </c>
      <c r="E44" s="241">
        <v>-1035845</v>
      </c>
      <c r="F44" s="208">
        <f>-2824071+909915</f>
        <v>-1914156</v>
      </c>
      <c r="G44" s="241">
        <v>-300000</v>
      </c>
      <c r="H44" s="208">
        <v>-500000</v>
      </c>
    </row>
    <row r="45" spans="1:13" x14ac:dyDescent="0.2">
      <c r="A45" s="239" t="s">
        <v>4515</v>
      </c>
      <c r="B45" s="588">
        <v>0</v>
      </c>
      <c r="C45" s="593">
        <v>-909915</v>
      </c>
      <c r="D45" s="255">
        <v>-909915</v>
      </c>
      <c r="E45" s="593">
        <v>0</v>
      </c>
      <c r="F45" s="255">
        <v>-909915</v>
      </c>
      <c r="G45" s="593">
        <v>0</v>
      </c>
      <c r="H45" s="255">
        <v>0</v>
      </c>
    </row>
    <row r="46" spans="1:13" x14ac:dyDescent="0.2">
      <c r="A46" s="203"/>
      <c r="B46" s="219"/>
      <c r="C46" s="241"/>
      <c r="D46" s="208"/>
      <c r="E46" s="241"/>
      <c r="F46" s="208"/>
      <c r="G46" s="241"/>
      <c r="H46" s="208"/>
    </row>
    <row r="47" spans="1:13" x14ac:dyDescent="0.2">
      <c r="A47" s="224" t="s">
        <v>4383</v>
      </c>
      <c r="B47" s="209">
        <f>+B8+B12+B20+B24+B28+B32+B38+B42</f>
        <v>5938995</v>
      </c>
      <c r="C47" s="209">
        <f t="shared" ref="C47:H47" si="8">+C8+C12+C20+C24+C28+C32+C38+C42</f>
        <v>24196225</v>
      </c>
      <c r="D47" s="209">
        <f t="shared" si="8"/>
        <v>29827759</v>
      </c>
      <c r="E47" s="209">
        <f t="shared" si="8"/>
        <v>11865348</v>
      </c>
      <c r="F47" s="209">
        <f t="shared" si="8"/>
        <v>56986588</v>
      </c>
      <c r="G47" s="209">
        <f t="shared" si="8"/>
        <v>17831000</v>
      </c>
      <c r="H47" s="209">
        <f t="shared" si="8"/>
        <v>19384000</v>
      </c>
      <c r="I47" s="217"/>
      <c r="J47" s="216"/>
      <c r="K47" s="216"/>
      <c r="L47" s="216"/>
      <c r="M47" s="216"/>
    </row>
    <row r="48" spans="1:13" x14ac:dyDescent="0.2">
      <c r="A48" s="224" t="s">
        <v>4523</v>
      </c>
      <c r="B48" s="209">
        <f>+B10+B16+B18+B22+B26+B30+B36+B40+B44+B45</f>
        <v>-5938995</v>
      </c>
      <c r="C48" s="209">
        <f t="shared" ref="C48:H48" si="9">+C10+C16+C18+C22+C26+C30+C36+C40+C44+C45</f>
        <v>-24196225</v>
      </c>
      <c r="D48" s="209">
        <f t="shared" si="9"/>
        <v>-29827759</v>
      </c>
      <c r="E48" s="209">
        <f t="shared" si="9"/>
        <v>-11865348</v>
      </c>
      <c r="F48" s="209">
        <f>+F10+F16+F18+F22+F26+F30+F36+F40+F44+F45+F35+F17</f>
        <v>-56986588</v>
      </c>
      <c r="G48" s="209">
        <f t="shared" si="9"/>
        <v>-17831000</v>
      </c>
      <c r="H48" s="209">
        <f t="shared" si="9"/>
        <v>-19384000</v>
      </c>
    </row>
    <row r="50" spans="1:8" x14ac:dyDescent="0.2">
      <c r="A50" s="760"/>
      <c r="B50" s="760"/>
      <c r="C50" s="760"/>
      <c r="D50" s="760"/>
      <c r="E50" s="760"/>
      <c r="F50" s="760"/>
      <c r="G50" s="760"/>
      <c r="H50" s="760"/>
    </row>
  </sheetData>
  <mergeCells count="1">
    <mergeCell ref="A50:H50"/>
  </mergeCells>
  <phoneticPr fontId="41" type="noConversion"/>
  <pageMargins left="0.75" right="0.75" top="1" bottom="1" header="0.5" footer="0.5"/>
  <pageSetup paperSize="9" scale="72"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1"/>
  <sheetViews>
    <sheetView view="pageBreakPreview" zoomScaleNormal="100" zoomScaleSheetLayoutView="100" workbookViewId="0">
      <selection activeCell="A28" sqref="A28"/>
    </sheetView>
  </sheetViews>
  <sheetFormatPr defaultRowHeight="12.75" x14ac:dyDescent="0.2"/>
  <cols>
    <col min="1" max="1" width="17.1640625" customWidth="1"/>
    <col min="2" max="2" width="16.33203125" bestFit="1" customWidth="1"/>
    <col min="3" max="3" width="14.83203125" bestFit="1" customWidth="1"/>
    <col min="4" max="4" width="14.6640625" bestFit="1" customWidth="1"/>
    <col min="5" max="5" width="15.1640625" bestFit="1" customWidth="1"/>
    <col min="6" max="6" width="14.33203125" bestFit="1" customWidth="1"/>
    <col min="7" max="7" width="14.83203125" bestFit="1" customWidth="1"/>
    <col min="8" max="8" width="14.33203125" bestFit="1" customWidth="1"/>
    <col min="9" max="9" width="14.83203125" bestFit="1" customWidth="1"/>
    <col min="10" max="10" width="14" bestFit="1" customWidth="1"/>
    <col min="11" max="13" width="10.1640625" bestFit="1" customWidth="1"/>
    <col min="14" max="14" width="12.5" customWidth="1"/>
    <col min="15" max="15" width="13.6640625" customWidth="1"/>
    <col min="16" max="16" width="13.5" customWidth="1"/>
    <col min="17" max="17" width="15.1640625" customWidth="1"/>
    <col min="18" max="18" width="11.5" bestFit="1" customWidth="1"/>
  </cols>
  <sheetData>
    <row r="1" spans="1:18" x14ac:dyDescent="0.2">
      <c r="B1" s="513"/>
      <c r="C1" s="513"/>
      <c r="D1" s="513"/>
      <c r="E1" s="513"/>
      <c r="F1" s="513"/>
      <c r="G1" s="513"/>
      <c r="H1" s="513"/>
      <c r="I1" s="513"/>
      <c r="J1" s="513"/>
      <c r="K1" s="513"/>
      <c r="L1" s="513"/>
      <c r="M1" s="513"/>
      <c r="N1" s="513"/>
    </row>
    <row r="2" spans="1:18" x14ac:dyDescent="0.2">
      <c r="M2" s="514"/>
      <c r="N2" s="515" t="s">
        <v>449</v>
      </c>
      <c r="P2" s="515" t="s">
        <v>449</v>
      </c>
    </row>
    <row r="3" spans="1:18" x14ac:dyDescent="0.2">
      <c r="B3" s="516">
        <v>39995</v>
      </c>
      <c r="C3" s="516">
        <f t="shared" ref="C3:M3" si="0">+B3+32</f>
        <v>40027</v>
      </c>
      <c r="D3" s="516">
        <f t="shared" si="0"/>
        <v>40059</v>
      </c>
      <c r="E3" s="516">
        <f t="shared" si="0"/>
        <v>40091</v>
      </c>
      <c r="F3" s="516">
        <f t="shared" si="0"/>
        <v>40123</v>
      </c>
      <c r="G3" s="516">
        <f t="shared" si="0"/>
        <v>40155</v>
      </c>
      <c r="H3" s="516">
        <f t="shared" si="0"/>
        <v>40187</v>
      </c>
      <c r="I3" s="516">
        <f t="shared" si="0"/>
        <v>40219</v>
      </c>
      <c r="J3" s="516">
        <f t="shared" si="0"/>
        <v>40251</v>
      </c>
      <c r="K3" s="516">
        <f t="shared" si="0"/>
        <v>40283</v>
      </c>
      <c r="L3" s="516">
        <f t="shared" si="0"/>
        <v>40315</v>
      </c>
      <c r="M3" s="517">
        <f t="shared" si="0"/>
        <v>40347</v>
      </c>
      <c r="N3" s="518" t="s">
        <v>3499</v>
      </c>
      <c r="O3" s="518" t="s">
        <v>3500</v>
      </c>
      <c r="P3" s="518" t="s">
        <v>3501</v>
      </c>
    </row>
    <row r="4" spans="1:18" x14ac:dyDescent="0.2">
      <c r="A4" s="519" t="s">
        <v>3502</v>
      </c>
      <c r="B4" s="520">
        <v>16230</v>
      </c>
      <c r="C4" s="520">
        <v>15830</v>
      </c>
      <c r="D4" s="520">
        <v>17680</v>
      </c>
      <c r="E4" s="520">
        <v>19130</v>
      </c>
      <c r="F4" s="520">
        <v>19130</v>
      </c>
      <c r="G4" s="520">
        <v>19130</v>
      </c>
      <c r="H4" s="520">
        <v>19630</v>
      </c>
      <c r="I4" s="520">
        <v>19630</v>
      </c>
      <c r="J4" s="520">
        <v>19455</v>
      </c>
      <c r="K4" s="520">
        <v>0</v>
      </c>
      <c r="L4" s="520">
        <v>0</v>
      </c>
      <c r="M4" s="521">
        <v>0</v>
      </c>
      <c r="N4" s="520">
        <f t="shared" ref="N4:N17" si="1">SUM(B4:M4)</f>
        <v>165845</v>
      </c>
      <c r="O4" s="520">
        <v>0</v>
      </c>
      <c r="P4" s="522">
        <f>+N4-O4</f>
        <v>165845</v>
      </c>
      <c r="Q4" s="520">
        <f>+P4/9*12</f>
        <v>221126.66666666669</v>
      </c>
    </row>
    <row r="5" spans="1:18" x14ac:dyDescent="0.2">
      <c r="A5" t="s">
        <v>3503</v>
      </c>
      <c r="B5">
        <v>82</v>
      </c>
      <c r="C5">
        <v>81</v>
      </c>
      <c r="D5">
        <v>83</v>
      </c>
      <c r="E5">
        <v>86</v>
      </c>
      <c r="F5">
        <v>86</v>
      </c>
      <c r="G5">
        <v>86</v>
      </c>
      <c r="H5">
        <v>87</v>
      </c>
      <c r="I5">
        <v>87</v>
      </c>
      <c r="J5">
        <v>87</v>
      </c>
      <c r="M5" s="514"/>
      <c r="N5" s="523">
        <f t="shared" si="1"/>
        <v>765</v>
      </c>
      <c r="P5" s="524"/>
      <c r="Q5" s="520">
        <f>+P5/9*12</f>
        <v>0</v>
      </c>
    </row>
    <row r="6" spans="1:18" x14ac:dyDescent="0.2">
      <c r="A6" s="525" t="s">
        <v>3504</v>
      </c>
      <c r="B6" s="520">
        <v>1708.6</v>
      </c>
      <c r="C6" s="520">
        <v>1708.6</v>
      </c>
      <c r="D6" s="520">
        <v>1936.6</v>
      </c>
      <c r="E6" s="520">
        <v>1937.6</v>
      </c>
      <c r="F6" s="520">
        <v>1936.6</v>
      </c>
      <c r="G6" s="520">
        <v>1936.6</v>
      </c>
      <c r="H6" s="520">
        <v>1936.6</v>
      </c>
      <c r="I6" s="520">
        <v>1936.6</v>
      </c>
      <c r="J6" s="520">
        <v>1936.6</v>
      </c>
      <c r="K6" s="520">
        <v>0</v>
      </c>
      <c r="L6" s="520">
        <v>0</v>
      </c>
      <c r="M6" s="521">
        <v>0</v>
      </c>
      <c r="N6" s="520">
        <f t="shared" si="1"/>
        <v>16974.400000000001</v>
      </c>
      <c r="O6" s="520">
        <f>+N6*0.12280701754386</f>
        <v>2084.5754385964915</v>
      </c>
      <c r="P6" s="522">
        <f>+N6-O6</f>
        <v>14889.82456140351</v>
      </c>
      <c r="Q6" s="520">
        <f>+P6/9*12</f>
        <v>19853.099415204681</v>
      </c>
    </row>
    <row r="7" spans="1:18" x14ac:dyDescent="0.2">
      <c r="A7" t="s">
        <v>3503</v>
      </c>
      <c r="B7">
        <v>6</v>
      </c>
      <c r="C7">
        <v>6</v>
      </c>
      <c r="D7">
        <v>6</v>
      </c>
      <c r="E7">
        <v>6</v>
      </c>
      <c r="F7">
        <v>6</v>
      </c>
      <c r="G7">
        <v>6</v>
      </c>
      <c r="H7">
        <v>6</v>
      </c>
      <c r="I7">
        <v>6</v>
      </c>
      <c r="J7">
        <v>6</v>
      </c>
      <c r="M7" s="514"/>
      <c r="N7" s="523">
        <f t="shared" si="1"/>
        <v>54</v>
      </c>
      <c r="P7" s="524"/>
    </row>
    <row r="8" spans="1:18" x14ac:dyDescent="0.2">
      <c r="A8" s="525" t="s">
        <v>3505</v>
      </c>
      <c r="B8" s="520">
        <v>4733729.95</v>
      </c>
      <c r="C8" s="526">
        <v>-9185</v>
      </c>
      <c r="D8" s="526">
        <v>-1890.99</v>
      </c>
      <c r="E8" s="526">
        <v>207980.54</v>
      </c>
      <c r="F8" s="526">
        <v>38184.050000000003</v>
      </c>
      <c r="G8" s="526">
        <v>253614.8</v>
      </c>
      <c r="H8" s="526">
        <v>0</v>
      </c>
      <c r="I8" s="526">
        <v>0</v>
      </c>
      <c r="J8" s="526">
        <v>0</v>
      </c>
      <c r="K8" s="526">
        <v>0</v>
      </c>
      <c r="L8" s="526">
        <v>0</v>
      </c>
      <c r="M8" s="527">
        <v>0</v>
      </c>
      <c r="N8" s="520">
        <f t="shared" si="1"/>
        <v>5222433.3499999996</v>
      </c>
      <c r="O8" s="520">
        <v>0</v>
      </c>
      <c r="P8" s="522">
        <f>+N8-O8</f>
        <v>5222433.3499999996</v>
      </c>
    </row>
    <row r="9" spans="1:18" x14ac:dyDescent="0.2">
      <c r="A9" t="s">
        <v>3503</v>
      </c>
      <c r="B9">
        <v>5195</v>
      </c>
      <c r="C9">
        <v>5196</v>
      </c>
      <c r="D9">
        <v>5195</v>
      </c>
      <c r="E9">
        <v>5194</v>
      </c>
      <c r="F9">
        <v>5195</v>
      </c>
      <c r="G9">
        <v>5194</v>
      </c>
      <c r="H9">
        <v>5194</v>
      </c>
      <c r="I9">
        <v>5194</v>
      </c>
      <c r="J9">
        <v>5194</v>
      </c>
      <c r="M9" s="514"/>
      <c r="N9" s="523">
        <f t="shared" si="1"/>
        <v>46751</v>
      </c>
      <c r="P9" s="524"/>
    </row>
    <row r="10" spans="1:18" x14ac:dyDescent="0.2">
      <c r="A10" s="519" t="s">
        <v>3506</v>
      </c>
      <c r="B10" s="520">
        <f>14944.3-154.26</f>
        <v>14790.039999999999</v>
      </c>
      <c r="C10" s="520">
        <f>16153-866.83</f>
        <v>15286.17</v>
      </c>
      <c r="D10" s="520">
        <f>16900.6-4.45</f>
        <v>16896.149999999998</v>
      </c>
      <c r="E10" s="520">
        <f>17895.85-8.4</f>
        <v>17887.449999999997</v>
      </c>
      <c r="F10" s="520">
        <v>18388.900000000001</v>
      </c>
      <c r="G10" s="520">
        <v>20913.150000000001</v>
      </c>
      <c r="H10" s="520">
        <v>20648</v>
      </c>
      <c r="I10" s="520">
        <v>21303.7</v>
      </c>
      <c r="J10" s="520">
        <f>19267.5-15267.35</f>
        <v>4000.1499999999996</v>
      </c>
      <c r="K10" s="520">
        <v>0</v>
      </c>
      <c r="L10" s="520">
        <v>0</v>
      </c>
      <c r="M10" s="521">
        <v>0</v>
      </c>
      <c r="N10" s="520">
        <f t="shared" si="1"/>
        <v>150113.71</v>
      </c>
      <c r="O10" s="520">
        <v>0</v>
      </c>
      <c r="P10" s="522">
        <f>+N10-O10</f>
        <v>150113.71</v>
      </c>
      <c r="Q10" s="520">
        <f>+P10/9*12</f>
        <v>200151.61333333334</v>
      </c>
    </row>
    <row r="11" spans="1:18" x14ac:dyDescent="0.2">
      <c r="A11" t="s">
        <v>3503</v>
      </c>
      <c r="B11">
        <v>5195</v>
      </c>
      <c r="C11" s="528">
        <v>5196</v>
      </c>
      <c r="D11" s="528">
        <v>5195</v>
      </c>
      <c r="E11" s="528">
        <v>5194</v>
      </c>
      <c r="F11" s="528">
        <v>5195</v>
      </c>
      <c r="G11" s="528">
        <v>5194</v>
      </c>
      <c r="H11" s="528">
        <v>5194</v>
      </c>
      <c r="I11" s="528">
        <v>5194</v>
      </c>
      <c r="J11" s="528">
        <v>5194</v>
      </c>
      <c r="K11" s="528"/>
      <c r="L11" s="528"/>
      <c r="M11" s="529"/>
      <c r="N11" s="523">
        <f t="shared" si="1"/>
        <v>46751</v>
      </c>
      <c r="O11" s="528"/>
      <c r="P11" s="530"/>
    </row>
    <row r="12" spans="1:18" x14ac:dyDescent="0.2">
      <c r="A12" s="519" t="s">
        <v>3507</v>
      </c>
      <c r="B12" s="520">
        <v>72358</v>
      </c>
      <c r="C12" s="520">
        <v>78625</v>
      </c>
      <c r="D12" s="520">
        <v>78600</v>
      </c>
      <c r="E12" s="520">
        <v>78600</v>
      </c>
      <c r="F12" s="520">
        <v>78600</v>
      </c>
      <c r="G12" s="520">
        <v>78600</v>
      </c>
      <c r="H12" s="520">
        <v>78600</v>
      </c>
      <c r="I12" s="520">
        <v>78625</v>
      </c>
      <c r="J12" s="520">
        <v>78625</v>
      </c>
      <c r="K12" s="520">
        <v>78650</v>
      </c>
      <c r="L12" s="520">
        <v>0</v>
      </c>
      <c r="M12" s="521">
        <v>0</v>
      </c>
      <c r="N12" s="520">
        <f t="shared" si="1"/>
        <v>779883</v>
      </c>
      <c r="O12" s="520">
        <v>0</v>
      </c>
      <c r="P12" s="522">
        <f>+N12-O12</f>
        <v>779883</v>
      </c>
      <c r="Q12" s="520">
        <f>+P12/9*12</f>
        <v>1039844</v>
      </c>
      <c r="R12">
        <f>+Q12*1.1</f>
        <v>1143828.4000000001</v>
      </c>
    </row>
    <row r="13" spans="1:18" x14ac:dyDescent="0.2">
      <c r="A13" t="s">
        <v>3503</v>
      </c>
      <c r="B13">
        <v>3155</v>
      </c>
      <c r="C13">
        <v>3154</v>
      </c>
      <c r="D13">
        <v>3153</v>
      </c>
      <c r="E13">
        <v>3153</v>
      </c>
      <c r="F13">
        <v>3153</v>
      </c>
      <c r="G13">
        <v>3153</v>
      </c>
      <c r="H13">
        <v>3153</v>
      </c>
      <c r="I13">
        <v>3154</v>
      </c>
      <c r="J13">
        <v>3154</v>
      </c>
      <c r="M13" s="514"/>
      <c r="N13" s="523">
        <f t="shared" si="1"/>
        <v>28382</v>
      </c>
      <c r="O13" s="520"/>
      <c r="P13" s="522"/>
    </row>
    <row r="14" spans="1:18" x14ac:dyDescent="0.2">
      <c r="A14" s="519" t="s">
        <v>4118</v>
      </c>
      <c r="B14" s="520">
        <v>345591.05</v>
      </c>
      <c r="C14" s="520">
        <v>509062.6</v>
      </c>
      <c r="D14" s="520">
        <v>448720.25</v>
      </c>
      <c r="E14" s="520">
        <v>513312.4</v>
      </c>
      <c r="F14" s="520">
        <v>434583.55</v>
      </c>
      <c r="G14" s="520">
        <v>584851.80000000005</v>
      </c>
      <c r="H14" s="520">
        <v>573409.44999999995</v>
      </c>
      <c r="I14" s="520">
        <v>622904.25</v>
      </c>
      <c r="J14" s="520">
        <v>617836.35</v>
      </c>
      <c r="K14" s="520">
        <v>0</v>
      </c>
      <c r="L14" s="520">
        <v>0</v>
      </c>
      <c r="M14" s="521">
        <v>0</v>
      </c>
      <c r="N14" s="520">
        <f t="shared" si="1"/>
        <v>4650271.6999999993</v>
      </c>
      <c r="O14" s="520">
        <f>+N14*0.12280701754386</f>
        <v>571085.99824561388</v>
      </c>
      <c r="P14" s="522">
        <f>+N14-O14</f>
        <v>4079185.7017543856</v>
      </c>
      <c r="Q14" s="520">
        <f>+P14/9*12</f>
        <v>5438914.2690058481</v>
      </c>
    </row>
    <row r="15" spans="1:18" x14ac:dyDescent="0.2">
      <c r="A15" t="s">
        <v>3503</v>
      </c>
      <c r="B15">
        <v>8091</v>
      </c>
      <c r="C15">
        <v>8091</v>
      </c>
      <c r="D15">
        <v>8092</v>
      </c>
      <c r="E15">
        <v>8094</v>
      </c>
      <c r="F15">
        <v>8094</v>
      </c>
      <c r="G15">
        <v>8095</v>
      </c>
      <c r="H15">
        <v>8110</v>
      </c>
      <c r="I15">
        <v>8111</v>
      </c>
      <c r="J15">
        <v>8105</v>
      </c>
      <c r="M15" s="514"/>
      <c r="N15" s="523">
        <f t="shared" si="1"/>
        <v>72883</v>
      </c>
      <c r="P15" s="524"/>
    </row>
    <row r="16" spans="1:18" x14ac:dyDescent="0.2">
      <c r="A16" s="519" t="s">
        <v>3508</v>
      </c>
      <c r="B16" s="520">
        <v>334644</v>
      </c>
      <c r="C16" s="520">
        <v>455199.1</v>
      </c>
      <c r="D16" s="520">
        <v>455191.1</v>
      </c>
      <c r="E16" s="520">
        <v>455374.1</v>
      </c>
      <c r="F16" s="520">
        <v>456121.1</v>
      </c>
      <c r="G16" s="520">
        <v>456179.1</v>
      </c>
      <c r="H16" s="520">
        <v>456984.1</v>
      </c>
      <c r="I16" s="520">
        <v>458467.1</v>
      </c>
      <c r="J16" s="520">
        <v>457307.1</v>
      </c>
      <c r="K16" s="520">
        <v>0</v>
      </c>
      <c r="L16" s="520">
        <v>0</v>
      </c>
      <c r="M16" s="521">
        <v>0</v>
      </c>
      <c r="N16" s="520">
        <f t="shared" si="1"/>
        <v>3985466.8000000003</v>
      </c>
      <c r="O16" s="520">
        <f>+N16*0.12280701754386</f>
        <v>489443.29122807016</v>
      </c>
      <c r="P16" s="522">
        <f>+N16-O16</f>
        <v>3496023.5087719299</v>
      </c>
      <c r="Q16" s="520">
        <f>+P16/9*12</f>
        <v>4661364.6783625735</v>
      </c>
    </row>
    <row r="17" spans="1:18" x14ac:dyDescent="0.2">
      <c r="A17" t="s">
        <v>3503</v>
      </c>
      <c r="B17">
        <v>8062</v>
      </c>
      <c r="C17">
        <v>8061</v>
      </c>
      <c r="D17">
        <v>8064</v>
      </c>
      <c r="E17">
        <v>8067</v>
      </c>
      <c r="F17">
        <v>8067</v>
      </c>
      <c r="G17">
        <v>8068</v>
      </c>
      <c r="H17">
        <v>8069</v>
      </c>
      <c r="I17">
        <v>8071</v>
      </c>
      <c r="J17">
        <v>8049</v>
      </c>
      <c r="M17" s="514"/>
      <c r="N17" s="523">
        <f t="shared" si="1"/>
        <v>72578</v>
      </c>
      <c r="P17" s="524"/>
    </row>
    <row r="18" spans="1:18" x14ac:dyDescent="0.2">
      <c r="A18" s="519" t="s">
        <v>3509</v>
      </c>
      <c r="B18" s="520">
        <v>288970.34999999998</v>
      </c>
      <c r="C18" s="520">
        <v>297265.45</v>
      </c>
      <c r="D18" s="520">
        <v>197342.45</v>
      </c>
      <c r="E18" s="520">
        <v>297437.45</v>
      </c>
      <c r="F18" s="520">
        <v>297458.45</v>
      </c>
      <c r="G18" s="520">
        <v>297491.45</v>
      </c>
      <c r="H18" s="520">
        <v>297545.45</v>
      </c>
      <c r="I18" s="520">
        <v>297615.45</v>
      </c>
      <c r="J18" s="520">
        <v>297714.45</v>
      </c>
      <c r="K18" s="520">
        <v>0</v>
      </c>
      <c r="L18" s="520">
        <v>0</v>
      </c>
      <c r="M18" s="521">
        <v>0</v>
      </c>
      <c r="N18" s="520">
        <f>SUM(B18:M18)</f>
        <v>2568840.9500000002</v>
      </c>
      <c r="O18" s="520">
        <f>+N18*0.12280701754386</f>
        <v>315471.69561403507</v>
      </c>
      <c r="P18" s="522">
        <f>+N18-O18</f>
        <v>2253369.2543859649</v>
      </c>
      <c r="Q18" s="520">
        <f>+P18/9*12</f>
        <v>3004492.3391812867</v>
      </c>
    </row>
    <row r="19" spans="1:18" x14ac:dyDescent="0.2">
      <c r="A19" t="s">
        <v>3503</v>
      </c>
      <c r="B19">
        <v>7998</v>
      </c>
      <c r="C19">
        <v>7998</v>
      </c>
      <c r="D19">
        <v>8002</v>
      </c>
      <c r="E19">
        <v>8006</v>
      </c>
      <c r="F19">
        <v>8006</v>
      </c>
      <c r="G19">
        <v>8007</v>
      </c>
      <c r="H19">
        <v>8008</v>
      </c>
      <c r="I19">
        <v>8009</v>
      </c>
      <c r="J19">
        <v>8011</v>
      </c>
      <c r="M19" s="514"/>
      <c r="N19" s="523">
        <f>SUM(B19:M19)</f>
        <v>72045</v>
      </c>
    </row>
    <row r="20" spans="1:18" x14ac:dyDescent="0.2">
      <c r="M20" s="514"/>
      <c r="N20" s="523"/>
    </row>
    <row r="21" spans="1:18" x14ac:dyDescent="0.2">
      <c r="A21" s="519" t="s">
        <v>3510</v>
      </c>
      <c r="B21" s="531">
        <f>85148.1+3413.97</f>
        <v>88562.07</v>
      </c>
      <c r="C21" s="531">
        <f>93321.72+2713.18</f>
        <v>96034.9</v>
      </c>
      <c r="D21" s="531">
        <f>92910.12+18381.56</f>
        <v>111291.68</v>
      </c>
      <c r="E21" s="531">
        <f>94051.78+4374.42</f>
        <v>98426.2</v>
      </c>
      <c r="F21" s="531">
        <f>118345.83+6370.66</f>
        <v>124716.49</v>
      </c>
      <c r="G21" s="531">
        <f>101250.42+1720.35</f>
        <v>102970.77</v>
      </c>
      <c r="H21" s="531">
        <f>104148.71</f>
        <v>104148.71</v>
      </c>
      <c r="I21" s="531">
        <f>121610.51+3444.99</f>
        <v>125055.5</v>
      </c>
      <c r="J21">
        <f>113998.21+5120.64</f>
        <v>119118.85</v>
      </c>
      <c r="M21" s="514"/>
      <c r="N21" s="520">
        <f>SUM(B21:M21)</f>
        <v>970325.16999999993</v>
      </c>
    </row>
    <row r="22" spans="1:18" x14ac:dyDescent="0.2">
      <c r="A22" s="519" t="s">
        <v>60</v>
      </c>
      <c r="B22" s="532">
        <f t="shared" ref="B22:J22" si="2">+B21/B14</f>
        <v>0.25626262601418642</v>
      </c>
      <c r="C22" s="532">
        <f t="shared" si="2"/>
        <v>0.18865047245662911</v>
      </c>
      <c r="D22" s="532">
        <f t="shared" si="2"/>
        <v>0.24802018629647313</v>
      </c>
      <c r="E22" s="532">
        <f t="shared" si="2"/>
        <v>0.19174716994952778</v>
      </c>
      <c r="F22" s="532">
        <f t="shared" si="2"/>
        <v>0.2869793161752211</v>
      </c>
      <c r="G22" s="532">
        <f t="shared" si="2"/>
        <v>0.17606301288634146</v>
      </c>
      <c r="H22" s="532">
        <f t="shared" si="2"/>
        <v>0.18163061316830412</v>
      </c>
      <c r="I22" s="532">
        <f t="shared" si="2"/>
        <v>0.20076199512204324</v>
      </c>
      <c r="J22" s="532">
        <f t="shared" si="2"/>
        <v>0.19280000278390874</v>
      </c>
      <c r="K22" s="532">
        <v>0</v>
      </c>
      <c r="L22" s="532">
        <v>0</v>
      </c>
      <c r="M22" s="533">
        <v>0</v>
      </c>
      <c r="N22" s="520">
        <f>N21/N14</f>
        <v>0.20865988755022638</v>
      </c>
    </row>
    <row r="23" spans="1:18" x14ac:dyDescent="0.2">
      <c r="M23" s="514"/>
      <c r="N23" s="523"/>
    </row>
    <row r="24" spans="1:18" x14ac:dyDescent="0.2">
      <c r="A24" t="s">
        <v>3511</v>
      </c>
      <c r="B24" s="531">
        <v>5834.86</v>
      </c>
      <c r="C24" s="531">
        <v>271384.83</v>
      </c>
      <c r="D24" s="531">
        <v>155331</v>
      </c>
      <c r="E24" s="520">
        <v>158432.54999999999</v>
      </c>
      <c r="F24" s="520">
        <v>159909.46</v>
      </c>
      <c r="G24" s="520">
        <v>159154.16</v>
      </c>
      <c r="H24" s="520">
        <v>162942</v>
      </c>
      <c r="I24" s="520">
        <v>162909</v>
      </c>
      <c r="J24" s="520">
        <v>164006.35999999999</v>
      </c>
      <c r="M24" s="514"/>
      <c r="N24" s="520">
        <f>SUM(B24:M24)</f>
        <v>1399904.2199999997</v>
      </c>
      <c r="Q24" s="531">
        <f>N24/9*12</f>
        <v>1866538.9599999995</v>
      </c>
    </row>
    <row r="25" spans="1:18" x14ac:dyDescent="0.2">
      <c r="A25" t="s">
        <v>3512</v>
      </c>
      <c r="B25" s="531">
        <v>5622.74</v>
      </c>
      <c r="C25" s="531">
        <v>232009</v>
      </c>
      <c r="D25" s="531">
        <v>116731.75</v>
      </c>
      <c r="E25" s="520">
        <v>118635</v>
      </c>
      <c r="F25" s="520">
        <v>120468.9</v>
      </c>
      <c r="G25" s="520">
        <v>119782</v>
      </c>
      <c r="H25" s="520">
        <v>122656</v>
      </c>
      <c r="I25" s="520">
        <v>122399</v>
      </c>
      <c r="J25" s="520">
        <v>122611.66</v>
      </c>
      <c r="M25" s="514"/>
      <c r="N25" s="520">
        <f>SUM(B25:M25)</f>
        <v>1080916.05</v>
      </c>
      <c r="Q25" s="534">
        <f>N25/9*12</f>
        <v>1441221.4000000001</v>
      </c>
    </row>
    <row r="26" spans="1:18" x14ac:dyDescent="0.2">
      <c r="A26" s="542" t="s">
        <v>2764</v>
      </c>
      <c r="B26" s="531">
        <v>1242</v>
      </c>
      <c r="C26" s="531">
        <v>60238</v>
      </c>
      <c r="D26" s="531">
        <v>31290</v>
      </c>
      <c r="E26" s="520">
        <v>31575</v>
      </c>
      <c r="F26" s="520">
        <v>31725</v>
      </c>
      <c r="G26" s="520">
        <v>31702</v>
      </c>
      <c r="H26" s="520">
        <v>32450</v>
      </c>
      <c r="I26" s="520">
        <v>32197.599999999999</v>
      </c>
      <c r="J26" s="520">
        <v>32425</v>
      </c>
      <c r="M26" s="514"/>
      <c r="N26" s="520">
        <f>SUM(B26:M26)</f>
        <v>284844.59999999998</v>
      </c>
      <c r="Q26" s="534">
        <f>N26/9*12</f>
        <v>379792.8</v>
      </c>
      <c r="R26" s="532">
        <f>Q26*1.15</f>
        <v>436761.72</v>
      </c>
    </row>
    <row r="27" spans="1:18" x14ac:dyDescent="0.2">
      <c r="C27" s="554"/>
      <c r="M27" s="514"/>
      <c r="N27" s="523"/>
    </row>
    <row r="28" spans="1:18" x14ac:dyDescent="0.2">
      <c r="A28" t="s">
        <v>3513</v>
      </c>
      <c r="B28" s="531">
        <f>93305.29</f>
        <v>93305.29</v>
      </c>
      <c r="C28" s="531">
        <v>86262.06</v>
      </c>
      <c r="D28" s="531">
        <v>105374.17</v>
      </c>
      <c r="E28" s="531">
        <v>91060.2</v>
      </c>
      <c r="F28" s="520">
        <v>114323.04</v>
      </c>
      <c r="G28" s="520">
        <v>85692.86</v>
      </c>
      <c r="H28" s="520">
        <v>101486.15</v>
      </c>
      <c r="I28" s="520">
        <v>101150.39</v>
      </c>
      <c r="J28" s="520">
        <v>99952.98</v>
      </c>
      <c r="M28" s="514"/>
      <c r="N28" s="520">
        <f>SUM(B28:M28)</f>
        <v>878607.14</v>
      </c>
      <c r="R28" s="534">
        <f>R12-R26</f>
        <v>707066.68000000017</v>
      </c>
    </row>
    <row r="29" spans="1:18" x14ac:dyDescent="0.2">
      <c r="A29" t="s">
        <v>60</v>
      </c>
      <c r="B29" s="534">
        <f t="shared" ref="B29:J29" si="3">(B24+B28)/B16</f>
        <v>0.29625557308662337</v>
      </c>
      <c r="C29" s="534">
        <f t="shared" si="3"/>
        <v>0.78569331529873421</v>
      </c>
      <c r="D29" s="534">
        <f t="shared" si="3"/>
        <v>0.57273784570919772</v>
      </c>
      <c r="E29" s="534">
        <f t="shared" si="3"/>
        <v>0.54788524424204188</v>
      </c>
      <c r="F29" s="534">
        <f t="shared" si="3"/>
        <v>0.60122739333918118</v>
      </c>
      <c r="G29" s="534">
        <f t="shared" si="3"/>
        <v>0.53673440979650322</v>
      </c>
      <c r="H29" s="534">
        <f t="shared" si="3"/>
        <v>0.57863752808905178</v>
      </c>
      <c r="I29" s="534">
        <f t="shared" si="3"/>
        <v>0.57596148120552171</v>
      </c>
      <c r="J29" s="534">
        <f t="shared" si="3"/>
        <v>0.57720367779113857</v>
      </c>
      <c r="K29" s="534">
        <v>0</v>
      </c>
      <c r="L29" s="534">
        <v>0</v>
      </c>
      <c r="M29" s="535">
        <v>0</v>
      </c>
      <c r="N29" s="520">
        <f>(N28+N24)/N16</f>
        <v>0.57170501583402966</v>
      </c>
    </row>
    <row r="30" spans="1:18" x14ac:dyDescent="0.2">
      <c r="A30" t="s">
        <v>3514</v>
      </c>
      <c r="B30" s="531">
        <v>38763.160000000003</v>
      </c>
      <c r="C30" s="520">
        <v>43855.81</v>
      </c>
      <c r="D30" s="520">
        <v>53635.03</v>
      </c>
      <c r="E30" s="520">
        <v>41842.54</v>
      </c>
      <c r="F30" s="520">
        <v>54216.1</v>
      </c>
      <c r="G30" s="520">
        <v>43981.29</v>
      </c>
      <c r="H30" s="520">
        <v>52552.73</v>
      </c>
      <c r="I30" s="520">
        <v>46446.16</v>
      </c>
      <c r="J30" s="520">
        <v>47257.51</v>
      </c>
      <c r="M30" s="514"/>
      <c r="N30" s="520">
        <f>SUM(B30:M30)</f>
        <v>422550.32999999996</v>
      </c>
    </row>
    <row r="31" spans="1:18" x14ac:dyDescent="0.2">
      <c r="A31" t="s">
        <v>60</v>
      </c>
      <c r="B31" s="534">
        <f>(B25+B30)/B18</f>
        <v>0.15360018770091813</v>
      </c>
      <c r="C31" s="534">
        <f t="shared" ref="C31:J31" si="4">(C25+C30)/C18</f>
        <v>0.92800831714550069</v>
      </c>
      <c r="D31" s="534">
        <f t="shared" si="4"/>
        <v>0.86330528479807556</v>
      </c>
      <c r="E31" s="534">
        <f t="shared" si="4"/>
        <v>0.53953374062344872</v>
      </c>
      <c r="F31" s="534">
        <f t="shared" si="4"/>
        <v>0.58725848937893677</v>
      </c>
      <c r="G31" s="534">
        <f t="shared" si="4"/>
        <v>0.5504806608727747</v>
      </c>
      <c r="H31" s="534">
        <f t="shared" si="4"/>
        <v>0.58884694758397416</v>
      </c>
      <c r="I31" s="534">
        <f t="shared" si="4"/>
        <v>0.56732659544388575</v>
      </c>
      <c r="J31" s="534">
        <f t="shared" si="4"/>
        <v>0.57057751143755364</v>
      </c>
      <c r="K31" s="534">
        <v>0</v>
      </c>
      <c r="L31" s="534">
        <v>0</v>
      </c>
      <c r="M31" s="535">
        <v>0</v>
      </c>
      <c r="N31" s="536">
        <f>(N30+N25)/N18</f>
        <v>0.58527032590320538</v>
      </c>
    </row>
  </sheetData>
  <phoneticPr fontId="20" type="noConversion"/>
  <pageMargins left="0.70866141732283472" right="0.70866141732283472" top="0.74803149606299213" bottom="0.74803149606299213" header="0.31496062992125984" footer="0.31496062992125984"/>
  <pageSetup scale="6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62"/>
  <sheetViews>
    <sheetView topLeftCell="C3491" workbookViewId="0">
      <selection activeCell="E3511" sqref="E3511"/>
    </sheetView>
  </sheetViews>
  <sheetFormatPr defaultColWidth="10.6640625" defaultRowHeight="15" x14ac:dyDescent="0.25"/>
  <cols>
    <col min="1" max="2" width="10.6640625" style="559"/>
    <col min="3" max="3" width="20.5" style="559" customWidth="1"/>
    <col min="4" max="4" width="22.33203125" style="559" customWidth="1"/>
    <col min="5" max="5" width="13.1640625" style="558" customWidth="1"/>
    <col min="6" max="6" width="10.6640625" style="559"/>
    <col min="7" max="7" width="16.83203125" style="558" customWidth="1"/>
    <col min="8" max="8" width="15.6640625" style="564" customWidth="1"/>
    <col min="9" max="9" width="15.83203125" style="563" customWidth="1"/>
    <col min="10" max="10" width="15.1640625" style="559" customWidth="1"/>
    <col min="11" max="11" width="16.1640625" style="559" customWidth="1"/>
    <col min="12" max="12" width="16.33203125" style="559" customWidth="1"/>
    <col min="13" max="13" width="17.6640625" style="559" customWidth="1"/>
    <col min="14" max="14" width="16.6640625" style="562" customWidth="1"/>
    <col min="15" max="15" width="13.83203125" style="563" customWidth="1"/>
    <col min="16" max="16" width="12.83203125" style="559" customWidth="1"/>
    <col min="17" max="17" width="11.5" style="559" bestFit="1" customWidth="1"/>
    <col min="18" max="16384" width="10.6640625" style="559"/>
  </cols>
  <sheetData>
    <row r="1" spans="1:10" x14ac:dyDescent="0.25">
      <c r="A1" s="558" t="s">
        <v>750</v>
      </c>
      <c r="B1" s="558" t="s">
        <v>751</v>
      </c>
      <c r="C1" s="559" t="s">
        <v>752</v>
      </c>
      <c r="D1" s="559" t="s">
        <v>753</v>
      </c>
      <c r="E1" s="558" t="s">
        <v>754</v>
      </c>
      <c r="F1" s="558" t="s">
        <v>755</v>
      </c>
      <c r="G1" s="558" t="s">
        <v>756</v>
      </c>
      <c r="H1" s="560" t="s">
        <v>757</v>
      </c>
      <c r="I1" s="561" t="s">
        <v>758</v>
      </c>
      <c r="J1" s="559" t="s">
        <v>759</v>
      </c>
    </row>
    <row r="3" spans="1:10" x14ac:dyDescent="0.25">
      <c r="A3" s="559">
        <v>30</v>
      </c>
      <c r="B3" s="559">
        <v>50</v>
      </c>
      <c r="C3" s="559" t="s">
        <v>760</v>
      </c>
      <c r="D3" s="559" t="s">
        <v>761</v>
      </c>
    </row>
    <row r="4" spans="1:10" x14ac:dyDescent="0.25">
      <c r="D4" s="559" t="s">
        <v>762</v>
      </c>
      <c r="E4" s="558">
        <v>130017</v>
      </c>
      <c r="F4" s="559">
        <v>101480</v>
      </c>
      <c r="G4" s="558" t="s">
        <v>763</v>
      </c>
      <c r="H4" s="564">
        <v>40015</v>
      </c>
      <c r="I4" s="563">
        <v>-15522.3</v>
      </c>
      <c r="J4" s="559" t="s">
        <v>764</v>
      </c>
    </row>
    <row r="5" spans="1:10" x14ac:dyDescent="0.25">
      <c r="D5" s="559" t="s">
        <v>762</v>
      </c>
      <c r="E5" s="558">
        <v>130034</v>
      </c>
      <c r="F5" s="559">
        <v>101481</v>
      </c>
      <c r="G5" s="558" t="s">
        <v>763</v>
      </c>
      <c r="H5" s="564">
        <v>40015</v>
      </c>
      <c r="I5" s="563">
        <v>-5645.35</v>
      </c>
      <c r="J5" s="559" t="s">
        <v>764</v>
      </c>
    </row>
    <row r="6" spans="1:10" x14ac:dyDescent="0.25">
      <c r="D6" s="559" t="s">
        <v>762</v>
      </c>
      <c r="E6" s="558">
        <v>130035</v>
      </c>
      <c r="F6" s="559">
        <v>101482</v>
      </c>
      <c r="G6" s="558" t="s">
        <v>763</v>
      </c>
      <c r="H6" s="564">
        <v>40015</v>
      </c>
      <c r="I6" s="563">
        <v>-1397.1</v>
      </c>
      <c r="J6" s="559" t="s">
        <v>764</v>
      </c>
    </row>
    <row r="7" spans="1:10" x14ac:dyDescent="0.25">
      <c r="D7" s="559" t="s">
        <v>762</v>
      </c>
      <c r="E7" s="558">
        <v>130036</v>
      </c>
      <c r="F7" s="559">
        <v>101483</v>
      </c>
      <c r="G7" s="558" t="s">
        <v>763</v>
      </c>
      <c r="H7" s="564">
        <v>40015</v>
      </c>
      <c r="I7" s="563">
        <v>-2913.9</v>
      </c>
      <c r="J7" s="559" t="s">
        <v>764</v>
      </c>
    </row>
    <row r="8" spans="1:10" x14ac:dyDescent="0.25">
      <c r="D8" s="559" t="s">
        <v>762</v>
      </c>
      <c r="E8" s="558">
        <v>130150</v>
      </c>
      <c r="F8" s="559">
        <v>101484</v>
      </c>
      <c r="G8" s="558" t="s">
        <v>763</v>
      </c>
      <c r="H8" s="564">
        <v>40015</v>
      </c>
      <c r="I8" s="563">
        <v>-14461.75</v>
      </c>
      <c r="J8" s="559" t="s">
        <v>764</v>
      </c>
    </row>
    <row r="9" spans="1:10" x14ac:dyDescent="0.25">
      <c r="D9" s="559" t="s">
        <v>762</v>
      </c>
      <c r="E9" s="558">
        <v>130151</v>
      </c>
      <c r="F9" s="559">
        <v>101485</v>
      </c>
      <c r="G9" s="558" t="s">
        <v>765</v>
      </c>
      <c r="H9" s="564">
        <v>40015</v>
      </c>
      <c r="I9" s="563">
        <v>-474</v>
      </c>
      <c r="J9" s="559" t="s">
        <v>764</v>
      </c>
    </row>
    <row r="10" spans="1:10" x14ac:dyDescent="0.25">
      <c r="D10" s="559" t="s">
        <v>762</v>
      </c>
      <c r="E10" s="558">
        <v>130220</v>
      </c>
      <c r="F10" s="559">
        <v>101486</v>
      </c>
      <c r="G10" s="558" t="s">
        <v>765</v>
      </c>
      <c r="H10" s="564">
        <v>40015</v>
      </c>
      <c r="I10" s="563">
        <v>-37.9</v>
      </c>
      <c r="J10" s="559" t="s">
        <v>764</v>
      </c>
    </row>
    <row r="11" spans="1:10" x14ac:dyDescent="0.25">
      <c r="D11" s="559" t="s">
        <v>762</v>
      </c>
      <c r="E11" s="558">
        <v>130453</v>
      </c>
      <c r="F11" s="559">
        <v>101190</v>
      </c>
      <c r="G11" s="558" t="s">
        <v>765</v>
      </c>
      <c r="H11" s="564">
        <v>40015</v>
      </c>
      <c r="I11" s="563">
        <v>-3175.8</v>
      </c>
      <c r="J11" s="559" t="s">
        <v>764</v>
      </c>
    </row>
    <row r="12" spans="1:10" x14ac:dyDescent="0.25">
      <c r="D12" s="559" t="s">
        <v>762</v>
      </c>
      <c r="E12" s="558">
        <v>130458</v>
      </c>
      <c r="F12" s="559">
        <v>101487</v>
      </c>
      <c r="G12" s="558" t="s">
        <v>765</v>
      </c>
      <c r="H12" s="564">
        <v>40015</v>
      </c>
      <c r="I12" s="563">
        <v>-94.8</v>
      </c>
      <c r="J12" s="559" t="s">
        <v>764</v>
      </c>
    </row>
    <row r="13" spans="1:10" x14ac:dyDescent="0.25">
      <c r="D13" s="559" t="s">
        <v>762</v>
      </c>
      <c r="E13" s="558">
        <v>130813</v>
      </c>
      <c r="F13" s="559">
        <v>101488</v>
      </c>
      <c r="G13" s="558" t="s">
        <v>766</v>
      </c>
      <c r="H13" s="564">
        <v>40015</v>
      </c>
      <c r="I13" s="563">
        <v>-7560</v>
      </c>
      <c r="J13" s="559" t="s">
        <v>767</v>
      </c>
    </row>
    <row r="14" spans="1:10" x14ac:dyDescent="0.25">
      <c r="D14" s="559" t="s">
        <v>762</v>
      </c>
      <c r="E14" s="558">
        <v>130816</v>
      </c>
      <c r="F14" s="559">
        <v>101448</v>
      </c>
      <c r="G14" s="558" t="s">
        <v>766</v>
      </c>
      <c r="H14" s="564">
        <v>40015</v>
      </c>
      <c r="I14" s="563">
        <v>-15722.6</v>
      </c>
      <c r="J14" s="559" t="s">
        <v>764</v>
      </c>
    </row>
    <row r="15" spans="1:10" x14ac:dyDescent="0.25">
      <c r="D15" s="559" t="s">
        <v>762</v>
      </c>
      <c r="E15" s="558">
        <v>130834</v>
      </c>
      <c r="F15" s="559">
        <v>101489</v>
      </c>
      <c r="G15" s="558" t="s">
        <v>766</v>
      </c>
      <c r="H15" s="564">
        <v>40015</v>
      </c>
      <c r="I15" s="563">
        <v>-2223.0500000000002</v>
      </c>
      <c r="J15" s="559" t="s">
        <v>764</v>
      </c>
    </row>
    <row r="16" spans="1:10" x14ac:dyDescent="0.25">
      <c r="D16" s="559" t="s">
        <v>762</v>
      </c>
      <c r="E16" s="558">
        <v>130860</v>
      </c>
      <c r="F16" s="559">
        <v>101490</v>
      </c>
      <c r="G16" s="558" t="s">
        <v>766</v>
      </c>
      <c r="H16" s="564">
        <v>40015</v>
      </c>
      <c r="I16" s="563">
        <v>-2967.25</v>
      </c>
      <c r="J16" s="559" t="s">
        <v>764</v>
      </c>
    </row>
    <row r="17" spans="4:10" x14ac:dyDescent="0.25">
      <c r="D17" s="559" t="s">
        <v>762</v>
      </c>
      <c r="E17" s="558">
        <v>130880</v>
      </c>
      <c r="F17" s="559">
        <v>101491</v>
      </c>
      <c r="G17" s="558" t="s">
        <v>766</v>
      </c>
      <c r="H17" s="564">
        <v>40015</v>
      </c>
      <c r="I17" s="563">
        <v>-350.75</v>
      </c>
      <c r="J17" s="559" t="s">
        <v>764</v>
      </c>
    </row>
    <row r="18" spans="4:10" x14ac:dyDescent="0.25">
      <c r="D18" s="559" t="s">
        <v>762</v>
      </c>
      <c r="E18" s="558">
        <v>130882</v>
      </c>
      <c r="F18" s="559">
        <v>101492</v>
      </c>
      <c r="G18" s="558" t="s">
        <v>768</v>
      </c>
      <c r="H18" s="564">
        <v>40015</v>
      </c>
      <c r="I18" s="563">
        <v>-30923.75</v>
      </c>
      <c r="J18" s="559" t="s">
        <v>764</v>
      </c>
    </row>
    <row r="19" spans="4:10" x14ac:dyDescent="0.25">
      <c r="D19" s="559" t="s">
        <v>762</v>
      </c>
      <c r="E19" s="558">
        <v>130981</v>
      </c>
      <c r="F19" s="559">
        <v>101493</v>
      </c>
      <c r="G19" s="558" t="s">
        <v>768</v>
      </c>
      <c r="H19" s="564">
        <v>40015</v>
      </c>
      <c r="I19" s="563">
        <v>-16516.55</v>
      </c>
      <c r="J19" s="559" t="s">
        <v>764</v>
      </c>
    </row>
    <row r="20" spans="4:10" x14ac:dyDescent="0.25">
      <c r="D20" s="559" t="s">
        <v>762</v>
      </c>
      <c r="E20" s="558">
        <v>130982</v>
      </c>
      <c r="F20" s="559">
        <v>101494</v>
      </c>
      <c r="G20" s="558" t="s">
        <v>768</v>
      </c>
      <c r="H20" s="564">
        <v>40015</v>
      </c>
      <c r="I20" s="563">
        <v>-29.6</v>
      </c>
      <c r="J20" s="559" t="s">
        <v>764</v>
      </c>
    </row>
    <row r="21" spans="4:10" x14ac:dyDescent="0.25">
      <c r="D21" s="559" t="s">
        <v>762</v>
      </c>
      <c r="E21" s="558">
        <v>130984</v>
      </c>
      <c r="F21" s="559">
        <v>101495</v>
      </c>
      <c r="G21" s="558" t="s">
        <v>768</v>
      </c>
      <c r="H21" s="564">
        <v>40015</v>
      </c>
      <c r="I21" s="563">
        <v>-4971.05</v>
      </c>
      <c r="J21" s="559" t="s">
        <v>764</v>
      </c>
    </row>
    <row r="22" spans="4:10" x14ac:dyDescent="0.25">
      <c r="D22" s="559" t="s">
        <v>762</v>
      </c>
      <c r="E22" s="558">
        <v>150884</v>
      </c>
      <c r="F22" s="559">
        <v>101496</v>
      </c>
      <c r="G22" s="558" t="s">
        <v>769</v>
      </c>
      <c r="H22" s="564">
        <v>40015</v>
      </c>
      <c r="I22" s="563">
        <v>-93496.5</v>
      </c>
      <c r="J22" s="559" t="s">
        <v>764</v>
      </c>
    </row>
    <row r="23" spans="4:10" x14ac:dyDescent="0.25">
      <c r="D23" s="559" t="s">
        <v>762</v>
      </c>
      <c r="E23" s="558">
        <v>330330</v>
      </c>
      <c r="F23" s="559">
        <v>301718</v>
      </c>
      <c r="G23" s="558" t="s">
        <v>770</v>
      </c>
      <c r="H23" s="564">
        <v>40015</v>
      </c>
      <c r="I23" s="563">
        <v>-1026</v>
      </c>
      <c r="J23" s="559" t="s">
        <v>767</v>
      </c>
    </row>
    <row r="24" spans="4:10" x14ac:dyDescent="0.25">
      <c r="D24" s="559" t="s">
        <v>762</v>
      </c>
      <c r="E24" s="558">
        <v>330331</v>
      </c>
      <c r="F24" s="559">
        <v>301719</v>
      </c>
      <c r="G24" s="558" t="s">
        <v>771</v>
      </c>
      <c r="H24" s="564">
        <v>40015</v>
      </c>
      <c r="I24" s="563">
        <v>-11376</v>
      </c>
      <c r="J24" s="559" t="s">
        <v>764</v>
      </c>
    </row>
    <row r="25" spans="4:10" x14ac:dyDescent="0.25">
      <c r="D25" s="559" t="s">
        <v>762</v>
      </c>
      <c r="E25" s="558" t="s">
        <v>772</v>
      </c>
      <c r="F25" s="559">
        <v>301720</v>
      </c>
      <c r="G25" s="558" t="s">
        <v>771</v>
      </c>
      <c r="H25" s="564">
        <v>40015</v>
      </c>
      <c r="I25" s="563">
        <v>-1962.35</v>
      </c>
      <c r="J25" s="559" t="s">
        <v>764</v>
      </c>
    </row>
    <row r="26" spans="4:10" x14ac:dyDescent="0.25">
      <c r="D26" s="559" t="s">
        <v>762</v>
      </c>
      <c r="E26" s="558">
        <v>350323</v>
      </c>
      <c r="F26" s="559">
        <v>301721</v>
      </c>
      <c r="G26" s="558" t="s">
        <v>771</v>
      </c>
      <c r="H26" s="564">
        <v>40015</v>
      </c>
      <c r="I26" s="563">
        <v>-68558.399999999994</v>
      </c>
      <c r="J26" s="559" t="s">
        <v>767</v>
      </c>
    </row>
    <row r="27" spans="4:10" x14ac:dyDescent="0.25">
      <c r="D27" s="559" t="s">
        <v>762</v>
      </c>
      <c r="E27" s="558">
        <v>350447</v>
      </c>
      <c r="F27" s="559">
        <v>301722</v>
      </c>
      <c r="G27" s="558" t="s">
        <v>771</v>
      </c>
      <c r="H27" s="564">
        <v>40015</v>
      </c>
      <c r="I27" s="563">
        <v>-31320</v>
      </c>
      <c r="J27" s="559" t="s">
        <v>767</v>
      </c>
    </row>
    <row r="28" spans="4:10" x14ac:dyDescent="0.25">
      <c r="D28" s="559" t="s">
        <v>762</v>
      </c>
      <c r="E28" s="558">
        <v>351933</v>
      </c>
      <c r="F28" s="559">
        <v>301723</v>
      </c>
      <c r="G28" s="558" t="s">
        <v>771</v>
      </c>
      <c r="H28" s="564">
        <v>40015</v>
      </c>
      <c r="I28" s="563">
        <v>-43038</v>
      </c>
      <c r="J28" s="559" t="s">
        <v>767</v>
      </c>
    </row>
    <row r="29" spans="4:10" x14ac:dyDescent="0.25">
      <c r="D29" s="559" t="s">
        <v>762</v>
      </c>
      <c r="E29" s="558" t="s">
        <v>773</v>
      </c>
      <c r="F29" s="559">
        <v>502195</v>
      </c>
      <c r="G29" s="558" t="s">
        <v>774</v>
      </c>
      <c r="H29" s="564">
        <v>40015</v>
      </c>
      <c r="I29" s="563">
        <v>-45781.2</v>
      </c>
      <c r="J29" s="559" t="s">
        <v>775</v>
      </c>
    </row>
    <row r="30" spans="4:10" x14ac:dyDescent="0.25">
      <c r="D30" s="559" t="s">
        <v>762</v>
      </c>
      <c r="E30" s="558" t="s">
        <v>776</v>
      </c>
      <c r="F30" s="559">
        <v>502182</v>
      </c>
      <c r="G30" s="558" t="s">
        <v>777</v>
      </c>
      <c r="H30" s="564">
        <v>40015</v>
      </c>
      <c r="I30" s="563">
        <v>-48664.800000000003</v>
      </c>
      <c r="J30" s="559" t="s">
        <v>775</v>
      </c>
    </row>
    <row r="31" spans="4:10" x14ac:dyDescent="0.25">
      <c r="D31" s="559" t="s">
        <v>762</v>
      </c>
      <c r="E31" s="558" t="s">
        <v>778</v>
      </c>
      <c r="F31" s="559">
        <v>101480</v>
      </c>
      <c r="G31" s="558" t="s">
        <v>779</v>
      </c>
      <c r="H31" s="564">
        <v>40015</v>
      </c>
      <c r="I31" s="563">
        <v>-1166.05</v>
      </c>
      <c r="J31" s="559" t="s">
        <v>764</v>
      </c>
    </row>
    <row r="32" spans="4:10" x14ac:dyDescent="0.25">
      <c r="D32" s="559" t="s">
        <v>762</v>
      </c>
      <c r="E32" s="558" t="s">
        <v>780</v>
      </c>
      <c r="F32" s="559">
        <v>502029</v>
      </c>
      <c r="G32" s="558" t="s">
        <v>779</v>
      </c>
      <c r="H32" s="564">
        <v>40015</v>
      </c>
      <c r="I32" s="563">
        <v>-28.45</v>
      </c>
      <c r="J32" s="559" t="s">
        <v>781</v>
      </c>
    </row>
    <row r="33" spans="4:10" x14ac:dyDescent="0.25">
      <c r="D33" s="559" t="s">
        <v>762</v>
      </c>
      <c r="E33" s="558" t="s">
        <v>782</v>
      </c>
      <c r="F33" s="559">
        <v>502029</v>
      </c>
      <c r="G33" s="558" t="s">
        <v>779</v>
      </c>
      <c r="H33" s="564">
        <v>40015</v>
      </c>
      <c r="I33" s="563">
        <v>-28.45</v>
      </c>
      <c r="J33" s="559" t="s">
        <v>781</v>
      </c>
    </row>
    <row r="34" spans="4:10" x14ac:dyDescent="0.25">
      <c r="D34" s="559" t="s">
        <v>762</v>
      </c>
      <c r="E34" s="558" t="s">
        <v>783</v>
      </c>
      <c r="F34" s="559">
        <v>502029</v>
      </c>
      <c r="G34" s="558" t="s">
        <v>779</v>
      </c>
      <c r="H34" s="564">
        <v>40015</v>
      </c>
      <c r="I34" s="563">
        <v>-28.45</v>
      </c>
      <c r="J34" s="559" t="s">
        <v>781</v>
      </c>
    </row>
    <row r="35" spans="4:10" x14ac:dyDescent="0.25">
      <c r="D35" s="559" t="s">
        <v>762</v>
      </c>
      <c r="E35" s="558" t="s">
        <v>784</v>
      </c>
      <c r="F35" s="559">
        <v>502195</v>
      </c>
      <c r="G35" s="558" t="s">
        <v>785</v>
      </c>
      <c r="H35" s="564">
        <v>40015</v>
      </c>
      <c r="I35" s="563">
        <v>-6447.6</v>
      </c>
      <c r="J35" s="559" t="s">
        <v>781</v>
      </c>
    </row>
    <row r="36" spans="4:10" x14ac:dyDescent="0.25">
      <c r="D36" s="559" t="s">
        <v>762</v>
      </c>
      <c r="E36" s="558" t="s">
        <v>786</v>
      </c>
      <c r="F36" s="559">
        <v>500413</v>
      </c>
      <c r="G36" s="558" t="s">
        <v>785</v>
      </c>
      <c r="H36" s="564">
        <v>40015</v>
      </c>
      <c r="I36" s="563">
        <v>-2253.85</v>
      </c>
      <c r="J36" s="559" t="s">
        <v>781</v>
      </c>
    </row>
    <row r="37" spans="4:10" x14ac:dyDescent="0.25">
      <c r="D37" s="559" t="s">
        <v>762</v>
      </c>
      <c r="E37" s="558" t="s">
        <v>787</v>
      </c>
      <c r="F37" s="559">
        <v>502195</v>
      </c>
      <c r="G37" s="558" t="s">
        <v>785</v>
      </c>
      <c r="H37" s="564">
        <v>40015</v>
      </c>
      <c r="I37" s="563">
        <v>-22971.599999999999</v>
      </c>
      <c r="J37" s="559" t="s">
        <v>775</v>
      </c>
    </row>
    <row r="38" spans="4:10" x14ac:dyDescent="0.25">
      <c r="D38" s="559" t="s">
        <v>762</v>
      </c>
      <c r="E38" s="558" t="s">
        <v>788</v>
      </c>
      <c r="F38" s="559">
        <v>500034</v>
      </c>
      <c r="G38" s="558" t="s">
        <v>789</v>
      </c>
      <c r="H38" s="564">
        <v>40015</v>
      </c>
      <c r="I38" s="563">
        <v>-45.05</v>
      </c>
      <c r="J38" s="559" t="s">
        <v>781</v>
      </c>
    </row>
    <row r="39" spans="4:10" x14ac:dyDescent="0.25">
      <c r="D39" s="559" t="s">
        <v>762</v>
      </c>
      <c r="E39" s="558" t="s">
        <v>790</v>
      </c>
      <c r="F39" s="559">
        <v>500034</v>
      </c>
      <c r="G39" s="558" t="s">
        <v>789</v>
      </c>
      <c r="H39" s="564">
        <v>40015</v>
      </c>
      <c r="I39" s="563">
        <v>-45.05</v>
      </c>
      <c r="J39" s="559" t="s">
        <v>781</v>
      </c>
    </row>
    <row r="40" spans="4:10" x14ac:dyDescent="0.25">
      <c r="D40" s="559" t="s">
        <v>762</v>
      </c>
      <c r="E40" s="558" t="s">
        <v>791</v>
      </c>
      <c r="F40" s="559">
        <v>500034</v>
      </c>
      <c r="G40" s="558" t="s">
        <v>792</v>
      </c>
      <c r="H40" s="564">
        <v>40015</v>
      </c>
      <c r="I40" s="563">
        <v>-45.05</v>
      </c>
      <c r="J40" s="559" t="s">
        <v>781</v>
      </c>
    </row>
    <row r="41" spans="4:10" x14ac:dyDescent="0.25">
      <c r="D41" s="559" t="s">
        <v>762</v>
      </c>
      <c r="E41" s="558" t="s">
        <v>793</v>
      </c>
      <c r="F41" s="559">
        <v>500413</v>
      </c>
      <c r="G41" s="558" t="s">
        <v>792</v>
      </c>
      <c r="H41" s="564">
        <v>40015</v>
      </c>
      <c r="I41" s="563">
        <v>-2616.5</v>
      </c>
      <c r="J41" s="559" t="s">
        <v>781</v>
      </c>
    </row>
    <row r="42" spans="4:10" x14ac:dyDescent="0.25">
      <c r="D42" s="559" t="s">
        <v>762</v>
      </c>
      <c r="E42" s="558" t="s">
        <v>794</v>
      </c>
      <c r="F42" s="559">
        <v>500413</v>
      </c>
      <c r="G42" s="558" t="s">
        <v>792</v>
      </c>
      <c r="H42" s="564">
        <v>40015</v>
      </c>
      <c r="I42" s="563">
        <v>-33.200000000000003</v>
      </c>
      <c r="J42" s="559" t="s">
        <v>781</v>
      </c>
    </row>
    <row r="43" spans="4:10" x14ac:dyDescent="0.25">
      <c r="D43" s="559" t="s">
        <v>762</v>
      </c>
      <c r="E43" s="558" t="s">
        <v>795</v>
      </c>
      <c r="F43" s="559">
        <v>500034</v>
      </c>
      <c r="G43" s="558" t="s">
        <v>796</v>
      </c>
      <c r="H43" s="564">
        <v>40015</v>
      </c>
      <c r="I43" s="563">
        <v>-20.5</v>
      </c>
      <c r="J43" s="559" t="s">
        <v>775</v>
      </c>
    </row>
    <row r="44" spans="4:10" x14ac:dyDescent="0.25">
      <c r="D44" s="559" t="s">
        <v>762</v>
      </c>
      <c r="E44" s="558" t="s">
        <v>797</v>
      </c>
      <c r="F44" s="559">
        <v>500034</v>
      </c>
      <c r="G44" s="558" t="s">
        <v>796</v>
      </c>
      <c r="H44" s="564">
        <v>40015</v>
      </c>
      <c r="I44" s="563">
        <v>-45.05</v>
      </c>
      <c r="J44" s="559" t="s">
        <v>781</v>
      </c>
    </row>
    <row r="45" spans="4:10" x14ac:dyDescent="0.25">
      <c r="D45" s="559" t="s">
        <v>762</v>
      </c>
      <c r="E45" s="558" t="s">
        <v>798</v>
      </c>
      <c r="F45" s="559">
        <v>500457</v>
      </c>
      <c r="G45" s="558" t="s">
        <v>796</v>
      </c>
      <c r="H45" s="564">
        <v>40015</v>
      </c>
      <c r="I45" s="563">
        <v>-20.5</v>
      </c>
      <c r="J45" s="559" t="s">
        <v>775</v>
      </c>
    </row>
    <row r="46" spans="4:10" x14ac:dyDescent="0.25">
      <c r="D46" s="559" t="s">
        <v>762</v>
      </c>
      <c r="E46" s="558" t="s">
        <v>799</v>
      </c>
      <c r="F46" s="559">
        <v>500457</v>
      </c>
      <c r="G46" s="558" t="s">
        <v>796</v>
      </c>
      <c r="H46" s="564">
        <v>40015</v>
      </c>
      <c r="I46" s="563">
        <v>-64627.55</v>
      </c>
      <c r="J46" s="559" t="s">
        <v>781</v>
      </c>
    </row>
    <row r="47" spans="4:10" x14ac:dyDescent="0.25">
      <c r="D47" s="559" t="s">
        <v>762</v>
      </c>
      <c r="E47" s="558" t="s">
        <v>800</v>
      </c>
      <c r="F47" s="559">
        <v>500163</v>
      </c>
      <c r="G47" s="558" t="s">
        <v>801</v>
      </c>
      <c r="H47" s="564">
        <v>40015</v>
      </c>
      <c r="I47" s="563">
        <v>-4531.45</v>
      </c>
      <c r="J47" s="559" t="s">
        <v>781</v>
      </c>
    </row>
    <row r="48" spans="4:10" x14ac:dyDescent="0.25">
      <c r="D48" s="559" t="s">
        <v>762</v>
      </c>
      <c r="E48" s="558" t="s">
        <v>802</v>
      </c>
      <c r="F48" s="559">
        <v>500163</v>
      </c>
      <c r="G48" s="558" t="s">
        <v>801</v>
      </c>
      <c r="H48" s="564">
        <v>40015</v>
      </c>
      <c r="I48" s="563">
        <v>-28.45</v>
      </c>
      <c r="J48" s="559" t="s">
        <v>781</v>
      </c>
    </row>
    <row r="49" spans="4:10" x14ac:dyDescent="0.25">
      <c r="D49" s="559" t="s">
        <v>762</v>
      </c>
      <c r="E49" s="558" t="s">
        <v>803</v>
      </c>
      <c r="F49" s="559">
        <v>500413</v>
      </c>
      <c r="G49" s="558" t="s">
        <v>804</v>
      </c>
      <c r="H49" s="564">
        <v>40015</v>
      </c>
      <c r="I49" s="563">
        <v>-284.39999999999998</v>
      </c>
      <c r="J49" s="559" t="s">
        <v>781</v>
      </c>
    </row>
    <row r="50" spans="4:10" x14ac:dyDescent="0.25">
      <c r="D50" s="559" t="s">
        <v>762</v>
      </c>
      <c r="E50" s="558" t="s">
        <v>805</v>
      </c>
      <c r="F50" s="559">
        <v>502195</v>
      </c>
      <c r="G50" s="558" t="s">
        <v>804</v>
      </c>
      <c r="H50" s="564">
        <v>40015</v>
      </c>
      <c r="I50" s="563">
        <v>-7110</v>
      </c>
      <c r="J50" s="559" t="s">
        <v>781</v>
      </c>
    </row>
    <row r="51" spans="4:10" x14ac:dyDescent="0.25">
      <c r="D51" s="559" t="s">
        <v>762</v>
      </c>
      <c r="E51" s="558" t="s">
        <v>806</v>
      </c>
      <c r="F51" s="559">
        <v>502035</v>
      </c>
      <c r="G51" s="558" t="s">
        <v>804</v>
      </c>
      <c r="H51" s="564">
        <v>40015</v>
      </c>
      <c r="I51" s="563">
        <v>-424.25</v>
      </c>
      <c r="J51" s="559" t="s">
        <v>781</v>
      </c>
    </row>
    <row r="52" spans="4:10" x14ac:dyDescent="0.25">
      <c r="D52" s="559" t="s">
        <v>762</v>
      </c>
      <c r="E52" s="558" t="s">
        <v>807</v>
      </c>
      <c r="F52" s="559">
        <v>500034</v>
      </c>
      <c r="G52" s="558" t="s">
        <v>808</v>
      </c>
      <c r="H52" s="564">
        <v>40015</v>
      </c>
      <c r="I52" s="563">
        <v>-30.8</v>
      </c>
      <c r="J52" s="559" t="s">
        <v>781</v>
      </c>
    </row>
    <row r="53" spans="4:10" x14ac:dyDescent="0.25">
      <c r="D53" s="559" t="s">
        <v>762</v>
      </c>
      <c r="E53" s="558" t="s">
        <v>809</v>
      </c>
      <c r="F53" s="559">
        <v>500413</v>
      </c>
      <c r="G53" s="558" t="s">
        <v>810</v>
      </c>
      <c r="H53" s="564">
        <v>40015</v>
      </c>
      <c r="I53" s="563">
        <v>-2156.6999999999998</v>
      </c>
      <c r="J53" s="559" t="s">
        <v>781</v>
      </c>
    </row>
    <row r="54" spans="4:10" x14ac:dyDescent="0.25">
      <c r="D54" s="559" t="s">
        <v>762</v>
      </c>
      <c r="E54" s="558" t="s">
        <v>811</v>
      </c>
      <c r="F54" s="559">
        <v>500413</v>
      </c>
      <c r="G54" s="558" t="s">
        <v>812</v>
      </c>
      <c r="H54" s="564">
        <v>40015</v>
      </c>
      <c r="I54" s="563">
        <v>-1019.1</v>
      </c>
      <c r="J54" s="559" t="s">
        <v>781</v>
      </c>
    </row>
    <row r="55" spans="4:10" x14ac:dyDescent="0.25">
      <c r="D55" s="559" t="s">
        <v>762</v>
      </c>
      <c r="E55" s="558" t="s">
        <v>813</v>
      </c>
      <c r="F55" s="559">
        <v>502195</v>
      </c>
      <c r="G55" s="558" t="s">
        <v>812</v>
      </c>
      <c r="H55" s="564">
        <v>40015</v>
      </c>
      <c r="I55" s="563">
        <v>-14717.7</v>
      </c>
      <c r="J55" s="559" t="s">
        <v>781</v>
      </c>
    </row>
    <row r="56" spans="4:10" x14ac:dyDescent="0.25">
      <c r="D56" s="559" t="s">
        <v>762</v>
      </c>
      <c r="E56" s="558" t="s">
        <v>814</v>
      </c>
      <c r="F56" s="559">
        <v>502195</v>
      </c>
      <c r="G56" s="558" t="s">
        <v>812</v>
      </c>
      <c r="H56" s="564">
        <v>40015</v>
      </c>
      <c r="I56" s="563">
        <v>-4076.4</v>
      </c>
      <c r="J56" s="559" t="s">
        <v>781</v>
      </c>
    </row>
    <row r="57" spans="4:10" x14ac:dyDescent="0.25">
      <c r="D57" s="559" t="s">
        <v>762</v>
      </c>
      <c r="E57" s="558" t="s">
        <v>815</v>
      </c>
      <c r="F57" s="559">
        <v>502194</v>
      </c>
      <c r="G57" s="558" t="s">
        <v>816</v>
      </c>
      <c r="H57" s="564">
        <v>40015</v>
      </c>
      <c r="I57" s="563">
        <v>-5691.6</v>
      </c>
      <c r="J57" s="559" t="s">
        <v>775</v>
      </c>
    </row>
    <row r="58" spans="4:10" x14ac:dyDescent="0.25">
      <c r="D58" s="559" t="s">
        <v>762</v>
      </c>
      <c r="E58" s="558" t="s">
        <v>817</v>
      </c>
      <c r="F58" s="559">
        <v>101496</v>
      </c>
      <c r="G58" s="558" t="s">
        <v>818</v>
      </c>
      <c r="H58" s="564">
        <v>40015</v>
      </c>
      <c r="I58" s="563">
        <v>-266.2</v>
      </c>
      <c r="J58" s="559" t="s">
        <v>767</v>
      </c>
    </row>
    <row r="59" spans="4:10" x14ac:dyDescent="0.25">
      <c r="D59" s="559" t="s">
        <v>762</v>
      </c>
      <c r="E59" s="558" t="s">
        <v>819</v>
      </c>
      <c r="F59" s="559">
        <v>700222</v>
      </c>
      <c r="G59" s="558" t="s">
        <v>820</v>
      </c>
      <c r="H59" s="564">
        <v>40015</v>
      </c>
      <c r="I59" s="563">
        <v>-1253.75</v>
      </c>
      <c r="J59" s="559" t="s">
        <v>781</v>
      </c>
    </row>
    <row r="60" spans="4:10" x14ac:dyDescent="0.25">
      <c r="D60" s="559" t="s">
        <v>762</v>
      </c>
      <c r="E60" s="558" t="s">
        <v>821</v>
      </c>
      <c r="F60" s="559">
        <v>700222</v>
      </c>
      <c r="G60" s="558" t="s">
        <v>822</v>
      </c>
      <c r="H60" s="564">
        <v>40015</v>
      </c>
      <c r="I60" s="563">
        <v>-2839.25</v>
      </c>
      <c r="J60" s="559" t="s">
        <v>781</v>
      </c>
    </row>
    <row r="61" spans="4:10" x14ac:dyDescent="0.25">
      <c r="D61" s="559" t="s">
        <v>762</v>
      </c>
      <c r="E61" s="558" t="s">
        <v>823</v>
      </c>
      <c r="F61" s="559">
        <v>700222</v>
      </c>
      <c r="G61" s="558" t="s">
        <v>824</v>
      </c>
      <c r="H61" s="564">
        <v>40015</v>
      </c>
      <c r="I61" s="563">
        <v>-10.65</v>
      </c>
      <c r="J61" s="559" t="s">
        <v>781</v>
      </c>
    </row>
    <row r="62" spans="4:10" x14ac:dyDescent="0.25">
      <c r="D62" s="559" t="s">
        <v>762</v>
      </c>
      <c r="E62" s="558" t="s">
        <v>825</v>
      </c>
      <c r="F62" s="559">
        <v>700222</v>
      </c>
      <c r="G62" s="558" t="s">
        <v>826</v>
      </c>
      <c r="H62" s="564">
        <v>40015</v>
      </c>
      <c r="I62" s="563">
        <v>-2298.9</v>
      </c>
      <c r="J62" s="559" t="s">
        <v>781</v>
      </c>
    </row>
    <row r="63" spans="4:10" x14ac:dyDescent="0.25">
      <c r="D63" s="559" t="s">
        <v>762</v>
      </c>
      <c r="E63" s="558" t="s">
        <v>827</v>
      </c>
      <c r="F63" s="559">
        <v>700055</v>
      </c>
      <c r="G63" s="558" t="s">
        <v>828</v>
      </c>
      <c r="H63" s="564">
        <v>40015</v>
      </c>
      <c r="I63" s="563">
        <v>-3812.4</v>
      </c>
      <c r="J63" s="559" t="s">
        <v>775</v>
      </c>
    </row>
    <row r="64" spans="4:10" x14ac:dyDescent="0.25">
      <c r="D64" s="559" t="s">
        <v>762</v>
      </c>
      <c r="E64" s="558" t="s">
        <v>829</v>
      </c>
      <c r="F64" s="559">
        <v>700222</v>
      </c>
      <c r="G64" s="558" t="s">
        <v>828</v>
      </c>
      <c r="H64" s="564">
        <v>40015</v>
      </c>
      <c r="I64" s="563">
        <v>-17846.099999999999</v>
      </c>
      <c r="J64" s="559" t="s">
        <v>781</v>
      </c>
    </row>
    <row r="65" spans="4:10" x14ac:dyDescent="0.25">
      <c r="D65" s="559" t="s">
        <v>762</v>
      </c>
      <c r="E65" s="558" t="s">
        <v>830</v>
      </c>
      <c r="F65" s="559">
        <v>700222</v>
      </c>
      <c r="G65" s="558" t="s">
        <v>828</v>
      </c>
      <c r="H65" s="564">
        <v>40015</v>
      </c>
      <c r="I65" s="563">
        <v>-71.099999999999994</v>
      </c>
      <c r="J65" s="559" t="s">
        <v>781</v>
      </c>
    </row>
    <row r="66" spans="4:10" x14ac:dyDescent="0.25">
      <c r="D66" s="559" t="s">
        <v>762</v>
      </c>
      <c r="E66" s="558" t="s">
        <v>831</v>
      </c>
      <c r="F66" s="559">
        <v>700222</v>
      </c>
      <c r="G66" s="558" t="s">
        <v>832</v>
      </c>
      <c r="H66" s="564">
        <v>40015</v>
      </c>
      <c r="I66" s="563">
        <v>-1225.05</v>
      </c>
      <c r="J66" s="559" t="s">
        <v>781</v>
      </c>
    </row>
    <row r="67" spans="4:10" x14ac:dyDescent="0.25">
      <c r="D67" s="559" t="s">
        <v>762</v>
      </c>
      <c r="E67" s="558" t="s">
        <v>833</v>
      </c>
      <c r="F67" s="559">
        <v>700222</v>
      </c>
      <c r="G67" s="558" t="s">
        <v>834</v>
      </c>
      <c r="H67" s="564">
        <v>40015</v>
      </c>
      <c r="I67" s="563">
        <v>-11.9</v>
      </c>
      <c r="J67" s="559" t="s">
        <v>775</v>
      </c>
    </row>
    <row r="68" spans="4:10" x14ac:dyDescent="0.25">
      <c r="D68" s="559" t="s">
        <v>762</v>
      </c>
      <c r="E68" s="558" t="s">
        <v>835</v>
      </c>
      <c r="F68" s="559">
        <v>700237</v>
      </c>
      <c r="G68" s="558" t="s">
        <v>834</v>
      </c>
      <c r="H68" s="564">
        <v>40015</v>
      </c>
      <c r="I68" s="563">
        <v>-26.05</v>
      </c>
      <c r="J68" s="559" t="s">
        <v>781</v>
      </c>
    </row>
    <row r="69" spans="4:10" x14ac:dyDescent="0.25">
      <c r="D69" s="559" t="s">
        <v>762</v>
      </c>
      <c r="E69" s="558" t="s">
        <v>836</v>
      </c>
      <c r="F69" s="559">
        <v>700222</v>
      </c>
      <c r="G69" s="558" t="s">
        <v>834</v>
      </c>
      <c r="H69" s="564">
        <v>40015</v>
      </c>
      <c r="I69" s="563">
        <v>-144.55000000000001</v>
      </c>
      <c r="J69" s="559" t="s">
        <v>781</v>
      </c>
    </row>
    <row r="70" spans="4:10" x14ac:dyDescent="0.25">
      <c r="D70" s="559" t="s">
        <v>762</v>
      </c>
      <c r="E70" s="558" t="s">
        <v>837</v>
      </c>
      <c r="F70" s="559">
        <v>700222</v>
      </c>
      <c r="G70" s="558" t="s">
        <v>834</v>
      </c>
      <c r="H70" s="564">
        <v>40015</v>
      </c>
      <c r="I70" s="563">
        <v>-17867.45</v>
      </c>
      <c r="J70" s="559" t="s">
        <v>781</v>
      </c>
    </row>
    <row r="71" spans="4:10" x14ac:dyDescent="0.25">
      <c r="D71" s="559" t="s">
        <v>762</v>
      </c>
      <c r="E71" s="558" t="s">
        <v>838</v>
      </c>
      <c r="F71" s="559">
        <v>700222</v>
      </c>
      <c r="G71" s="558" t="s">
        <v>839</v>
      </c>
      <c r="H71" s="564">
        <v>40015</v>
      </c>
      <c r="I71" s="563">
        <v>-18402.099999999999</v>
      </c>
      <c r="J71" s="559" t="s">
        <v>775</v>
      </c>
    </row>
    <row r="72" spans="4:10" x14ac:dyDescent="0.25">
      <c r="D72" s="559" t="s">
        <v>762</v>
      </c>
      <c r="E72" s="558" t="s">
        <v>840</v>
      </c>
      <c r="F72" s="559">
        <v>700222</v>
      </c>
      <c r="G72" s="558" t="s">
        <v>839</v>
      </c>
      <c r="H72" s="564">
        <v>40015</v>
      </c>
      <c r="I72" s="563">
        <v>-92.45</v>
      </c>
      <c r="J72" s="559" t="s">
        <v>781</v>
      </c>
    </row>
    <row r="73" spans="4:10" x14ac:dyDescent="0.25">
      <c r="D73" s="559" t="s">
        <v>762</v>
      </c>
      <c r="E73" s="558" t="s">
        <v>841</v>
      </c>
      <c r="F73" s="559">
        <v>700222</v>
      </c>
      <c r="G73" s="558" t="s">
        <v>839</v>
      </c>
      <c r="H73" s="564">
        <v>40015</v>
      </c>
      <c r="I73" s="563">
        <v>-2192.25</v>
      </c>
      <c r="J73" s="559" t="s">
        <v>781</v>
      </c>
    </row>
    <row r="74" spans="4:10" x14ac:dyDescent="0.25">
      <c r="D74" s="559" t="s">
        <v>762</v>
      </c>
      <c r="E74" s="558" t="s">
        <v>842</v>
      </c>
      <c r="F74" s="559">
        <v>700222</v>
      </c>
      <c r="G74" s="558" t="s">
        <v>843</v>
      </c>
      <c r="H74" s="564">
        <v>40015</v>
      </c>
      <c r="I74" s="563">
        <v>-1463.45</v>
      </c>
      <c r="J74" s="559" t="s">
        <v>781</v>
      </c>
    </row>
    <row r="75" spans="4:10" x14ac:dyDescent="0.25">
      <c r="D75" s="559" t="s">
        <v>762</v>
      </c>
      <c r="E75" s="558" t="s">
        <v>844</v>
      </c>
      <c r="F75" s="559">
        <v>700057</v>
      </c>
      <c r="G75" s="558" t="s">
        <v>845</v>
      </c>
      <c r="H75" s="564">
        <v>40015</v>
      </c>
      <c r="I75" s="563">
        <v>-38725.800000000003</v>
      </c>
      <c r="J75" s="559" t="s">
        <v>781</v>
      </c>
    </row>
    <row r="76" spans="4:10" x14ac:dyDescent="0.25">
      <c r="D76" s="559" t="s">
        <v>762</v>
      </c>
      <c r="E76" s="558" t="s">
        <v>844</v>
      </c>
      <c r="F76" s="559">
        <v>700222</v>
      </c>
      <c r="G76" s="558" t="s">
        <v>845</v>
      </c>
      <c r="H76" s="564">
        <v>40015</v>
      </c>
      <c r="I76" s="563">
        <v>-38725.800000000003</v>
      </c>
      <c r="J76" s="559" t="s">
        <v>781</v>
      </c>
    </row>
    <row r="77" spans="4:10" x14ac:dyDescent="0.25">
      <c r="D77" s="559" t="s">
        <v>762</v>
      </c>
      <c r="E77" s="558" t="s">
        <v>846</v>
      </c>
      <c r="F77" s="559">
        <v>700221</v>
      </c>
      <c r="G77" s="558" t="s">
        <v>847</v>
      </c>
      <c r="H77" s="564">
        <v>40015</v>
      </c>
      <c r="I77" s="563">
        <v>-22645.35</v>
      </c>
      <c r="J77" s="559" t="s">
        <v>781</v>
      </c>
    </row>
    <row r="78" spans="4:10" x14ac:dyDescent="0.25">
      <c r="D78" s="559" t="s">
        <v>762</v>
      </c>
      <c r="E78" s="558" t="s">
        <v>846</v>
      </c>
      <c r="F78" s="559">
        <v>700222</v>
      </c>
      <c r="G78" s="558" t="s">
        <v>847</v>
      </c>
      <c r="H78" s="564">
        <v>40015</v>
      </c>
      <c r="I78" s="563">
        <v>-22645.35</v>
      </c>
      <c r="J78" s="559" t="s">
        <v>781</v>
      </c>
    </row>
    <row r="79" spans="4:10" x14ac:dyDescent="0.25">
      <c r="D79" s="559" t="s">
        <v>762</v>
      </c>
      <c r="E79" s="558" t="s">
        <v>848</v>
      </c>
      <c r="F79" s="559">
        <v>701684</v>
      </c>
      <c r="G79" s="558" t="s">
        <v>849</v>
      </c>
      <c r="H79" s="564">
        <v>40015</v>
      </c>
      <c r="I79" s="563">
        <v>-14.2</v>
      </c>
      <c r="J79" s="559" t="s">
        <v>781</v>
      </c>
    </row>
    <row r="80" spans="4:10" x14ac:dyDescent="0.25">
      <c r="D80" s="559" t="s">
        <v>762</v>
      </c>
      <c r="E80" s="558" t="s">
        <v>850</v>
      </c>
      <c r="F80" s="559">
        <v>700222</v>
      </c>
      <c r="G80" s="558" t="s">
        <v>851</v>
      </c>
      <c r="H80" s="564">
        <v>40015</v>
      </c>
      <c r="I80" s="563">
        <v>-10.65</v>
      </c>
      <c r="J80" s="559" t="s">
        <v>781</v>
      </c>
    </row>
    <row r="81" spans="4:10" x14ac:dyDescent="0.25">
      <c r="D81" s="559" t="s">
        <v>762</v>
      </c>
      <c r="E81" s="558" t="s">
        <v>852</v>
      </c>
      <c r="F81" s="559">
        <v>700036</v>
      </c>
      <c r="G81" s="558" t="s">
        <v>851</v>
      </c>
      <c r="H81" s="564">
        <v>40015</v>
      </c>
      <c r="I81" s="563">
        <v>-11826.3</v>
      </c>
      <c r="J81" s="559" t="s">
        <v>781</v>
      </c>
    </row>
    <row r="82" spans="4:10" x14ac:dyDescent="0.25">
      <c r="D82" s="559" t="s">
        <v>762</v>
      </c>
      <c r="E82" s="558" t="s">
        <v>853</v>
      </c>
      <c r="F82" s="559">
        <v>700222</v>
      </c>
      <c r="G82" s="558" t="s">
        <v>854</v>
      </c>
      <c r="H82" s="564">
        <v>40015</v>
      </c>
      <c r="I82" s="563">
        <v>-15.4</v>
      </c>
      <c r="J82" s="559" t="s">
        <v>781</v>
      </c>
    </row>
    <row r="83" spans="4:10" x14ac:dyDescent="0.25">
      <c r="D83" s="559" t="s">
        <v>762</v>
      </c>
      <c r="E83" s="558" t="s">
        <v>855</v>
      </c>
      <c r="F83" s="559">
        <v>700222</v>
      </c>
      <c r="G83" s="558" t="s">
        <v>854</v>
      </c>
      <c r="H83" s="564">
        <v>40015</v>
      </c>
      <c r="I83" s="563">
        <v>-1129.3</v>
      </c>
      <c r="J83" s="559" t="s">
        <v>781</v>
      </c>
    </row>
    <row r="84" spans="4:10" x14ac:dyDescent="0.25">
      <c r="D84" s="559" t="s">
        <v>762</v>
      </c>
      <c r="E84" s="558" t="s">
        <v>856</v>
      </c>
      <c r="F84" s="559">
        <v>700222</v>
      </c>
      <c r="G84" s="558" t="s">
        <v>857</v>
      </c>
      <c r="H84" s="564">
        <v>40015</v>
      </c>
      <c r="I84" s="563">
        <v>-15551.95</v>
      </c>
      <c r="J84" s="559" t="s">
        <v>781</v>
      </c>
    </row>
    <row r="85" spans="4:10" x14ac:dyDescent="0.25">
      <c r="D85" s="559" t="s">
        <v>762</v>
      </c>
      <c r="E85" s="558" t="s">
        <v>858</v>
      </c>
      <c r="F85" s="559">
        <v>700222</v>
      </c>
      <c r="G85" s="558" t="s">
        <v>857</v>
      </c>
      <c r="H85" s="564">
        <v>40015</v>
      </c>
      <c r="I85" s="563">
        <v>-2903.25</v>
      </c>
      <c r="J85" s="559" t="s">
        <v>781</v>
      </c>
    </row>
    <row r="86" spans="4:10" x14ac:dyDescent="0.25">
      <c r="I86" s="563">
        <f>SUM(I4:I85)</f>
        <v>-834721.44999999984</v>
      </c>
    </row>
    <row r="88" spans="4:10" x14ac:dyDescent="0.25">
      <c r="D88" s="565" t="s">
        <v>859</v>
      </c>
    </row>
    <row r="89" spans="4:10" x14ac:dyDescent="0.25">
      <c r="D89" s="559" t="s">
        <v>860</v>
      </c>
      <c r="E89" s="558">
        <v>130017</v>
      </c>
      <c r="F89" s="559">
        <v>101480</v>
      </c>
      <c r="G89" s="558" t="s">
        <v>763</v>
      </c>
      <c r="H89" s="564">
        <v>40015</v>
      </c>
      <c r="I89" s="563">
        <v>51741.05</v>
      </c>
      <c r="J89" s="559" t="s">
        <v>861</v>
      </c>
    </row>
    <row r="90" spans="4:10" x14ac:dyDescent="0.25">
      <c r="D90" s="559" t="s">
        <v>860</v>
      </c>
      <c r="E90" s="558">
        <v>130034</v>
      </c>
      <c r="F90" s="559">
        <v>101481</v>
      </c>
      <c r="G90" s="558" t="s">
        <v>763</v>
      </c>
      <c r="H90" s="564">
        <v>40015</v>
      </c>
      <c r="I90" s="563">
        <v>18817.8</v>
      </c>
      <c r="J90" s="559" t="s">
        <v>861</v>
      </c>
    </row>
    <row r="91" spans="4:10" x14ac:dyDescent="0.25">
      <c r="D91" s="559" t="s">
        <v>860</v>
      </c>
      <c r="E91" s="558">
        <v>130035</v>
      </c>
      <c r="F91" s="559">
        <v>101482</v>
      </c>
      <c r="G91" s="558" t="s">
        <v>763</v>
      </c>
      <c r="H91" s="564">
        <v>40015</v>
      </c>
      <c r="I91" s="563">
        <v>4657.05</v>
      </c>
      <c r="J91" s="559" t="s">
        <v>861</v>
      </c>
    </row>
    <row r="92" spans="4:10" x14ac:dyDescent="0.25">
      <c r="D92" s="559" t="s">
        <v>860</v>
      </c>
      <c r="E92" s="558">
        <v>130036</v>
      </c>
      <c r="F92" s="559">
        <v>101483</v>
      </c>
      <c r="G92" s="558" t="s">
        <v>763</v>
      </c>
      <c r="H92" s="564">
        <v>40015</v>
      </c>
      <c r="I92" s="563">
        <v>9713.0499999999993</v>
      </c>
      <c r="J92" s="559" t="s">
        <v>861</v>
      </c>
    </row>
    <row r="93" spans="4:10" x14ac:dyDescent="0.25">
      <c r="D93" s="559" t="s">
        <v>860</v>
      </c>
      <c r="E93" s="558">
        <v>130150</v>
      </c>
      <c r="F93" s="559">
        <v>101484</v>
      </c>
      <c r="G93" s="558" t="s">
        <v>763</v>
      </c>
      <c r="H93" s="564">
        <v>40015</v>
      </c>
      <c r="I93" s="563">
        <v>48205.8</v>
      </c>
      <c r="J93" s="559" t="s">
        <v>861</v>
      </c>
    </row>
    <row r="94" spans="4:10" x14ac:dyDescent="0.25">
      <c r="D94" s="559" t="s">
        <v>860</v>
      </c>
      <c r="E94" s="558">
        <v>130151</v>
      </c>
      <c r="F94" s="559">
        <v>101485</v>
      </c>
      <c r="G94" s="558" t="s">
        <v>765</v>
      </c>
      <c r="H94" s="564">
        <v>40015</v>
      </c>
      <c r="I94" s="563">
        <v>1580</v>
      </c>
      <c r="J94" s="559" t="s">
        <v>861</v>
      </c>
    </row>
    <row r="95" spans="4:10" x14ac:dyDescent="0.25">
      <c r="D95" s="559" t="s">
        <v>860</v>
      </c>
      <c r="E95" s="558">
        <v>130220</v>
      </c>
      <c r="F95" s="559">
        <v>101486</v>
      </c>
      <c r="G95" s="558" t="s">
        <v>765</v>
      </c>
      <c r="H95" s="564">
        <v>40015</v>
      </c>
      <c r="I95" s="563">
        <v>126.4</v>
      </c>
      <c r="J95" s="559" t="s">
        <v>861</v>
      </c>
    </row>
    <row r="96" spans="4:10" x14ac:dyDescent="0.25">
      <c r="D96" s="559" t="s">
        <v>860</v>
      </c>
      <c r="E96" s="558">
        <v>130453</v>
      </c>
      <c r="F96" s="559">
        <v>101190</v>
      </c>
      <c r="G96" s="558" t="s">
        <v>765</v>
      </c>
      <c r="H96" s="564">
        <v>40015</v>
      </c>
      <c r="I96" s="563">
        <v>10586</v>
      </c>
      <c r="J96" s="559" t="s">
        <v>861</v>
      </c>
    </row>
    <row r="97" spans="4:10" x14ac:dyDescent="0.25">
      <c r="D97" s="559" t="s">
        <v>860</v>
      </c>
      <c r="E97" s="558">
        <v>130458</v>
      </c>
      <c r="F97" s="559">
        <v>101487</v>
      </c>
      <c r="G97" s="558" t="s">
        <v>765</v>
      </c>
      <c r="H97" s="564">
        <v>40015</v>
      </c>
      <c r="I97" s="563">
        <v>316</v>
      </c>
      <c r="J97" s="559" t="s">
        <v>861</v>
      </c>
    </row>
    <row r="98" spans="4:10" x14ac:dyDescent="0.25">
      <c r="D98" s="559" t="s">
        <v>860</v>
      </c>
      <c r="E98" s="558">
        <v>130816</v>
      </c>
      <c r="F98" s="559">
        <v>101448</v>
      </c>
      <c r="G98" s="558" t="s">
        <v>766</v>
      </c>
      <c r="H98" s="564">
        <v>40015</v>
      </c>
      <c r="I98" s="563">
        <v>52408.6</v>
      </c>
      <c r="J98" s="559" t="s">
        <v>861</v>
      </c>
    </row>
    <row r="99" spans="4:10" x14ac:dyDescent="0.25">
      <c r="D99" s="559" t="s">
        <v>860</v>
      </c>
      <c r="E99" s="558">
        <v>130834</v>
      </c>
      <c r="F99" s="559">
        <v>101489</v>
      </c>
      <c r="G99" s="558" t="s">
        <v>766</v>
      </c>
      <c r="H99" s="564">
        <v>40015</v>
      </c>
      <c r="I99" s="563">
        <v>7410.2</v>
      </c>
      <c r="J99" s="559" t="s">
        <v>861</v>
      </c>
    </row>
    <row r="100" spans="4:10" x14ac:dyDescent="0.25">
      <c r="D100" s="559" t="s">
        <v>860</v>
      </c>
      <c r="E100" s="558">
        <v>130860</v>
      </c>
      <c r="F100" s="559">
        <v>101490</v>
      </c>
      <c r="G100" s="558" t="s">
        <v>766</v>
      </c>
      <c r="H100" s="564">
        <v>40015</v>
      </c>
      <c r="I100" s="563">
        <v>9890.7999999999993</v>
      </c>
      <c r="J100" s="559" t="s">
        <v>861</v>
      </c>
    </row>
    <row r="101" spans="4:10" x14ac:dyDescent="0.25">
      <c r="D101" s="559" t="s">
        <v>860</v>
      </c>
      <c r="E101" s="558">
        <v>130880</v>
      </c>
      <c r="F101" s="559">
        <v>101491</v>
      </c>
      <c r="G101" s="558" t="s">
        <v>766</v>
      </c>
      <c r="H101" s="564">
        <v>40015</v>
      </c>
      <c r="I101" s="563">
        <v>1169.2</v>
      </c>
      <c r="J101" s="559" t="s">
        <v>861</v>
      </c>
    </row>
    <row r="102" spans="4:10" x14ac:dyDescent="0.25">
      <c r="D102" s="559" t="s">
        <v>860</v>
      </c>
      <c r="E102" s="558">
        <v>130882</v>
      </c>
      <c r="F102" s="559">
        <v>101492</v>
      </c>
      <c r="G102" s="558" t="s">
        <v>768</v>
      </c>
      <c r="H102" s="564">
        <v>40015</v>
      </c>
      <c r="I102" s="563">
        <v>103079.2</v>
      </c>
      <c r="J102" s="559" t="s">
        <v>861</v>
      </c>
    </row>
    <row r="103" spans="4:10" x14ac:dyDescent="0.25">
      <c r="D103" s="559" t="s">
        <v>860</v>
      </c>
      <c r="E103" s="558">
        <v>130981</v>
      </c>
      <c r="F103" s="559">
        <v>101493</v>
      </c>
      <c r="G103" s="558" t="s">
        <v>768</v>
      </c>
      <c r="H103" s="564">
        <v>40015</v>
      </c>
      <c r="I103" s="563">
        <v>55055.1</v>
      </c>
      <c r="J103" s="559" t="s">
        <v>861</v>
      </c>
    </row>
    <row r="104" spans="4:10" x14ac:dyDescent="0.25">
      <c r="D104" s="559" t="s">
        <v>860</v>
      </c>
      <c r="E104" s="558">
        <v>130982</v>
      </c>
      <c r="F104" s="559">
        <v>101494</v>
      </c>
      <c r="G104" s="558" t="s">
        <v>768</v>
      </c>
      <c r="H104" s="564">
        <v>40015</v>
      </c>
      <c r="I104" s="563">
        <v>98.75</v>
      </c>
      <c r="J104" s="559" t="s">
        <v>861</v>
      </c>
    </row>
    <row r="105" spans="4:10" x14ac:dyDescent="0.25">
      <c r="D105" s="559" t="s">
        <v>860</v>
      </c>
      <c r="E105" s="558">
        <v>130984</v>
      </c>
      <c r="F105" s="559">
        <v>101495</v>
      </c>
      <c r="G105" s="558" t="s">
        <v>768</v>
      </c>
      <c r="H105" s="564">
        <v>40015</v>
      </c>
      <c r="I105" s="563">
        <v>16570.25</v>
      </c>
      <c r="J105" s="559" t="s">
        <v>861</v>
      </c>
    </row>
    <row r="106" spans="4:10" x14ac:dyDescent="0.25">
      <c r="D106" s="559" t="s">
        <v>860</v>
      </c>
      <c r="E106" s="558">
        <v>150884</v>
      </c>
      <c r="F106" s="559">
        <v>101496</v>
      </c>
      <c r="G106" s="558" t="s">
        <v>769</v>
      </c>
      <c r="H106" s="564">
        <v>40015</v>
      </c>
      <c r="I106" s="563">
        <v>311655</v>
      </c>
      <c r="J106" s="559" t="s">
        <v>861</v>
      </c>
    </row>
    <row r="107" spans="4:10" x14ac:dyDescent="0.25">
      <c r="D107" s="559" t="s">
        <v>860</v>
      </c>
      <c r="E107" s="558">
        <v>330331</v>
      </c>
      <c r="F107" s="559">
        <v>301719</v>
      </c>
      <c r="G107" s="558" t="s">
        <v>771</v>
      </c>
      <c r="H107" s="564">
        <v>40015</v>
      </c>
      <c r="I107" s="563">
        <v>37920</v>
      </c>
      <c r="J107" s="559" t="s">
        <v>861</v>
      </c>
    </row>
    <row r="108" spans="4:10" x14ac:dyDescent="0.25">
      <c r="D108" s="559" t="s">
        <v>860</v>
      </c>
      <c r="E108" s="558" t="s">
        <v>772</v>
      </c>
      <c r="F108" s="559">
        <v>301720</v>
      </c>
      <c r="G108" s="558" t="s">
        <v>771</v>
      </c>
      <c r="H108" s="564">
        <v>40015</v>
      </c>
      <c r="I108" s="563">
        <v>6541.2</v>
      </c>
      <c r="J108" s="559" t="s">
        <v>861</v>
      </c>
    </row>
    <row r="109" spans="4:10" x14ac:dyDescent="0.25">
      <c r="D109" s="559" t="s">
        <v>860</v>
      </c>
      <c r="E109" s="558" t="s">
        <v>778</v>
      </c>
      <c r="F109" s="559">
        <v>101480</v>
      </c>
      <c r="G109" s="558" t="s">
        <v>779</v>
      </c>
      <c r="H109" s="564">
        <v>40015</v>
      </c>
      <c r="I109" s="563">
        <v>3886.8</v>
      </c>
      <c r="J109" s="559" t="s">
        <v>861</v>
      </c>
    </row>
    <row r="110" spans="4:10" x14ac:dyDescent="0.25">
      <c r="D110" s="559" t="s">
        <v>860</v>
      </c>
      <c r="E110" s="558" t="s">
        <v>780</v>
      </c>
      <c r="F110" s="559">
        <v>502029</v>
      </c>
      <c r="G110" s="558" t="s">
        <v>779</v>
      </c>
      <c r="H110" s="564">
        <v>40015</v>
      </c>
      <c r="I110" s="563">
        <v>94.8</v>
      </c>
      <c r="J110" s="559" t="s">
        <v>862</v>
      </c>
    </row>
    <row r="111" spans="4:10" x14ac:dyDescent="0.25">
      <c r="D111" s="559" t="s">
        <v>860</v>
      </c>
      <c r="E111" s="558" t="s">
        <v>782</v>
      </c>
      <c r="F111" s="559">
        <v>502029</v>
      </c>
      <c r="G111" s="558" t="s">
        <v>779</v>
      </c>
      <c r="H111" s="564">
        <v>40015</v>
      </c>
      <c r="I111" s="563">
        <v>94.8</v>
      </c>
      <c r="J111" s="559" t="s">
        <v>862</v>
      </c>
    </row>
    <row r="112" spans="4:10" x14ac:dyDescent="0.25">
      <c r="D112" s="559" t="s">
        <v>860</v>
      </c>
      <c r="E112" s="558" t="s">
        <v>783</v>
      </c>
      <c r="F112" s="559">
        <v>502029</v>
      </c>
      <c r="G112" s="558" t="s">
        <v>779</v>
      </c>
      <c r="H112" s="564">
        <v>40015</v>
      </c>
      <c r="I112" s="563">
        <v>94.8</v>
      </c>
      <c r="J112" s="559" t="s">
        <v>862</v>
      </c>
    </row>
    <row r="113" spans="4:10" x14ac:dyDescent="0.25">
      <c r="D113" s="559" t="s">
        <v>860</v>
      </c>
      <c r="E113" s="558" t="s">
        <v>784</v>
      </c>
      <c r="F113" s="559">
        <v>502195</v>
      </c>
      <c r="G113" s="558" t="s">
        <v>785</v>
      </c>
      <c r="H113" s="564">
        <v>40015</v>
      </c>
      <c r="I113" s="563">
        <v>21491.95</v>
      </c>
      <c r="J113" s="559" t="s">
        <v>862</v>
      </c>
    </row>
    <row r="114" spans="4:10" x14ac:dyDescent="0.25">
      <c r="D114" s="559" t="s">
        <v>860</v>
      </c>
      <c r="E114" s="558" t="s">
        <v>786</v>
      </c>
      <c r="F114" s="559">
        <v>500413</v>
      </c>
      <c r="G114" s="558" t="s">
        <v>785</v>
      </c>
      <c r="H114" s="564">
        <v>40015</v>
      </c>
      <c r="I114" s="563">
        <v>7512.9</v>
      </c>
      <c r="J114" s="559" t="s">
        <v>862</v>
      </c>
    </row>
    <row r="115" spans="4:10" x14ac:dyDescent="0.25">
      <c r="D115" s="559" t="s">
        <v>860</v>
      </c>
      <c r="E115" s="558" t="s">
        <v>788</v>
      </c>
      <c r="F115" s="559">
        <v>500034</v>
      </c>
      <c r="G115" s="558" t="s">
        <v>789</v>
      </c>
      <c r="H115" s="564">
        <v>40015</v>
      </c>
      <c r="I115" s="563">
        <v>150.1</v>
      </c>
      <c r="J115" s="559" t="s">
        <v>862</v>
      </c>
    </row>
    <row r="116" spans="4:10" x14ac:dyDescent="0.25">
      <c r="D116" s="559" t="s">
        <v>860</v>
      </c>
      <c r="E116" s="558" t="s">
        <v>790</v>
      </c>
      <c r="F116" s="559">
        <v>500034</v>
      </c>
      <c r="G116" s="558" t="s">
        <v>789</v>
      </c>
      <c r="H116" s="564">
        <v>40015</v>
      </c>
      <c r="I116" s="563">
        <v>150.1</v>
      </c>
      <c r="J116" s="559" t="s">
        <v>862</v>
      </c>
    </row>
    <row r="117" spans="4:10" x14ac:dyDescent="0.25">
      <c r="D117" s="559" t="s">
        <v>860</v>
      </c>
      <c r="E117" s="558" t="s">
        <v>791</v>
      </c>
      <c r="F117" s="559">
        <v>500034</v>
      </c>
      <c r="G117" s="558" t="s">
        <v>792</v>
      </c>
      <c r="H117" s="564">
        <v>40015</v>
      </c>
      <c r="I117" s="563">
        <v>150.1</v>
      </c>
      <c r="J117" s="559" t="s">
        <v>862</v>
      </c>
    </row>
    <row r="118" spans="4:10" x14ac:dyDescent="0.25">
      <c r="D118" s="559" t="s">
        <v>860</v>
      </c>
      <c r="E118" s="558" t="s">
        <v>793</v>
      </c>
      <c r="F118" s="559">
        <v>500413</v>
      </c>
      <c r="G118" s="558" t="s">
        <v>792</v>
      </c>
      <c r="H118" s="564">
        <v>40015</v>
      </c>
      <c r="I118" s="563">
        <v>8721.6</v>
      </c>
      <c r="J118" s="559" t="s">
        <v>862</v>
      </c>
    </row>
    <row r="119" spans="4:10" x14ac:dyDescent="0.25">
      <c r="D119" s="559" t="s">
        <v>860</v>
      </c>
      <c r="E119" s="558" t="s">
        <v>794</v>
      </c>
      <c r="F119" s="559">
        <v>500413</v>
      </c>
      <c r="G119" s="558" t="s">
        <v>792</v>
      </c>
      <c r="H119" s="564">
        <v>40015</v>
      </c>
      <c r="I119" s="563">
        <v>110.6</v>
      </c>
      <c r="J119" s="559" t="s">
        <v>862</v>
      </c>
    </row>
    <row r="120" spans="4:10" x14ac:dyDescent="0.25">
      <c r="D120" s="559" t="s">
        <v>860</v>
      </c>
      <c r="E120" s="558" t="s">
        <v>797</v>
      </c>
      <c r="F120" s="559">
        <v>500034</v>
      </c>
      <c r="G120" s="558" t="s">
        <v>796</v>
      </c>
      <c r="H120" s="564">
        <v>40015</v>
      </c>
      <c r="I120" s="563">
        <v>150.1</v>
      </c>
      <c r="J120" s="559" t="s">
        <v>862</v>
      </c>
    </row>
    <row r="121" spans="4:10" x14ac:dyDescent="0.25">
      <c r="D121" s="559" t="s">
        <v>860</v>
      </c>
      <c r="E121" s="558" t="s">
        <v>799</v>
      </c>
      <c r="F121" s="559">
        <v>500457</v>
      </c>
      <c r="G121" s="558" t="s">
        <v>796</v>
      </c>
      <c r="H121" s="564">
        <v>40015</v>
      </c>
      <c r="I121" s="563">
        <v>215425.1</v>
      </c>
      <c r="J121" s="559" t="s">
        <v>862</v>
      </c>
    </row>
    <row r="122" spans="4:10" x14ac:dyDescent="0.25">
      <c r="D122" s="559" t="s">
        <v>860</v>
      </c>
      <c r="E122" s="558" t="s">
        <v>800</v>
      </c>
      <c r="F122" s="559">
        <v>500163</v>
      </c>
      <c r="G122" s="558" t="s">
        <v>801</v>
      </c>
      <c r="H122" s="564">
        <v>40015</v>
      </c>
      <c r="I122" s="563">
        <v>15104.8</v>
      </c>
      <c r="J122" s="559" t="s">
        <v>862</v>
      </c>
    </row>
    <row r="123" spans="4:10" x14ac:dyDescent="0.25">
      <c r="D123" s="559" t="s">
        <v>860</v>
      </c>
      <c r="E123" s="558" t="s">
        <v>802</v>
      </c>
      <c r="F123" s="559">
        <v>500163</v>
      </c>
      <c r="G123" s="558" t="s">
        <v>801</v>
      </c>
      <c r="H123" s="564">
        <v>40015</v>
      </c>
      <c r="I123" s="563">
        <v>94.8</v>
      </c>
      <c r="J123" s="559" t="s">
        <v>862</v>
      </c>
    </row>
    <row r="124" spans="4:10" x14ac:dyDescent="0.25">
      <c r="D124" s="559" t="s">
        <v>860</v>
      </c>
      <c r="E124" s="558" t="s">
        <v>803</v>
      </c>
      <c r="F124" s="559">
        <v>500413</v>
      </c>
      <c r="G124" s="558" t="s">
        <v>804</v>
      </c>
      <c r="H124" s="564">
        <v>40015</v>
      </c>
      <c r="I124" s="563">
        <v>948</v>
      </c>
      <c r="J124" s="559" t="s">
        <v>862</v>
      </c>
    </row>
    <row r="125" spans="4:10" x14ac:dyDescent="0.25">
      <c r="D125" s="559" t="s">
        <v>860</v>
      </c>
      <c r="E125" s="558" t="s">
        <v>805</v>
      </c>
      <c r="F125" s="559">
        <v>502195</v>
      </c>
      <c r="G125" s="558" t="s">
        <v>804</v>
      </c>
      <c r="H125" s="564">
        <v>40015</v>
      </c>
      <c r="I125" s="563">
        <v>23700</v>
      </c>
      <c r="J125" s="559" t="s">
        <v>862</v>
      </c>
    </row>
    <row r="126" spans="4:10" x14ac:dyDescent="0.25">
      <c r="D126" s="559" t="s">
        <v>860</v>
      </c>
      <c r="E126" s="558" t="s">
        <v>806</v>
      </c>
      <c r="F126" s="559">
        <v>502035</v>
      </c>
      <c r="G126" s="558" t="s">
        <v>804</v>
      </c>
      <c r="H126" s="564">
        <v>40015</v>
      </c>
      <c r="I126" s="563">
        <v>1414.1</v>
      </c>
      <c r="J126" s="559" t="s">
        <v>862</v>
      </c>
    </row>
    <row r="127" spans="4:10" x14ac:dyDescent="0.25">
      <c r="D127" s="559" t="s">
        <v>860</v>
      </c>
      <c r="E127" s="558" t="s">
        <v>807</v>
      </c>
      <c r="F127" s="559">
        <v>500034</v>
      </c>
      <c r="G127" s="558" t="s">
        <v>808</v>
      </c>
      <c r="H127" s="564">
        <v>40015</v>
      </c>
      <c r="I127" s="563">
        <v>102.7</v>
      </c>
      <c r="J127" s="559" t="s">
        <v>862</v>
      </c>
    </row>
    <row r="128" spans="4:10" x14ac:dyDescent="0.25">
      <c r="D128" s="559" t="s">
        <v>860</v>
      </c>
      <c r="E128" s="558" t="s">
        <v>809</v>
      </c>
      <c r="F128" s="559">
        <v>500413</v>
      </c>
      <c r="G128" s="558" t="s">
        <v>810</v>
      </c>
      <c r="H128" s="564">
        <v>40015</v>
      </c>
      <c r="I128" s="563">
        <v>7189</v>
      </c>
      <c r="J128" s="559" t="s">
        <v>862</v>
      </c>
    </row>
    <row r="129" spans="4:10" x14ac:dyDescent="0.25">
      <c r="D129" s="559" t="s">
        <v>860</v>
      </c>
      <c r="E129" s="558" t="s">
        <v>811</v>
      </c>
      <c r="F129" s="559">
        <v>500413</v>
      </c>
      <c r="G129" s="558" t="s">
        <v>812</v>
      </c>
      <c r="H129" s="564">
        <v>40015</v>
      </c>
      <c r="I129" s="563">
        <v>3397</v>
      </c>
      <c r="J129" s="559" t="s">
        <v>862</v>
      </c>
    </row>
    <row r="130" spans="4:10" x14ac:dyDescent="0.25">
      <c r="D130" s="559" t="s">
        <v>860</v>
      </c>
      <c r="E130" s="558" t="s">
        <v>813</v>
      </c>
      <c r="F130" s="559">
        <v>502195</v>
      </c>
      <c r="G130" s="558" t="s">
        <v>812</v>
      </c>
      <c r="H130" s="564">
        <v>40015</v>
      </c>
      <c r="I130" s="563">
        <v>49059</v>
      </c>
      <c r="J130" s="559" t="s">
        <v>862</v>
      </c>
    </row>
    <row r="131" spans="4:10" x14ac:dyDescent="0.25">
      <c r="D131" s="559" t="s">
        <v>860</v>
      </c>
      <c r="E131" s="558" t="s">
        <v>814</v>
      </c>
      <c r="F131" s="559">
        <v>502195</v>
      </c>
      <c r="G131" s="558" t="s">
        <v>812</v>
      </c>
      <c r="H131" s="564">
        <v>40015</v>
      </c>
      <c r="I131" s="563">
        <v>13588</v>
      </c>
      <c r="J131" s="559" t="s">
        <v>862</v>
      </c>
    </row>
    <row r="132" spans="4:10" x14ac:dyDescent="0.25">
      <c r="D132" s="559" t="s">
        <v>860</v>
      </c>
      <c r="E132" s="558" t="s">
        <v>819</v>
      </c>
      <c r="F132" s="559">
        <v>700222</v>
      </c>
      <c r="G132" s="558" t="s">
        <v>820</v>
      </c>
      <c r="H132" s="564">
        <v>40015</v>
      </c>
      <c r="I132" s="563">
        <v>4179.1000000000004</v>
      </c>
      <c r="J132" s="559" t="s">
        <v>862</v>
      </c>
    </row>
    <row r="133" spans="4:10" x14ac:dyDescent="0.25">
      <c r="D133" s="559" t="s">
        <v>860</v>
      </c>
      <c r="E133" s="558" t="s">
        <v>821</v>
      </c>
      <c r="F133" s="559">
        <v>700222</v>
      </c>
      <c r="G133" s="558" t="s">
        <v>822</v>
      </c>
      <c r="H133" s="564">
        <v>40015</v>
      </c>
      <c r="I133" s="563">
        <v>9464.2000000000007</v>
      </c>
      <c r="J133" s="559" t="s">
        <v>862</v>
      </c>
    </row>
    <row r="134" spans="4:10" x14ac:dyDescent="0.25">
      <c r="D134" s="559" t="s">
        <v>860</v>
      </c>
      <c r="E134" s="558" t="s">
        <v>823</v>
      </c>
      <c r="F134" s="559">
        <v>700222</v>
      </c>
      <c r="G134" s="558" t="s">
        <v>824</v>
      </c>
      <c r="H134" s="564">
        <v>40015</v>
      </c>
      <c r="I134" s="563">
        <v>35.549999999999997</v>
      </c>
      <c r="J134" s="559" t="s">
        <v>862</v>
      </c>
    </row>
    <row r="135" spans="4:10" x14ac:dyDescent="0.25">
      <c r="D135" s="559" t="s">
        <v>860</v>
      </c>
      <c r="E135" s="558" t="s">
        <v>825</v>
      </c>
      <c r="F135" s="559">
        <v>700222</v>
      </c>
      <c r="G135" s="558" t="s">
        <v>826</v>
      </c>
      <c r="H135" s="564">
        <v>40015</v>
      </c>
      <c r="I135" s="563">
        <v>7663</v>
      </c>
      <c r="J135" s="559" t="s">
        <v>862</v>
      </c>
    </row>
    <row r="136" spans="4:10" x14ac:dyDescent="0.25">
      <c r="D136" s="559" t="s">
        <v>860</v>
      </c>
      <c r="E136" s="558" t="s">
        <v>829</v>
      </c>
      <c r="F136" s="559">
        <v>700222</v>
      </c>
      <c r="G136" s="558" t="s">
        <v>828</v>
      </c>
      <c r="H136" s="564">
        <v>40015</v>
      </c>
      <c r="I136" s="563">
        <v>59487</v>
      </c>
      <c r="J136" s="559" t="s">
        <v>862</v>
      </c>
    </row>
    <row r="137" spans="4:10" x14ac:dyDescent="0.25">
      <c r="D137" s="559" t="s">
        <v>860</v>
      </c>
      <c r="E137" s="558" t="s">
        <v>830</v>
      </c>
      <c r="F137" s="559">
        <v>700222</v>
      </c>
      <c r="G137" s="558" t="s">
        <v>828</v>
      </c>
      <c r="H137" s="564">
        <v>40015</v>
      </c>
      <c r="I137" s="563">
        <v>237</v>
      </c>
      <c r="J137" s="559" t="s">
        <v>862</v>
      </c>
    </row>
    <row r="138" spans="4:10" x14ac:dyDescent="0.25">
      <c r="D138" s="559" t="s">
        <v>860</v>
      </c>
      <c r="E138" s="558" t="s">
        <v>831</v>
      </c>
      <c r="F138" s="559">
        <v>700222</v>
      </c>
      <c r="G138" s="558" t="s">
        <v>832</v>
      </c>
      <c r="H138" s="564">
        <v>40015</v>
      </c>
      <c r="I138" s="563">
        <v>4083.5</v>
      </c>
      <c r="J138" s="559" t="s">
        <v>862</v>
      </c>
    </row>
    <row r="139" spans="4:10" x14ac:dyDescent="0.25">
      <c r="D139" s="559" t="s">
        <v>860</v>
      </c>
      <c r="E139" s="558" t="s">
        <v>835</v>
      </c>
      <c r="F139" s="559">
        <v>700237</v>
      </c>
      <c r="G139" s="558" t="s">
        <v>834</v>
      </c>
      <c r="H139" s="564">
        <v>40015</v>
      </c>
      <c r="I139" s="563">
        <v>86.9</v>
      </c>
      <c r="J139" s="559" t="s">
        <v>862</v>
      </c>
    </row>
    <row r="140" spans="4:10" x14ac:dyDescent="0.25">
      <c r="D140" s="559" t="s">
        <v>860</v>
      </c>
      <c r="E140" s="558" t="s">
        <v>836</v>
      </c>
      <c r="F140" s="559">
        <v>700222</v>
      </c>
      <c r="G140" s="558" t="s">
        <v>834</v>
      </c>
      <c r="H140" s="564">
        <v>40015</v>
      </c>
      <c r="I140" s="563">
        <v>481.9</v>
      </c>
      <c r="J140" s="559" t="s">
        <v>862</v>
      </c>
    </row>
    <row r="141" spans="4:10" x14ac:dyDescent="0.25">
      <c r="D141" s="559" t="s">
        <v>860</v>
      </c>
      <c r="E141" s="558" t="s">
        <v>837</v>
      </c>
      <c r="F141" s="559">
        <v>700222</v>
      </c>
      <c r="G141" s="558" t="s">
        <v>834</v>
      </c>
      <c r="H141" s="564">
        <v>40015</v>
      </c>
      <c r="I141" s="563">
        <v>59558.1</v>
      </c>
      <c r="J141" s="559" t="s">
        <v>862</v>
      </c>
    </row>
    <row r="142" spans="4:10" x14ac:dyDescent="0.25">
      <c r="D142" s="559" t="s">
        <v>860</v>
      </c>
      <c r="E142" s="558" t="s">
        <v>840</v>
      </c>
      <c r="F142" s="559">
        <v>700222</v>
      </c>
      <c r="G142" s="558" t="s">
        <v>839</v>
      </c>
      <c r="H142" s="564">
        <v>40015</v>
      </c>
      <c r="I142" s="563">
        <v>308.10000000000002</v>
      </c>
      <c r="J142" s="559" t="s">
        <v>862</v>
      </c>
    </row>
    <row r="143" spans="4:10" x14ac:dyDescent="0.25">
      <c r="D143" s="559" t="s">
        <v>860</v>
      </c>
      <c r="E143" s="558" t="s">
        <v>841</v>
      </c>
      <c r="F143" s="559">
        <v>700222</v>
      </c>
      <c r="G143" s="558" t="s">
        <v>839</v>
      </c>
      <c r="H143" s="564">
        <v>40015</v>
      </c>
      <c r="I143" s="563">
        <v>7307.5</v>
      </c>
      <c r="J143" s="559" t="s">
        <v>862</v>
      </c>
    </row>
    <row r="144" spans="4:10" x14ac:dyDescent="0.25">
      <c r="D144" s="559" t="s">
        <v>860</v>
      </c>
      <c r="E144" s="558" t="s">
        <v>842</v>
      </c>
      <c r="F144" s="559">
        <v>700222</v>
      </c>
      <c r="G144" s="558" t="s">
        <v>843</v>
      </c>
      <c r="H144" s="564">
        <v>40015</v>
      </c>
      <c r="I144" s="563">
        <v>4878.25</v>
      </c>
      <c r="J144" s="559" t="s">
        <v>862</v>
      </c>
    </row>
    <row r="145" spans="4:17" x14ac:dyDescent="0.25">
      <c r="D145" s="559" t="s">
        <v>860</v>
      </c>
      <c r="E145" s="558" t="s">
        <v>844</v>
      </c>
      <c r="F145" s="559">
        <v>700057</v>
      </c>
      <c r="G145" s="558" t="s">
        <v>845</v>
      </c>
      <c r="H145" s="564">
        <v>40015</v>
      </c>
      <c r="I145" s="563">
        <v>129086</v>
      </c>
      <c r="J145" s="559" t="s">
        <v>862</v>
      </c>
    </row>
    <row r="146" spans="4:17" x14ac:dyDescent="0.25">
      <c r="D146" s="559" t="s">
        <v>860</v>
      </c>
      <c r="E146" s="558" t="s">
        <v>844</v>
      </c>
      <c r="F146" s="559">
        <v>700222</v>
      </c>
      <c r="G146" s="558" t="s">
        <v>845</v>
      </c>
      <c r="H146" s="564">
        <v>40015</v>
      </c>
      <c r="I146" s="563">
        <v>129086</v>
      </c>
      <c r="J146" s="559" t="s">
        <v>862</v>
      </c>
    </row>
    <row r="147" spans="4:17" x14ac:dyDescent="0.25">
      <c r="D147" s="559" t="s">
        <v>860</v>
      </c>
      <c r="E147" s="558" t="s">
        <v>846</v>
      </c>
      <c r="F147" s="559">
        <v>700221</v>
      </c>
      <c r="G147" s="558" t="s">
        <v>847</v>
      </c>
      <c r="H147" s="564">
        <v>40015</v>
      </c>
      <c r="I147" s="563">
        <v>75484.5</v>
      </c>
      <c r="J147" s="559" t="s">
        <v>862</v>
      </c>
    </row>
    <row r="148" spans="4:17" x14ac:dyDescent="0.25">
      <c r="D148" s="559" t="s">
        <v>860</v>
      </c>
      <c r="E148" s="558" t="s">
        <v>846</v>
      </c>
      <c r="F148" s="559">
        <v>700222</v>
      </c>
      <c r="G148" s="558" t="s">
        <v>847</v>
      </c>
      <c r="H148" s="564">
        <v>40015</v>
      </c>
      <c r="I148" s="563">
        <v>75484.5</v>
      </c>
      <c r="J148" s="559" t="s">
        <v>862</v>
      </c>
    </row>
    <row r="149" spans="4:17" x14ac:dyDescent="0.25">
      <c r="D149" s="559" t="s">
        <v>860</v>
      </c>
      <c r="E149" s="558" t="s">
        <v>848</v>
      </c>
      <c r="F149" s="559">
        <v>701684</v>
      </c>
      <c r="G149" s="558" t="s">
        <v>849</v>
      </c>
      <c r="H149" s="564">
        <v>40015</v>
      </c>
      <c r="I149" s="563">
        <v>47.4</v>
      </c>
      <c r="J149" s="559" t="s">
        <v>862</v>
      </c>
    </row>
    <row r="150" spans="4:17" x14ac:dyDescent="0.25">
      <c r="D150" s="559" t="s">
        <v>860</v>
      </c>
      <c r="E150" s="558" t="s">
        <v>850</v>
      </c>
      <c r="F150" s="559">
        <v>700222</v>
      </c>
      <c r="G150" s="558" t="s">
        <v>851</v>
      </c>
      <c r="H150" s="564">
        <v>40015</v>
      </c>
      <c r="I150" s="563">
        <v>35.549999999999997</v>
      </c>
      <c r="J150" s="559" t="s">
        <v>862</v>
      </c>
    </row>
    <row r="151" spans="4:17" x14ac:dyDescent="0.25">
      <c r="D151" s="559" t="s">
        <v>860</v>
      </c>
      <c r="E151" s="558" t="s">
        <v>852</v>
      </c>
      <c r="F151" s="559">
        <v>700036</v>
      </c>
      <c r="G151" s="558" t="s">
        <v>851</v>
      </c>
      <c r="H151" s="564">
        <v>40015</v>
      </c>
      <c r="I151" s="563">
        <v>39421</v>
      </c>
      <c r="J151" s="559" t="s">
        <v>862</v>
      </c>
    </row>
    <row r="152" spans="4:17" x14ac:dyDescent="0.25">
      <c r="D152" s="559" t="s">
        <v>860</v>
      </c>
      <c r="E152" s="558" t="s">
        <v>853</v>
      </c>
      <c r="F152" s="559">
        <v>700222</v>
      </c>
      <c r="G152" s="558" t="s">
        <v>854</v>
      </c>
      <c r="H152" s="564">
        <v>40015</v>
      </c>
      <c r="I152" s="563">
        <v>51.35</v>
      </c>
      <c r="J152" s="559" t="s">
        <v>862</v>
      </c>
    </row>
    <row r="153" spans="4:17" x14ac:dyDescent="0.25">
      <c r="D153" s="559" t="s">
        <v>860</v>
      </c>
      <c r="E153" s="558" t="s">
        <v>855</v>
      </c>
      <c r="F153" s="559">
        <v>700222</v>
      </c>
      <c r="G153" s="558" t="s">
        <v>854</v>
      </c>
      <c r="H153" s="564">
        <v>40015</v>
      </c>
      <c r="I153" s="563">
        <v>3764.35</v>
      </c>
      <c r="J153" s="559" t="s">
        <v>862</v>
      </c>
    </row>
    <row r="154" spans="4:17" x14ac:dyDescent="0.25">
      <c r="D154" s="559" t="s">
        <v>860</v>
      </c>
      <c r="E154" s="558" t="s">
        <v>856</v>
      </c>
      <c r="F154" s="559">
        <v>700222</v>
      </c>
      <c r="G154" s="558" t="s">
        <v>854</v>
      </c>
      <c r="H154" s="564">
        <v>40015</v>
      </c>
      <c r="I154" s="563">
        <v>51839.8</v>
      </c>
      <c r="J154" s="559" t="s">
        <v>862</v>
      </c>
    </row>
    <row r="155" spans="4:17" x14ac:dyDescent="0.25">
      <c r="D155" s="559" t="s">
        <v>860</v>
      </c>
      <c r="E155" s="558" t="s">
        <v>858</v>
      </c>
      <c r="F155" s="559">
        <v>700222</v>
      </c>
      <c r="G155" s="558" t="s">
        <v>857</v>
      </c>
      <c r="H155" s="564">
        <v>40015</v>
      </c>
      <c r="I155" s="563">
        <v>9677.5</v>
      </c>
      <c r="J155" s="559" t="s">
        <v>862</v>
      </c>
      <c r="K155" s="559">
        <f>ROWS(J89:J155)</f>
        <v>67</v>
      </c>
    </row>
    <row r="156" spans="4:17" x14ac:dyDescent="0.25">
      <c r="D156" s="566" t="s">
        <v>4137</v>
      </c>
      <c r="I156" s="563">
        <f>SUM(I89:I155)</f>
        <v>1791920.6500000004</v>
      </c>
    </row>
    <row r="157" spans="4:17" x14ac:dyDescent="0.25">
      <c r="D157" s="566" t="s">
        <v>863</v>
      </c>
      <c r="I157" s="563">
        <f>+I156*1.1</f>
        <v>1971112.7150000005</v>
      </c>
      <c r="J157" s="567"/>
      <c r="K157" s="559">
        <v>2060708.7475000003</v>
      </c>
    </row>
    <row r="159" spans="4:17" x14ac:dyDescent="0.25">
      <c r="D159" s="559" t="s">
        <v>864</v>
      </c>
      <c r="J159" s="568" t="s">
        <v>865</v>
      </c>
      <c r="K159" s="569" t="s">
        <v>866</v>
      </c>
      <c r="L159" s="570">
        <v>0.1</v>
      </c>
      <c r="M159" s="563"/>
    </row>
    <row r="160" spans="4:17" x14ac:dyDescent="0.25">
      <c r="D160" s="559" t="s">
        <v>867</v>
      </c>
      <c r="E160" s="558">
        <v>100037</v>
      </c>
      <c r="F160" s="559">
        <v>102966</v>
      </c>
      <c r="G160" s="558" t="s">
        <v>868</v>
      </c>
      <c r="H160" s="564">
        <v>40015</v>
      </c>
      <c r="I160" s="563">
        <v>21764.5</v>
      </c>
      <c r="J160" s="559">
        <f t="shared" ref="J160:J191" si="0">+I160/0.079</f>
        <v>275500</v>
      </c>
      <c r="K160" s="563">
        <f t="shared" ref="K160:K191" si="1">+J160*0.039</f>
        <v>10744.5</v>
      </c>
      <c r="L160" s="563">
        <f>+K160*1.1</f>
        <v>11818.95</v>
      </c>
      <c r="M160" s="562"/>
      <c r="P160" s="559" t="s">
        <v>869</v>
      </c>
      <c r="Q160" s="571"/>
    </row>
    <row r="161" spans="4:16" x14ac:dyDescent="0.25">
      <c r="D161" s="559" t="s">
        <v>867</v>
      </c>
      <c r="E161" s="558">
        <v>100071</v>
      </c>
      <c r="F161" s="559">
        <v>100686</v>
      </c>
      <c r="G161" s="558" t="s">
        <v>870</v>
      </c>
      <c r="H161" s="564">
        <v>40015</v>
      </c>
      <c r="I161" s="563">
        <v>3871</v>
      </c>
      <c r="J161" s="559">
        <f t="shared" si="0"/>
        <v>49000</v>
      </c>
      <c r="K161" s="563">
        <f t="shared" si="1"/>
        <v>1911</v>
      </c>
      <c r="L161" s="563">
        <f t="shared" ref="L161:L224" si="2">+K161*1.1</f>
        <v>2102.1000000000004</v>
      </c>
      <c r="M161" s="562"/>
      <c r="P161" s="559" t="s">
        <v>869</v>
      </c>
    </row>
    <row r="162" spans="4:16" x14ac:dyDescent="0.25">
      <c r="D162" s="559" t="s">
        <v>867</v>
      </c>
      <c r="E162" s="558">
        <v>100072</v>
      </c>
      <c r="F162" s="559">
        <v>100873</v>
      </c>
      <c r="G162" s="558" t="s">
        <v>870</v>
      </c>
      <c r="H162" s="564">
        <v>40015</v>
      </c>
      <c r="I162" s="563">
        <v>4187</v>
      </c>
      <c r="J162" s="559">
        <f t="shared" si="0"/>
        <v>53000</v>
      </c>
      <c r="K162" s="563">
        <f t="shared" si="1"/>
        <v>2067</v>
      </c>
      <c r="L162" s="563">
        <f t="shared" si="2"/>
        <v>2273.7000000000003</v>
      </c>
      <c r="M162" s="562"/>
      <c r="P162" s="559" t="s">
        <v>869</v>
      </c>
    </row>
    <row r="163" spans="4:16" x14ac:dyDescent="0.25">
      <c r="D163" s="559" t="s">
        <v>867</v>
      </c>
      <c r="E163" s="558">
        <v>100301</v>
      </c>
      <c r="F163" s="559">
        <v>101957</v>
      </c>
      <c r="G163" s="558" t="s">
        <v>871</v>
      </c>
      <c r="H163" s="564">
        <v>40015</v>
      </c>
      <c r="I163" s="563">
        <v>2820.3</v>
      </c>
      <c r="J163" s="559">
        <f t="shared" si="0"/>
        <v>35700</v>
      </c>
      <c r="K163" s="563">
        <f t="shared" si="1"/>
        <v>1392.3</v>
      </c>
      <c r="L163" s="563">
        <f t="shared" si="2"/>
        <v>1531.53</v>
      </c>
      <c r="M163" s="562"/>
      <c r="P163" s="559" t="s">
        <v>869</v>
      </c>
    </row>
    <row r="164" spans="4:16" x14ac:dyDescent="0.25">
      <c r="D164" s="559" t="s">
        <v>867</v>
      </c>
      <c r="E164" s="558">
        <v>100308</v>
      </c>
      <c r="F164" s="559">
        <v>100036</v>
      </c>
      <c r="G164" s="558" t="s">
        <v>872</v>
      </c>
      <c r="H164" s="564">
        <v>40015</v>
      </c>
      <c r="I164" s="563">
        <v>4858.5</v>
      </c>
      <c r="J164" s="559">
        <f t="shared" si="0"/>
        <v>61500</v>
      </c>
      <c r="K164" s="563">
        <f t="shared" si="1"/>
        <v>2398.5</v>
      </c>
      <c r="L164" s="563">
        <f t="shared" si="2"/>
        <v>2638.3500000000004</v>
      </c>
      <c r="M164" s="563"/>
      <c r="P164" s="559" t="s">
        <v>869</v>
      </c>
    </row>
    <row r="165" spans="4:16" x14ac:dyDescent="0.25">
      <c r="D165" s="559" t="s">
        <v>867</v>
      </c>
      <c r="E165" s="558">
        <v>120016</v>
      </c>
      <c r="F165" s="559">
        <v>100503</v>
      </c>
      <c r="G165" s="558" t="s">
        <v>873</v>
      </c>
      <c r="H165" s="564">
        <v>40015</v>
      </c>
      <c r="I165" s="563">
        <v>3286.4</v>
      </c>
      <c r="J165" s="559">
        <f t="shared" si="0"/>
        <v>41600</v>
      </c>
      <c r="K165" s="563">
        <f t="shared" si="1"/>
        <v>1622.4</v>
      </c>
      <c r="L165" s="563">
        <f t="shared" si="2"/>
        <v>1784.6400000000003</v>
      </c>
      <c r="M165" s="563"/>
      <c r="P165" s="559" t="s">
        <v>869</v>
      </c>
    </row>
    <row r="166" spans="4:16" x14ac:dyDescent="0.25">
      <c r="D166" s="559" t="s">
        <v>867</v>
      </c>
      <c r="E166" s="558">
        <v>120019</v>
      </c>
      <c r="F166" s="559">
        <v>100504</v>
      </c>
      <c r="G166" s="558" t="s">
        <v>873</v>
      </c>
      <c r="H166" s="564">
        <v>40015</v>
      </c>
      <c r="I166" s="563">
        <v>12426.7</v>
      </c>
      <c r="J166" s="559">
        <f t="shared" si="0"/>
        <v>157300</v>
      </c>
      <c r="K166" s="563">
        <f t="shared" si="1"/>
        <v>6134.7</v>
      </c>
      <c r="L166" s="563">
        <f t="shared" si="2"/>
        <v>6748.17</v>
      </c>
      <c r="M166" s="563"/>
      <c r="P166" s="559" t="s">
        <v>869</v>
      </c>
    </row>
    <row r="167" spans="4:16" x14ac:dyDescent="0.25">
      <c r="D167" s="559" t="s">
        <v>867</v>
      </c>
      <c r="E167" s="558">
        <v>120020</v>
      </c>
      <c r="F167" s="559">
        <v>100462</v>
      </c>
      <c r="G167" s="558" t="s">
        <v>873</v>
      </c>
      <c r="H167" s="564">
        <v>40015</v>
      </c>
      <c r="I167" s="563">
        <v>1793.3</v>
      </c>
      <c r="J167" s="559">
        <f t="shared" si="0"/>
        <v>22700</v>
      </c>
      <c r="K167" s="563">
        <f t="shared" si="1"/>
        <v>885.3</v>
      </c>
      <c r="L167" s="563">
        <f t="shared" si="2"/>
        <v>973.83</v>
      </c>
      <c r="M167" s="563"/>
      <c r="P167" s="559" t="s">
        <v>869</v>
      </c>
    </row>
    <row r="168" spans="4:16" x14ac:dyDescent="0.25">
      <c r="D168" s="559" t="s">
        <v>867</v>
      </c>
      <c r="E168" s="558">
        <v>120025</v>
      </c>
      <c r="F168" s="559">
        <v>102692</v>
      </c>
      <c r="G168" s="558" t="s">
        <v>874</v>
      </c>
      <c r="H168" s="564">
        <v>40015</v>
      </c>
      <c r="I168" s="563">
        <v>9432.6</v>
      </c>
      <c r="J168" s="559">
        <f t="shared" si="0"/>
        <v>119400</v>
      </c>
      <c r="K168" s="563">
        <f t="shared" si="1"/>
        <v>4656.6000000000004</v>
      </c>
      <c r="L168" s="563">
        <f t="shared" si="2"/>
        <v>5122.2600000000011</v>
      </c>
      <c r="M168" s="563"/>
      <c r="P168" s="559" t="s">
        <v>869</v>
      </c>
    </row>
    <row r="169" spans="4:16" x14ac:dyDescent="0.25">
      <c r="D169" s="559" t="s">
        <v>867</v>
      </c>
      <c r="E169" s="558">
        <v>120027</v>
      </c>
      <c r="F169" s="559">
        <v>102661</v>
      </c>
      <c r="G169" s="558" t="s">
        <v>874</v>
      </c>
      <c r="H169" s="564">
        <v>40015</v>
      </c>
      <c r="I169" s="563">
        <v>4522.75</v>
      </c>
      <c r="J169" s="559">
        <f t="shared" si="0"/>
        <v>57250</v>
      </c>
      <c r="K169" s="563">
        <f t="shared" si="1"/>
        <v>2232.75</v>
      </c>
      <c r="L169" s="563">
        <f t="shared" si="2"/>
        <v>2456.0250000000001</v>
      </c>
      <c r="M169" s="563"/>
      <c r="P169" s="559" t="s">
        <v>869</v>
      </c>
    </row>
    <row r="170" spans="4:16" x14ac:dyDescent="0.25">
      <c r="D170" s="559" t="s">
        <v>867</v>
      </c>
      <c r="E170" s="558">
        <v>120031</v>
      </c>
      <c r="F170" s="559">
        <v>100747</v>
      </c>
      <c r="G170" s="558" t="s">
        <v>874</v>
      </c>
      <c r="H170" s="564">
        <v>40015</v>
      </c>
      <c r="I170" s="563">
        <v>1564.2</v>
      </c>
      <c r="J170" s="559">
        <f t="shared" si="0"/>
        <v>19800</v>
      </c>
      <c r="K170" s="563">
        <f t="shared" si="1"/>
        <v>772.2</v>
      </c>
      <c r="L170" s="563">
        <f t="shared" si="2"/>
        <v>849.42000000000007</v>
      </c>
      <c r="M170" s="563"/>
      <c r="P170" s="559" t="s">
        <v>869</v>
      </c>
    </row>
    <row r="171" spans="4:16" x14ac:dyDescent="0.25">
      <c r="D171" s="559" t="s">
        <v>867</v>
      </c>
      <c r="E171" s="558">
        <v>120073</v>
      </c>
      <c r="F171" s="559">
        <v>102662</v>
      </c>
      <c r="G171" s="558" t="s">
        <v>874</v>
      </c>
      <c r="H171" s="564">
        <v>40015</v>
      </c>
      <c r="I171" s="563">
        <v>5336.45</v>
      </c>
      <c r="J171" s="559">
        <f t="shared" si="0"/>
        <v>67550</v>
      </c>
      <c r="K171" s="563">
        <f t="shared" si="1"/>
        <v>2634.45</v>
      </c>
      <c r="L171" s="563">
        <f t="shared" si="2"/>
        <v>2897.895</v>
      </c>
      <c r="M171" s="563"/>
      <c r="P171" s="559" t="s">
        <v>869</v>
      </c>
    </row>
    <row r="172" spans="4:16" x14ac:dyDescent="0.25">
      <c r="D172" s="559" t="s">
        <v>867</v>
      </c>
      <c r="E172" s="558">
        <v>120074</v>
      </c>
      <c r="F172" s="559">
        <v>102676</v>
      </c>
      <c r="G172" s="558" t="s">
        <v>874</v>
      </c>
      <c r="H172" s="564">
        <v>40015</v>
      </c>
      <c r="I172" s="563">
        <v>8658.4</v>
      </c>
      <c r="J172" s="559">
        <f t="shared" si="0"/>
        <v>109600</v>
      </c>
      <c r="K172" s="563">
        <f t="shared" si="1"/>
        <v>4274.3999999999996</v>
      </c>
      <c r="L172" s="563">
        <f t="shared" si="2"/>
        <v>4701.84</v>
      </c>
      <c r="M172" s="563"/>
      <c r="P172" s="559" t="s">
        <v>869</v>
      </c>
    </row>
    <row r="173" spans="4:16" x14ac:dyDescent="0.25">
      <c r="D173" s="559" t="s">
        <v>867</v>
      </c>
      <c r="E173" s="558">
        <v>120077</v>
      </c>
      <c r="F173" s="559">
        <v>101509</v>
      </c>
      <c r="G173" s="558" t="s">
        <v>875</v>
      </c>
      <c r="H173" s="564">
        <v>40015</v>
      </c>
      <c r="I173" s="563">
        <v>5245.6</v>
      </c>
      <c r="J173" s="559">
        <f t="shared" si="0"/>
        <v>66400</v>
      </c>
      <c r="K173" s="563">
        <f t="shared" si="1"/>
        <v>2589.6</v>
      </c>
      <c r="L173" s="563">
        <f t="shared" si="2"/>
        <v>2848.56</v>
      </c>
      <c r="M173" s="563"/>
      <c r="P173" s="559" t="s">
        <v>869</v>
      </c>
    </row>
    <row r="174" spans="4:16" x14ac:dyDescent="0.25">
      <c r="D174" s="559" t="s">
        <v>867</v>
      </c>
      <c r="E174" s="558">
        <v>120079</v>
      </c>
      <c r="F174" s="559">
        <v>101773</v>
      </c>
      <c r="G174" s="558" t="s">
        <v>875</v>
      </c>
      <c r="H174" s="564">
        <v>40015</v>
      </c>
      <c r="I174" s="563">
        <v>15310.2</v>
      </c>
      <c r="J174" s="559">
        <f t="shared" si="0"/>
        <v>193800</v>
      </c>
      <c r="K174" s="563">
        <f t="shared" si="1"/>
        <v>7558.2</v>
      </c>
      <c r="L174" s="563">
        <f t="shared" si="2"/>
        <v>8314.02</v>
      </c>
      <c r="M174" s="563"/>
      <c r="P174" s="559" t="s">
        <v>869</v>
      </c>
    </row>
    <row r="175" spans="4:16" x14ac:dyDescent="0.25">
      <c r="D175" s="559" t="s">
        <v>867</v>
      </c>
      <c r="E175" s="558">
        <v>120084</v>
      </c>
      <c r="F175" s="559">
        <v>100452</v>
      </c>
      <c r="G175" s="558" t="s">
        <v>875</v>
      </c>
      <c r="H175" s="564">
        <v>40015</v>
      </c>
      <c r="I175" s="563">
        <v>8421.4</v>
      </c>
      <c r="J175" s="559">
        <f t="shared" si="0"/>
        <v>106600</v>
      </c>
      <c r="K175" s="563">
        <f t="shared" si="1"/>
        <v>4157.3999999999996</v>
      </c>
      <c r="L175" s="563">
        <f t="shared" si="2"/>
        <v>4573.1400000000003</v>
      </c>
      <c r="M175" s="563"/>
      <c r="P175" s="559" t="s">
        <v>869</v>
      </c>
    </row>
    <row r="176" spans="4:16" x14ac:dyDescent="0.25">
      <c r="D176" s="559" t="s">
        <v>867</v>
      </c>
      <c r="E176" s="558">
        <v>120085</v>
      </c>
      <c r="F176" s="559">
        <v>100454</v>
      </c>
      <c r="G176" s="558" t="s">
        <v>875</v>
      </c>
      <c r="H176" s="564">
        <v>40015</v>
      </c>
      <c r="I176" s="563">
        <v>9171.9</v>
      </c>
      <c r="J176" s="559">
        <f t="shared" si="0"/>
        <v>116100</v>
      </c>
      <c r="K176" s="563">
        <f t="shared" si="1"/>
        <v>4527.8999999999996</v>
      </c>
      <c r="L176" s="563">
        <f t="shared" si="2"/>
        <v>4980.6899999999996</v>
      </c>
      <c r="M176" s="563"/>
      <c r="P176" s="559" t="s">
        <v>869</v>
      </c>
    </row>
    <row r="177" spans="4:16" x14ac:dyDescent="0.25">
      <c r="D177" s="559" t="s">
        <v>867</v>
      </c>
      <c r="E177" s="558">
        <v>120086</v>
      </c>
      <c r="F177" s="559">
        <v>101366</v>
      </c>
      <c r="G177" s="558" t="s">
        <v>875</v>
      </c>
      <c r="H177" s="564">
        <v>40015</v>
      </c>
      <c r="I177" s="563">
        <v>11407.6</v>
      </c>
      <c r="J177" s="559">
        <f t="shared" si="0"/>
        <v>144400</v>
      </c>
      <c r="K177" s="563">
        <f t="shared" si="1"/>
        <v>5631.6</v>
      </c>
      <c r="L177" s="563">
        <f t="shared" si="2"/>
        <v>6194.7600000000011</v>
      </c>
      <c r="M177" s="563"/>
      <c r="P177" s="559" t="s">
        <v>869</v>
      </c>
    </row>
    <row r="178" spans="4:16" x14ac:dyDescent="0.25">
      <c r="D178" s="559" t="s">
        <v>867</v>
      </c>
      <c r="E178" s="558">
        <v>120098</v>
      </c>
      <c r="F178" s="559">
        <v>101806</v>
      </c>
      <c r="G178" s="558" t="s">
        <v>876</v>
      </c>
      <c r="H178" s="564">
        <v>40015</v>
      </c>
      <c r="I178" s="563">
        <v>6201.5</v>
      </c>
      <c r="J178" s="559">
        <f t="shared" si="0"/>
        <v>78500</v>
      </c>
      <c r="K178" s="563">
        <f t="shared" si="1"/>
        <v>3061.5</v>
      </c>
      <c r="L178" s="563">
        <f t="shared" si="2"/>
        <v>3367.65</v>
      </c>
      <c r="M178" s="563"/>
      <c r="P178" s="559" t="s">
        <v>869</v>
      </c>
    </row>
    <row r="179" spans="4:16" x14ac:dyDescent="0.25">
      <c r="D179" s="559" t="s">
        <v>867</v>
      </c>
      <c r="E179" s="558">
        <v>120099</v>
      </c>
      <c r="F179" s="559">
        <v>101348</v>
      </c>
      <c r="G179" s="558" t="s">
        <v>876</v>
      </c>
      <c r="H179" s="564">
        <v>40015</v>
      </c>
      <c r="I179" s="563">
        <v>4487.2</v>
      </c>
      <c r="J179" s="559">
        <f t="shared" si="0"/>
        <v>56800</v>
      </c>
      <c r="K179" s="563">
        <f t="shared" si="1"/>
        <v>2215.1999999999998</v>
      </c>
      <c r="L179" s="563">
        <f t="shared" si="2"/>
        <v>2436.7199999999998</v>
      </c>
      <c r="M179" s="563"/>
      <c r="P179" s="559" t="s">
        <v>869</v>
      </c>
    </row>
    <row r="180" spans="4:16" x14ac:dyDescent="0.25">
      <c r="D180" s="559" t="s">
        <v>867</v>
      </c>
      <c r="E180" s="558">
        <v>120102</v>
      </c>
      <c r="F180" s="559">
        <v>101747</v>
      </c>
      <c r="G180" s="558" t="s">
        <v>876</v>
      </c>
      <c r="H180" s="564">
        <v>40015</v>
      </c>
      <c r="I180" s="563">
        <v>62765.5</v>
      </c>
      <c r="J180" s="559">
        <f t="shared" si="0"/>
        <v>794500</v>
      </c>
      <c r="K180" s="563">
        <f t="shared" si="1"/>
        <v>30985.5</v>
      </c>
      <c r="L180" s="563">
        <f t="shared" si="2"/>
        <v>34084.050000000003</v>
      </c>
      <c r="M180" s="563"/>
      <c r="P180" s="559" t="s">
        <v>869</v>
      </c>
    </row>
    <row r="181" spans="4:16" x14ac:dyDescent="0.25">
      <c r="D181" s="559" t="s">
        <v>867</v>
      </c>
      <c r="E181" s="558">
        <v>120104</v>
      </c>
      <c r="F181" s="559">
        <v>101467</v>
      </c>
      <c r="G181" s="558" t="s">
        <v>876</v>
      </c>
      <c r="H181" s="564">
        <v>40015</v>
      </c>
      <c r="I181" s="563">
        <v>10736.1</v>
      </c>
      <c r="J181" s="559">
        <f t="shared" si="0"/>
        <v>135900</v>
      </c>
      <c r="K181" s="563">
        <f t="shared" si="1"/>
        <v>5300.1</v>
      </c>
      <c r="L181" s="563">
        <f t="shared" si="2"/>
        <v>5830.1100000000006</v>
      </c>
      <c r="M181" s="563"/>
      <c r="P181" s="559" t="s">
        <v>869</v>
      </c>
    </row>
    <row r="182" spans="4:16" x14ac:dyDescent="0.25">
      <c r="D182" s="559" t="s">
        <v>867</v>
      </c>
      <c r="E182" s="558">
        <v>120106</v>
      </c>
      <c r="F182" s="559">
        <v>101328</v>
      </c>
      <c r="G182" s="558" t="s">
        <v>876</v>
      </c>
      <c r="H182" s="564">
        <v>40015</v>
      </c>
      <c r="I182" s="563">
        <v>9393.1</v>
      </c>
      <c r="J182" s="559">
        <f t="shared" si="0"/>
        <v>118900</v>
      </c>
      <c r="K182" s="563">
        <f t="shared" si="1"/>
        <v>4637.1000000000004</v>
      </c>
      <c r="L182" s="563">
        <f t="shared" si="2"/>
        <v>5100.8100000000004</v>
      </c>
      <c r="M182" s="563"/>
      <c r="P182" s="559" t="s">
        <v>869</v>
      </c>
    </row>
    <row r="183" spans="4:16" x14ac:dyDescent="0.25">
      <c r="D183" s="559" t="s">
        <v>867</v>
      </c>
      <c r="E183" s="558">
        <v>120108</v>
      </c>
      <c r="F183" s="559">
        <v>101445</v>
      </c>
      <c r="G183" s="558" t="s">
        <v>877</v>
      </c>
      <c r="H183" s="564">
        <v>40015</v>
      </c>
      <c r="I183" s="563">
        <v>33614.5</v>
      </c>
      <c r="J183" s="559">
        <f t="shared" si="0"/>
        <v>425500</v>
      </c>
      <c r="K183" s="563">
        <f t="shared" si="1"/>
        <v>16594.5</v>
      </c>
      <c r="L183" s="563">
        <f t="shared" si="2"/>
        <v>18253.95</v>
      </c>
      <c r="M183" s="563"/>
      <c r="P183" s="559" t="s">
        <v>869</v>
      </c>
    </row>
    <row r="184" spans="4:16" x14ac:dyDescent="0.25">
      <c r="D184" s="559" t="s">
        <v>867</v>
      </c>
      <c r="E184" s="558">
        <v>120111</v>
      </c>
      <c r="F184" s="559">
        <v>102640</v>
      </c>
      <c r="G184" s="558" t="s">
        <v>877</v>
      </c>
      <c r="H184" s="564">
        <v>40015</v>
      </c>
      <c r="I184" s="563">
        <v>22981.1</v>
      </c>
      <c r="J184" s="559">
        <f t="shared" si="0"/>
        <v>290900</v>
      </c>
      <c r="K184" s="563">
        <f t="shared" si="1"/>
        <v>11345.1</v>
      </c>
      <c r="L184" s="563">
        <f t="shared" si="2"/>
        <v>12479.61</v>
      </c>
      <c r="M184" s="563"/>
      <c r="P184" s="559" t="s">
        <v>869</v>
      </c>
    </row>
    <row r="185" spans="4:16" x14ac:dyDescent="0.25">
      <c r="D185" s="559" t="s">
        <v>867</v>
      </c>
      <c r="E185" s="558">
        <v>120112</v>
      </c>
      <c r="F185" s="559">
        <v>102640</v>
      </c>
      <c r="G185" s="558" t="s">
        <v>877</v>
      </c>
      <c r="H185" s="564">
        <v>40015</v>
      </c>
      <c r="I185" s="563">
        <v>442.4</v>
      </c>
      <c r="J185" s="559">
        <f t="shared" si="0"/>
        <v>5600</v>
      </c>
      <c r="K185" s="563">
        <f t="shared" si="1"/>
        <v>218.4</v>
      </c>
      <c r="L185" s="563">
        <f t="shared" si="2"/>
        <v>240.24000000000004</v>
      </c>
      <c r="M185" s="563"/>
      <c r="P185" s="559" t="s">
        <v>869</v>
      </c>
    </row>
    <row r="186" spans="4:16" x14ac:dyDescent="0.25">
      <c r="D186" s="559" t="s">
        <v>867</v>
      </c>
      <c r="E186" s="558">
        <v>120140</v>
      </c>
      <c r="F186" s="559">
        <v>102785</v>
      </c>
      <c r="G186" s="558" t="s">
        <v>877</v>
      </c>
      <c r="H186" s="564">
        <v>40015</v>
      </c>
      <c r="I186" s="563">
        <v>8453</v>
      </c>
      <c r="J186" s="559">
        <f t="shared" si="0"/>
        <v>107000</v>
      </c>
      <c r="K186" s="563">
        <f t="shared" si="1"/>
        <v>4173</v>
      </c>
      <c r="L186" s="563">
        <f t="shared" si="2"/>
        <v>4590.3</v>
      </c>
      <c r="M186" s="563"/>
      <c r="P186" s="559" t="s">
        <v>869</v>
      </c>
    </row>
    <row r="187" spans="4:16" x14ac:dyDescent="0.25">
      <c r="D187" s="559" t="s">
        <v>867</v>
      </c>
      <c r="E187" s="558">
        <v>120141</v>
      </c>
      <c r="F187" s="559">
        <v>102785</v>
      </c>
      <c r="G187" s="558" t="s">
        <v>877</v>
      </c>
      <c r="H187" s="564">
        <v>40015</v>
      </c>
      <c r="I187" s="563">
        <v>1540.5</v>
      </c>
      <c r="J187" s="559">
        <f t="shared" si="0"/>
        <v>19500</v>
      </c>
      <c r="K187" s="563">
        <f t="shared" si="1"/>
        <v>760.5</v>
      </c>
      <c r="L187" s="563">
        <f t="shared" si="2"/>
        <v>836.55000000000007</v>
      </c>
      <c r="M187" s="563"/>
      <c r="P187" s="559" t="s">
        <v>869</v>
      </c>
    </row>
    <row r="188" spans="4:16" x14ac:dyDescent="0.25">
      <c r="D188" s="559" t="s">
        <v>867</v>
      </c>
      <c r="E188" s="558">
        <v>120145</v>
      </c>
      <c r="F188" s="559">
        <v>101178</v>
      </c>
      <c r="G188" s="558" t="s">
        <v>877</v>
      </c>
      <c r="H188" s="564">
        <v>40015</v>
      </c>
      <c r="I188" s="563">
        <v>13817.1</v>
      </c>
      <c r="J188" s="559">
        <f t="shared" si="0"/>
        <v>174900</v>
      </c>
      <c r="K188" s="563">
        <f t="shared" si="1"/>
        <v>6821.1</v>
      </c>
      <c r="L188" s="563">
        <f t="shared" si="2"/>
        <v>7503.2100000000009</v>
      </c>
      <c r="M188" s="563"/>
      <c r="P188" s="559" t="s">
        <v>869</v>
      </c>
    </row>
    <row r="189" spans="4:16" x14ac:dyDescent="0.25">
      <c r="D189" s="559" t="s">
        <v>867</v>
      </c>
      <c r="E189" s="558">
        <v>120146</v>
      </c>
      <c r="F189" s="559">
        <v>101284</v>
      </c>
      <c r="G189" s="558" t="s">
        <v>877</v>
      </c>
      <c r="H189" s="564">
        <v>40015</v>
      </c>
      <c r="I189" s="563">
        <v>13200.9</v>
      </c>
      <c r="J189" s="559">
        <f t="shared" si="0"/>
        <v>167100</v>
      </c>
      <c r="K189" s="563">
        <f t="shared" si="1"/>
        <v>6516.9</v>
      </c>
      <c r="L189" s="563">
        <f t="shared" si="2"/>
        <v>7168.59</v>
      </c>
      <c r="M189" s="563"/>
      <c r="P189" s="559" t="s">
        <v>869</v>
      </c>
    </row>
    <row r="190" spans="4:16" x14ac:dyDescent="0.25">
      <c r="D190" s="559" t="s">
        <v>867</v>
      </c>
      <c r="E190" s="558">
        <v>120147</v>
      </c>
      <c r="F190" s="559">
        <v>101285</v>
      </c>
      <c r="G190" s="558" t="s">
        <v>877</v>
      </c>
      <c r="H190" s="564">
        <v>40015</v>
      </c>
      <c r="I190" s="563">
        <v>4503</v>
      </c>
      <c r="J190" s="559">
        <f t="shared" si="0"/>
        <v>57000</v>
      </c>
      <c r="K190" s="563">
        <f t="shared" si="1"/>
        <v>2223</v>
      </c>
      <c r="L190" s="563">
        <f t="shared" si="2"/>
        <v>2445.3000000000002</v>
      </c>
      <c r="M190" s="563"/>
      <c r="P190" s="559" t="s">
        <v>869</v>
      </c>
    </row>
    <row r="191" spans="4:16" x14ac:dyDescent="0.25">
      <c r="D191" s="559" t="s">
        <v>867</v>
      </c>
      <c r="E191" s="558">
        <v>120153</v>
      </c>
      <c r="F191" s="559">
        <v>100356</v>
      </c>
      <c r="G191" s="558" t="s">
        <v>878</v>
      </c>
      <c r="H191" s="564">
        <v>40015</v>
      </c>
      <c r="I191" s="563">
        <v>3848.7</v>
      </c>
      <c r="J191" s="572">
        <f t="shared" si="0"/>
        <v>48717.721518987339</v>
      </c>
      <c r="K191" s="563">
        <f t="shared" si="1"/>
        <v>1899.9911392405063</v>
      </c>
      <c r="L191" s="563">
        <f t="shared" si="2"/>
        <v>2089.9902531645571</v>
      </c>
      <c r="M191" s="563"/>
      <c r="P191" s="559" t="s">
        <v>869</v>
      </c>
    </row>
    <row r="192" spans="4:16" x14ac:dyDescent="0.25">
      <c r="D192" s="559" t="s">
        <v>867</v>
      </c>
      <c r="E192" s="558">
        <v>120209</v>
      </c>
      <c r="F192" s="559">
        <v>100561</v>
      </c>
      <c r="G192" s="558" t="s">
        <v>878</v>
      </c>
      <c r="H192" s="564">
        <v>40015</v>
      </c>
      <c r="I192" s="563">
        <v>3748.55</v>
      </c>
      <c r="J192" s="559">
        <f t="shared" ref="J192:J223" si="3">+I192/0.079</f>
        <v>47450</v>
      </c>
      <c r="K192" s="563">
        <f t="shared" ref="K192:K223" si="4">+J192*0.039</f>
        <v>1850.55</v>
      </c>
      <c r="L192" s="563">
        <f t="shared" si="2"/>
        <v>2035.605</v>
      </c>
      <c r="M192" s="563"/>
      <c r="P192" s="559" t="s">
        <v>869</v>
      </c>
    </row>
    <row r="193" spans="4:16" x14ac:dyDescent="0.25">
      <c r="D193" s="559" t="s">
        <v>867</v>
      </c>
      <c r="E193" s="558">
        <v>120210</v>
      </c>
      <c r="F193" s="559">
        <v>102688</v>
      </c>
      <c r="G193" s="558" t="s">
        <v>878</v>
      </c>
      <c r="H193" s="564">
        <v>40015</v>
      </c>
      <c r="I193" s="563">
        <v>12126.5</v>
      </c>
      <c r="J193" s="559">
        <f t="shared" si="3"/>
        <v>153500</v>
      </c>
      <c r="K193" s="563">
        <f t="shared" si="4"/>
        <v>5986.5</v>
      </c>
      <c r="L193" s="563">
        <f t="shared" si="2"/>
        <v>6585.1500000000005</v>
      </c>
      <c r="M193" s="563"/>
      <c r="P193" s="559" t="s">
        <v>869</v>
      </c>
    </row>
    <row r="194" spans="4:16" x14ac:dyDescent="0.25">
      <c r="D194" s="559" t="s">
        <v>867</v>
      </c>
      <c r="E194" s="558">
        <v>120483</v>
      </c>
      <c r="F194" s="559">
        <v>100140</v>
      </c>
      <c r="G194" s="558" t="s">
        <v>879</v>
      </c>
      <c r="H194" s="564">
        <v>40015</v>
      </c>
      <c r="I194" s="563">
        <v>5458.9</v>
      </c>
      <c r="J194" s="559">
        <f t="shared" si="3"/>
        <v>69100</v>
      </c>
      <c r="K194" s="563">
        <f t="shared" si="4"/>
        <v>2694.9</v>
      </c>
      <c r="L194" s="563">
        <f t="shared" si="2"/>
        <v>2964.3900000000003</v>
      </c>
      <c r="M194" s="563"/>
      <c r="P194" s="559" t="s">
        <v>869</v>
      </c>
    </row>
    <row r="195" spans="4:16" x14ac:dyDescent="0.25">
      <c r="D195" s="559" t="s">
        <v>867</v>
      </c>
      <c r="E195" s="558">
        <v>120484</v>
      </c>
      <c r="F195" s="559">
        <v>100141</v>
      </c>
      <c r="G195" s="558" t="s">
        <v>879</v>
      </c>
      <c r="H195" s="564">
        <v>40015</v>
      </c>
      <c r="I195" s="563">
        <v>10680.8</v>
      </c>
      <c r="J195" s="559">
        <f t="shared" si="3"/>
        <v>135200</v>
      </c>
      <c r="K195" s="563">
        <f t="shared" si="4"/>
        <v>5272.8</v>
      </c>
      <c r="L195" s="563">
        <f t="shared" si="2"/>
        <v>5800.0800000000008</v>
      </c>
      <c r="M195" s="563"/>
      <c r="P195" s="559" t="s">
        <v>869</v>
      </c>
    </row>
    <row r="196" spans="4:16" x14ac:dyDescent="0.25">
      <c r="D196" s="559" t="s">
        <v>867</v>
      </c>
      <c r="E196" s="558">
        <v>120609</v>
      </c>
      <c r="F196" s="559">
        <v>100918</v>
      </c>
      <c r="G196" s="558" t="s">
        <v>879</v>
      </c>
      <c r="H196" s="564">
        <v>40015</v>
      </c>
      <c r="I196" s="563">
        <v>584.6</v>
      </c>
      <c r="J196" s="559">
        <f t="shared" si="3"/>
        <v>7400</v>
      </c>
      <c r="K196" s="563">
        <f t="shared" si="4"/>
        <v>288.60000000000002</v>
      </c>
      <c r="L196" s="563">
        <f t="shared" si="2"/>
        <v>317.46000000000004</v>
      </c>
      <c r="M196" s="563"/>
      <c r="P196" s="559" t="s">
        <v>869</v>
      </c>
    </row>
    <row r="197" spans="4:16" x14ac:dyDescent="0.25">
      <c r="D197" s="559" t="s">
        <v>867</v>
      </c>
      <c r="E197" s="558">
        <v>120612</v>
      </c>
      <c r="F197" s="559">
        <v>102952</v>
      </c>
      <c r="G197" s="558" t="s">
        <v>879</v>
      </c>
      <c r="H197" s="564">
        <v>40015</v>
      </c>
      <c r="I197" s="563">
        <v>6454.3</v>
      </c>
      <c r="J197" s="559">
        <f t="shared" si="3"/>
        <v>81700</v>
      </c>
      <c r="K197" s="563">
        <f t="shared" si="4"/>
        <v>3186.3</v>
      </c>
      <c r="L197" s="563">
        <f t="shared" si="2"/>
        <v>3504.9300000000003</v>
      </c>
      <c r="M197" s="563"/>
      <c r="P197" s="559" t="s">
        <v>869</v>
      </c>
    </row>
    <row r="198" spans="4:16" x14ac:dyDescent="0.25">
      <c r="D198" s="559" t="s">
        <v>867</v>
      </c>
      <c r="E198" s="558">
        <v>120613</v>
      </c>
      <c r="F198" s="559">
        <v>101799</v>
      </c>
      <c r="G198" s="558" t="s">
        <v>879</v>
      </c>
      <c r="H198" s="564">
        <v>40015</v>
      </c>
      <c r="I198" s="563">
        <v>3294.3</v>
      </c>
      <c r="J198" s="559">
        <f t="shared" si="3"/>
        <v>41700</v>
      </c>
      <c r="K198" s="563">
        <f t="shared" si="4"/>
        <v>1626.3</v>
      </c>
      <c r="L198" s="563">
        <f t="shared" si="2"/>
        <v>1788.93</v>
      </c>
      <c r="M198" s="563"/>
      <c r="P198" s="559" t="s">
        <v>869</v>
      </c>
    </row>
    <row r="199" spans="4:16" x14ac:dyDescent="0.25">
      <c r="D199" s="559" t="s">
        <v>867</v>
      </c>
      <c r="E199" s="558">
        <v>120623</v>
      </c>
      <c r="F199" s="559">
        <v>100304</v>
      </c>
      <c r="G199" s="558" t="s">
        <v>879</v>
      </c>
      <c r="H199" s="564">
        <v>40015</v>
      </c>
      <c r="I199" s="563">
        <v>750.5</v>
      </c>
      <c r="J199" s="559">
        <f t="shared" si="3"/>
        <v>9500</v>
      </c>
      <c r="K199" s="563">
        <f t="shared" si="4"/>
        <v>370.5</v>
      </c>
      <c r="L199" s="563">
        <f t="shared" si="2"/>
        <v>407.55</v>
      </c>
      <c r="M199" s="563"/>
      <c r="P199" s="559" t="s">
        <v>869</v>
      </c>
    </row>
    <row r="200" spans="4:16" x14ac:dyDescent="0.25">
      <c r="D200" s="559" t="s">
        <v>867</v>
      </c>
      <c r="E200" s="558">
        <v>120685</v>
      </c>
      <c r="F200" s="559">
        <v>100080</v>
      </c>
      <c r="G200" s="558" t="s">
        <v>879</v>
      </c>
      <c r="H200" s="564">
        <v>40015</v>
      </c>
      <c r="I200" s="563">
        <v>10665</v>
      </c>
      <c r="J200" s="559">
        <f t="shared" si="3"/>
        <v>135000</v>
      </c>
      <c r="K200" s="563">
        <f t="shared" si="4"/>
        <v>5265</v>
      </c>
      <c r="L200" s="563">
        <f t="shared" si="2"/>
        <v>5791.5000000000009</v>
      </c>
      <c r="M200" s="563"/>
      <c r="P200" s="559" t="s">
        <v>869</v>
      </c>
    </row>
    <row r="201" spans="4:16" x14ac:dyDescent="0.25">
      <c r="D201" s="559" t="s">
        <v>867</v>
      </c>
      <c r="E201" s="558">
        <v>120772</v>
      </c>
      <c r="F201" s="559">
        <v>102580</v>
      </c>
      <c r="G201" s="558" t="s">
        <v>879</v>
      </c>
      <c r="H201" s="564">
        <v>40015</v>
      </c>
      <c r="I201" s="563">
        <v>16985</v>
      </c>
      <c r="J201" s="559">
        <f t="shared" si="3"/>
        <v>215000</v>
      </c>
      <c r="K201" s="563">
        <f t="shared" si="4"/>
        <v>8385</v>
      </c>
      <c r="L201" s="563">
        <f t="shared" si="2"/>
        <v>9223.5</v>
      </c>
      <c r="M201" s="563"/>
      <c r="P201" s="559" t="s">
        <v>869</v>
      </c>
    </row>
    <row r="202" spans="4:16" x14ac:dyDescent="0.25">
      <c r="D202" s="559" t="s">
        <v>867</v>
      </c>
      <c r="E202" s="558">
        <v>120776</v>
      </c>
      <c r="F202" s="559">
        <v>101793</v>
      </c>
      <c r="G202" s="558" t="s">
        <v>879</v>
      </c>
      <c r="H202" s="564">
        <v>40015</v>
      </c>
      <c r="I202" s="563">
        <v>10309.5</v>
      </c>
      <c r="J202" s="559">
        <f t="shared" si="3"/>
        <v>130500</v>
      </c>
      <c r="K202" s="563">
        <f t="shared" si="4"/>
        <v>5089.5</v>
      </c>
      <c r="L202" s="563">
        <f t="shared" si="2"/>
        <v>5598.4500000000007</v>
      </c>
      <c r="M202" s="563"/>
      <c r="P202" s="559" t="s">
        <v>869</v>
      </c>
    </row>
    <row r="203" spans="4:16" x14ac:dyDescent="0.25">
      <c r="D203" s="559" t="s">
        <v>867</v>
      </c>
      <c r="E203" s="558">
        <v>120791</v>
      </c>
      <c r="F203" s="559">
        <v>101393</v>
      </c>
      <c r="G203" s="558" t="s">
        <v>880</v>
      </c>
      <c r="H203" s="564">
        <v>40015</v>
      </c>
      <c r="I203" s="563">
        <v>4155.3999999999996</v>
      </c>
      <c r="J203" s="559">
        <f t="shared" si="3"/>
        <v>52599.999999999993</v>
      </c>
      <c r="K203" s="563">
        <f t="shared" si="4"/>
        <v>2051.3999999999996</v>
      </c>
      <c r="L203" s="563">
        <f t="shared" si="2"/>
        <v>2256.54</v>
      </c>
      <c r="M203" s="563"/>
      <c r="P203" s="559" t="s">
        <v>869</v>
      </c>
    </row>
    <row r="204" spans="4:16" x14ac:dyDescent="0.25">
      <c r="D204" s="559" t="s">
        <v>867</v>
      </c>
      <c r="E204" s="558">
        <v>120792</v>
      </c>
      <c r="F204" s="559">
        <v>101393</v>
      </c>
      <c r="G204" s="558" t="s">
        <v>880</v>
      </c>
      <c r="H204" s="564">
        <v>40015</v>
      </c>
      <c r="I204" s="563">
        <v>12213.4</v>
      </c>
      <c r="J204" s="559">
        <f t="shared" si="3"/>
        <v>154600</v>
      </c>
      <c r="K204" s="563">
        <f t="shared" si="4"/>
        <v>6029.4</v>
      </c>
      <c r="L204" s="563">
        <f t="shared" si="2"/>
        <v>6632.34</v>
      </c>
      <c r="M204" s="563"/>
      <c r="P204" s="559" t="s">
        <v>869</v>
      </c>
    </row>
    <row r="205" spans="4:16" x14ac:dyDescent="0.25">
      <c r="D205" s="559" t="s">
        <v>867</v>
      </c>
      <c r="E205" s="558">
        <v>120793</v>
      </c>
      <c r="F205" s="559">
        <v>101393</v>
      </c>
      <c r="G205" s="558" t="s">
        <v>880</v>
      </c>
      <c r="H205" s="564">
        <v>40015</v>
      </c>
      <c r="I205" s="563">
        <v>2915.1</v>
      </c>
      <c r="J205" s="559">
        <f t="shared" si="3"/>
        <v>36900</v>
      </c>
      <c r="K205" s="563">
        <f t="shared" si="4"/>
        <v>1439.1</v>
      </c>
      <c r="L205" s="563">
        <f t="shared" si="2"/>
        <v>1583.01</v>
      </c>
      <c r="M205" s="563"/>
      <c r="P205" s="559" t="s">
        <v>869</v>
      </c>
    </row>
    <row r="206" spans="4:16" x14ac:dyDescent="0.25">
      <c r="D206" s="559" t="s">
        <v>867</v>
      </c>
      <c r="E206" s="558">
        <v>120943</v>
      </c>
      <c r="F206" s="559">
        <v>100763</v>
      </c>
      <c r="G206" s="558" t="s">
        <v>880</v>
      </c>
      <c r="H206" s="564">
        <v>40015</v>
      </c>
      <c r="I206" s="563">
        <v>3981.6</v>
      </c>
      <c r="J206" s="559">
        <f t="shared" si="3"/>
        <v>50400</v>
      </c>
      <c r="K206" s="563">
        <f t="shared" si="4"/>
        <v>1965.6</v>
      </c>
      <c r="L206" s="563">
        <f t="shared" si="2"/>
        <v>2162.16</v>
      </c>
      <c r="M206" s="563"/>
      <c r="P206" s="559" t="s">
        <v>869</v>
      </c>
    </row>
    <row r="207" spans="4:16" x14ac:dyDescent="0.25">
      <c r="D207" s="559" t="s">
        <v>867</v>
      </c>
      <c r="E207" s="558">
        <v>120944</v>
      </c>
      <c r="F207" s="559">
        <v>101211</v>
      </c>
      <c r="G207" s="558" t="s">
        <v>880</v>
      </c>
      <c r="H207" s="564">
        <v>40015</v>
      </c>
      <c r="I207" s="563">
        <v>110.6</v>
      </c>
      <c r="J207" s="559">
        <f t="shared" si="3"/>
        <v>1400</v>
      </c>
      <c r="K207" s="563">
        <f t="shared" si="4"/>
        <v>54.6</v>
      </c>
      <c r="L207" s="563">
        <f t="shared" si="2"/>
        <v>60.060000000000009</v>
      </c>
      <c r="M207" s="563"/>
      <c r="P207" s="559" t="s">
        <v>869</v>
      </c>
    </row>
    <row r="208" spans="4:16" x14ac:dyDescent="0.25">
      <c r="D208" s="559" t="s">
        <v>867</v>
      </c>
      <c r="E208" s="558">
        <v>120945</v>
      </c>
      <c r="F208" s="559">
        <v>101801</v>
      </c>
      <c r="G208" s="558" t="s">
        <v>880</v>
      </c>
      <c r="H208" s="564">
        <v>40015</v>
      </c>
      <c r="I208" s="563">
        <v>110.6</v>
      </c>
      <c r="J208" s="559">
        <f t="shared" si="3"/>
        <v>1400</v>
      </c>
      <c r="K208" s="563">
        <f t="shared" si="4"/>
        <v>54.6</v>
      </c>
      <c r="L208" s="563">
        <f t="shared" si="2"/>
        <v>60.060000000000009</v>
      </c>
      <c r="M208" s="563"/>
      <c r="P208" s="559" t="s">
        <v>869</v>
      </c>
    </row>
    <row r="209" spans="4:16" x14ac:dyDescent="0.25">
      <c r="D209" s="559" t="s">
        <v>867</v>
      </c>
      <c r="E209" s="558">
        <v>120946</v>
      </c>
      <c r="F209" s="559">
        <v>101802</v>
      </c>
      <c r="G209" s="558" t="s">
        <v>881</v>
      </c>
      <c r="H209" s="564">
        <v>40015</v>
      </c>
      <c r="I209" s="563">
        <v>7765.7</v>
      </c>
      <c r="J209" s="559">
        <f t="shared" si="3"/>
        <v>98300</v>
      </c>
      <c r="K209" s="563">
        <f t="shared" si="4"/>
        <v>3833.7</v>
      </c>
      <c r="L209" s="563">
        <f t="shared" si="2"/>
        <v>4217.07</v>
      </c>
      <c r="M209" s="563"/>
      <c r="P209" s="559" t="s">
        <v>869</v>
      </c>
    </row>
    <row r="210" spans="4:16" x14ac:dyDescent="0.25">
      <c r="D210" s="559" t="s">
        <v>867</v>
      </c>
      <c r="E210" s="558">
        <v>120947</v>
      </c>
      <c r="F210" s="559">
        <v>100642</v>
      </c>
      <c r="G210" s="558" t="s">
        <v>881</v>
      </c>
      <c r="H210" s="564">
        <v>40015</v>
      </c>
      <c r="I210" s="563">
        <v>4108</v>
      </c>
      <c r="J210" s="559">
        <f t="shared" si="3"/>
        <v>52000</v>
      </c>
      <c r="K210" s="563">
        <f t="shared" si="4"/>
        <v>2028</v>
      </c>
      <c r="L210" s="563">
        <f t="shared" si="2"/>
        <v>2230.8000000000002</v>
      </c>
      <c r="M210" s="563"/>
      <c r="P210" s="559" t="s">
        <v>869</v>
      </c>
    </row>
    <row r="211" spans="4:16" x14ac:dyDescent="0.25">
      <c r="D211" s="559" t="s">
        <v>867</v>
      </c>
      <c r="E211" s="558">
        <v>120949</v>
      </c>
      <c r="F211" s="559">
        <v>100083</v>
      </c>
      <c r="G211" s="558" t="s">
        <v>881</v>
      </c>
      <c r="H211" s="564">
        <v>40015</v>
      </c>
      <c r="I211" s="563">
        <v>11233.8</v>
      </c>
      <c r="J211" s="559">
        <f t="shared" si="3"/>
        <v>142200</v>
      </c>
      <c r="K211" s="563">
        <f t="shared" si="4"/>
        <v>5545.8</v>
      </c>
      <c r="L211" s="563">
        <f t="shared" si="2"/>
        <v>6100.380000000001</v>
      </c>
      <c r="M211" s="563"/>
      <c r="P211" s="559" t="s">
        <v>869</v>
      </c>
    </row>
    <row r="212" spans="4:16" x14ac:dyDescent="0.25">
      <c r="D212" s="559" t="s">
        <v>867</v>
      </c>
      <c r="E212" s="558">
        <v>120950</v>
      </c>
      <c r="F212" s="559">
        <v>101826</v>
      </c>
      <c r="G212" s="558" t="s">
        <v>881</v>
      </c>
      <c r="H212" s="564">
        <v>40015</v>
      </c>
      <c r="I212" s="563">
        <v>23368.2</v>
      </c>
      <c r="J212" s="559">
        <f t="shared" si="3"/>
        <v>295800</v>
      </c>
      <c r="K212" s="563">
        <f t="shared" si="4"/>
        <v>11536.2</v>
      </c>
      <c r="L212" s="563">
        <f t="shared" si="2"/>
        <v>12689.820000000002</v>
      </c>
      <c r="M212" s="563"/>
      <c r="P212" s="559" t="s">
        <v>869</v>
      </c>
    </row>
    <row r="213" spans="4:16" x14ac:dyDescent="0.25">
      <c r="D213" s="559" t="s">
        <v>867</v>
      </c>
      <c r="E213" s="558">
        <v>120966</v>
      </c>
      <c r="F213" s="559">
        <v>101172</v>
      </c>
      <c r="G213" s="558" t="s">
        <v>881</v>
      </c>
      <c r="H213" s="564">
        <v>40015</v>
      </c>
      <c r="I213" s="563">
        <v>102.7</v>
      </c>
      <c r="J213" s="559">
        <f t="shared" si="3"/>
        <v>1300</v>
      </c>
      <c r="K213" s="563">
        <f t="shared" si="4"/>
        <v>50.7</v>
      </c>
      <c r="L213" s="563">
        <f t="shared" si="2"/>
        <v>55.77000000000001</v>
      </c>
      <c r="M213" s="563"/>
      <c r="P213" s="559" t="s">
        <v>869</v>
      </c>
    </row>
    <row r="214" spans="4:16" x14ac:dyDescent="0.25">
      <c r="D214" s="559" t="s">
        <v>867</v>
      </c>
      <c r="E214" s="558" t="s">
        <v>882</v>
      </c>
      <c r="F214" s="559">
        <v>101806</v>
      </c>
      <c r="G214" s="558" t="s">
        <v>881</v>
      </c>
      <c r="H214" s="564">
        <v>40015</v>
      </c>
      <c r="I214" s="563">
        <v>3002</v>
      </c>
      <c r="J214" s="559">
        <f t="shared" si="3"/>
        <v>38000</v>
      </c>
      <c r="K214" s="563">
        <f t="shared" si="4"/>
        <v>1482</v>
      </c>
      <c r="L214" s="563">
        <f t="shared" si="2"/>
        <v>1630.2</v>
      </c>
      <c r="M214" s="563"/>
      <c r="P214" s="559" t="s">
        <v>869</v>
      </c>
    </row>
    <row r="215" spans="4:16" x14ac:dyDescent="0.25">
      <c r="D215" s="559" t="s">
        <v>867</v>
      </c>
      <c r="E215" s="558">
        <v>170087</v>
      </c>
      <c r="F215" s="559">
        <v>101239</v>
      </c>
      <c r="G215" s="558" t="s">
        <v>883</v>
      </c>
      <c r="H215" s="564">
        <v>40015</v>
      </c>
      <c r="I215" s="563">
        <v>13351</v>
      </c>
      <c r="J215" s="559">
        <f t="shared" si="3"/>
        <v>169000</v>
      </c>
      <c r="K215" s="563">
        <f t="shared" si="4"/>
        <v>6591</v>
      </c>
      <c r="L215" s="563">
        <f t="shared" si="2"/>
        <v>7250.1</v>
      </c>
      <c r="M215" s="563"/>
      <c r="P215" s="559" t="s">
        <v>869</v>
      </c>
    </row>
    <row r="216" spans="4:16" x14ac:dyDescent="0.25">
      <c r="D216" s="559" t="s">
        <v>867</v>
      </c>
      <c r="E216" s="558">
        <v>170459</v>
      </c>
      <c r="F216" s="559">
        <v>101540</v>
      </c>
      <c r="G216" s="558" t="s">
        <v>883</v>
      </c>
      <c r="H216" s="564">
        <v>40015</v>
      </c>
      <c r="I216" s="563">
        <v>11139</v>
      </c>
      <c r="J216" s="559">
        <f t="shared" si="3"/>
        <v>141000</v>
      </c>
      <c r="K216" s="563">
        <f t="shared" si="4"/>
        <v>5499</v>
      </c>
      <c r="L216" s="563">
        <f t="shared" si="2"/>
        <v>6048.9000000000005</v>
      </c>
      <c r="M216" s="563"/>
      <c r="P216" s="559" t="s">
        <v>869</v>
      </c>
    </row>
    <row r="217" spans="4:16" x14ac:dyDescent="0.25">
      <c r="D217" s="559" t="s">
        <v>867</v>
      </c>
      <c r="E217" s="558">
        <v>180647</v>
      </c>
      <c r="F217" s="559">
        <v>101475</v>
      </c>
      <c r="G217" s="558" t="s">
        <v>884</v>
      </c>
      <c r="H217" s="564">
        <v>40015</v>
      </c>
      <c r="I217" s="563">
        <v>19750</v>
      </c>
      <c r="J217" s="559">
        <f t="shared" si="3"/>
        <v>250000</v>
      </c>
      <c r="K217" s="563">
        <f t="shared" si="4"/>
        <v>9750</v>
      </c>
      <c r="L217" s="563">
        <f t="shared" si="2"/>
        <v>10725</v>
      </c>
      <c r="M217" s="563"/>
      <c r="P217" s="559" t="s">
        <v>869</v>
      </c>
    </row>
    <row r="218" spans="4:16" x14ac:dyDescent="0.25">
      <c r="D218" s="559" t="s">
        <v>867</v>
      </c>
      <c r="E218" s="558">
        <v>180784</v>
      </c>
      <c r="F218" s="559">
        <v>101476</v>
      </c>
      <c r="G218" s="558" t="s">
        <v>884</v>
      </c>
      <c r="H218" s="564">
        <v>40015</v>
      </c>
      <c r="I218" s="563">
        <v>75.05</v>
      </c>
      <c r="J218" s="559">
        <f t="shared" si="3"/>
        <v>950</v>
      </c>
      <c r="K218" s="563">
        <f t="shared" si="4"/>
        <v>37.049999999999997</v>
      </c>
      <c r="L218" s="563">
        <f t="shared" si="2"/>
        <v>40.755000000000003</v>
      </c>
      <c r="M218" s="563"/>
      <c r="P218" s="559" t="s">
        <v>869</v>
      </c>
    </row>
    <row r="219" spans="4:16" x14ac:dyDescent="0.25">
      <c r="D219" s="559" t="s">
        <v>867</v>
      </c>
      <c r="E219" s="558">
        <v>180785</v>
      </c>
      <c r="F219" s="559">
        <v>101477</v>
      </c>
      <c r="G219" s="558" t="s">
        <v>884</v>
      </c>
      <c r="H219" s="564">
        <v>40015</v>
      </c>
      <c r="I219" s="563">
        <v>515.1</v>
      </c>
      <c r="J219" s="572">
        <f t="shared" si="3"/>
        <v>6520.2531645569625</v>
      </c>
      <c r="K219" s="563">
        <f t="shared" si="4"/>
        <v>254.28987341772154</v>
      </c>
      <c r="L219" s="563">
        <f t="shared" si="2"/>
        <v>279.71886075949374</v>
      </c>
      <c r="M219" s="563"/>
      <c r="P219" s="559" t="s">
        <v>869</v>
      </c>
    </row>
    <row r="220" spans="4:16" x14ac:dyDescent="0.25">
      <c r="D220" s="559" t="s">
        <v>867</v>
      </c>
      <c r="E220" s="558">
        <v>180789</v>
      </c>
      <c r="F220" s="559">
        <v>101478</v>
      </c>
      <c r="G220" s="558" t="s">
        <v>885</v>
      </c>
      <c r="H220" s="564">
        <v>40015</v>
      </c>
      <c r="I220" s="563">
        <v>703.1</v>
      </c>
      <c r="J220" s="559">
        <f t="shared" si="3"/>
        <v>8900</v>
      </c>
      <c r="K220" s="563">
        <f t="shared" si="4"/>
        <v>347.1</v>
      </c>
      <c r="L220" s="563">
        <f t="shared" si="2"/>
        <v>381.81000000000006</v>
      </c>
      <c r="M220" s="563"/>
      <c r="P220" s="559" t="s">
        <v>869</v>
      </c>
    </row>
    <row r="221" spans="4:16" x14ac:dyDescent="0.25">
      <c r="D221" s="559" t="s">
        <v>867</v>
      </c>
      <c r="E221" s="558">
        <v>180815</v>
      </c>
      <c r="F221" s="559">
        <v>101479</v>
      </c>
      <c r="G221" s="558" t="s">
        <v>885</v>
      </c>
      <c r="H221" s="564">
        <v>40015</v>
      </c>
      <c r="I221" s="563">
        <v>3160</v>
      </c>
      <c r="J221" s="559">
        <f t="shared" si="3"/>
        <v>40000</v>
      </c>
      <c r="K221" s="563">
        <f t="shared" si="4"/>
        <v>1560</v>
      </c>
      <c r="L221" s="563">
        <f t="shared" si="2"/>
        <v>1716.0000000000002</v>
      </c>
      <c r="M221" s="563"/>
      <c r="P221" s="559" t="s">
        <v>869</v>
      </c>
    </row>
    <row r="222" spans="4:16" x14ac:dyDescent="0.25">
      <c r="D222" s="559" t="s">
        <v>867</v>
      </c>
      <c r="E222" s="558" t="s">
        <v>886</v>
      </c>
      <c r="F222" s="559">
        <v>500507</v>
      </c>
      <c r="G222" s="558" t="s">
        <v>887</v>
      </c>
      <c r="H222" s="564">
        <v>40015</v>
      </c>
      <c r="I222" s="563">
        <v>11194.3</v>
      </c>
      <c r="J222" s="559">
        <f t="shared" si="3"/>
        <v>141700</v>
      </c>
      <c r="K222" s="563">
        <f t="shared" si="4"/>
        <v>5526.3</v>
      </c>
      <c r="L222" s="563">
        <f t="shared" si="2"/>
        <v>6078.93</v>
      </c>
      <c r="M222" s="563"/>
      <c r="P222" s="559" t="s">
        <v>869</v>
      </c>
    </row>
    <row r="223" spans="4:16" x14ac:dyDescent="0.25">
      <c r="D223" s="559" t="s">
        <v>867</v>
      </c>
      <c r="E223" s="558" t="s">
        <v>888</v>
      </c>
      <c r="F223" s="559">
        <v>500021</v>
      </c>
      <c r="G223" s="558" t="s">
        <v>889</v>
      </c>
      <c r="H223" s="564">
        <v>40015</v>
      </c>
      <c r="I223" s="563">
        <v>2488.5</v>
      </c>
      <c r="J223" s="559">
        <f t="shared" si="3"/>
        <v>31500</v>
      </c>
      <c r="K223" s="563">
        <f t="shared" si="4"/>
        <v>1228.5</v>
      </c>
      <c r="L223" s="563">
        <f t="shared" si="2"/>
        <v>1351.3500000000001</v>
      </c>
      <c r="M223" s="563"/>
      <c r="P223" s="559" t="s">
        <v>869</v>
      </c>
    </row>
    <row r="224" spans="4:16" x14ac:dyDescent="0.25">
      <c r="D224" s="559" t="s">
        <v>867</v>
      </c>
      <c r="E224" s="558" t="s">
        <v>890</v>
      </c>
      <c r="F224" s="559">
        <v>500507</v>
      </c>
      <c r="G224" s="558" t="s">
        <v>889</v>
      </c>
      <c r="H224" s="564">
        <v>40015</v>
      </c>
      <c r="I224" s="563">
        <v>2488.5</v>
      </c>
      <c r="J224" s="559">
        <f t="shared" ref="J224:J255" si="5">+I224/0.079</f>
        <v>31500</v>
      </c>
      <c r="K224" s="563">
        <f t="shared" ref="K224:K255" si="6">+J224*0.039</f>
        <v>1228.5</v>
      </c>
      <c r="L224" s="563">
        <f t="shared" si="2"/>
        <v>1351.3500000000001</v>
      </c>
      <c r="M224" s="563"/>
      <c r="P224" s="559" t="s">
        <v>869</v>
      </c>
    </row>
    <row r="225" spans="4:16" x14ac:dyDescent="0.25">
      <c r="D225" s="559" t="s">
        <v>867</v>
      </c>
      <c r="E225" s="558" t="s">
        <v>891</v>
      </c>
      <c r="F225" s="559">
        <v>500507</v>
      </c>
      <c r="G225" s="558" t="s">
        <v>889</v>
      </c>
      <c r="H225" s="564">
        <v>40015</v>
      </c>
      <c r="I225" s="563">
        <v>1445.7</v>
      </c>
      <c r="J225" s="559">
        <f t="shared" si="5"/>
        <v>18300</v>
      </c>
      <c r="K225" s="563">
        <f t="shared" si="6"/>
        <v>713.7</v>
      </c>
      <c r="L225" s="563">
        <f t="shared" ref="L225:L288" si="7">+K225*1.1</f>
        <v>785.07000000000016</v>
      </c>
      <c r="M225" s="563"/>
      <c r="P225" s="559" t="s">
        <v>869</v>
      </c>
    </row>
    <row r="226" spans="4:16" x14ac:dyDescent="0.25">
      <c r="D226" s="559" t="s">
        <v>867</v>
      </c>
      <c r="E226" s="558" t="s">
        <v>892</v>
      </c>
      <c r="F226" s="559">
        <v>502229</v>
      </c>
      <c r="G226" s="558" t="s">
        <v>889</v>
      </c>
      <c r="H226" s="564">
        <v>40015</v>
      </c>
      <c r="I226" s="563">
        <v>2531.9499999999998</v>
      </c>
      <c r="J226" s="559">
        <f t="shared" si="5"/>
        <v>32049.999999999996</v>
      </c>
      <c r="K226" s="563">
        <f t="shared" si="6"/>
        <v>1249.9499999999998</v>
      </c>
      <c r="L226" s="563">
        <f t="shared" si="7"/>
        <v>1374.9449999999999</v>
      </c>
      <c r="M226" s="563"/>
      <c r="P226" s="559" t="s">
        <v>869</v>
      </c>
    </row>
    <row r="227" spans="4:16" x14ac:dyDescent="0.25">
      <c r="D227" s="559" t="s">
        <v>867</v>
      </c>
      <c r="E227" s="558" t="s">
        <v>893</v>
      </c>
      <c r="F227" s="559">
        <v>502301</v>
      </c>
      <c r="G227" s="558" t="s">
        <v>889</v>
      </c>
      <c r="H227" s="564">
        <v>40015</v>
      </c>
      <c r="I227" s="563">
        <v>7204.8</v>
      </c>
      <c r="J227" s="559">
        <f t="shared" si="5"/>
        <v>91200</v>
      </c>
      <c r="K227" s="563">
        <f t="shared" si="6"/>
        <v>3556.8</v>
      </c>
      <c r="L227" s="563">
        <f t="shared" si="7"/>
        <v>3912.4800000000005</v>
      </c>
      <c r="M227" s="563"/>
      <c r="P227" s="559" t="s">
        <v>869</v>
      </c>
    </row>
    <row r="228" spans="4:16" x14ac:dyDescent="0.25">
      <c r="D228" s="559" t="s">
        <v>867</v>
      </c>
      <c r="E228" s="558" t="s">
        <v>894</v>
      </c>
      <c r="F228" s="559">
        <v>502128</v>
      </c>
      <c r="G228" s="558" t="s">
        <v>895</v>
      </c>
      <c r="H228" s="564">
        <v>40015</v>
      </c>
      <c r="I228" s="563">
        <v>12371.4</v>
      </c>
      <c r="J228" s="559">
        <f t="shared" si="5"/>
        <v>156600</v>
      </c>
      <c r="K228" s="563">
        <f t="shared" si="6"/>
        <v>6107.4</v>
      </c>
      <c r="L228" s="563">
        <f t="shared" si="7"/>
        <v>6718.14</v>
      </c>
      <c r="M228" s="563"/>
      <c r="P228" s="559" t="s">
        <v>869</v>
      </c>
    </row>
    <row r="229" spans="4:16" x14ac:dyDescent="0.25">
      <c r="D229" s="559" t="s">
        <v>867</v>
      </c>
      <c r="E229" s="558" t="s">
        <v>896</v>
      </c>
      <c r="F229" s="559">
        <v>502130</v>
      </c>
      <c r="G229" s="558" t="s">
        <v>895</v>
      </c>
      <c r="H229" s="564">
        <v>40015</v>
      </c>
      <c r="I229" s="563">
        <v>1730.1</v>
      </c>
      <c r="J229" s="559">
        <f t="shared" si="5"/>
        <v>21900</v>
      </c>
      <c r="K229" s="563">
        <f t="shared" si="6"/>
        <v>854.1</v>
      </c>
      <c r="L229" s="563">
        <f t="shared" si="7"/>
        <v>939.5100000000001</v>
      </c>
      <c r="M229" s="563"/>
      <c r="P229" s="559" t="s">
        <v>869</v>
      </c>
    </row>
    <row r="230" spans="4:16" x14ac:dyDescent="0.25">
      <c r="D230" s="559" t="s">
        <v>867</v>
      </c>
      <c r="E230" s="558" t="s">
        <v>897</v>
      </c>
      <c r="F230" s="559">
        <v>500011</v>
      </c>
      <c r="G230" s="558" t="s">
        <v>895</v>
      </c>
      <c r="H230" s="564">
        <v>40015</v>
      </c>
      <c r="I230" s="563">
        <v>2401.6</v>
      </c>
      <c r="J230" s="559">
        <f t="shared" si="5"/>
        <v>30400</v>
      </c>
      <c r="K230" s="563">
        <f t="shared" si="6"/>
        <v>1185.5999999999999</v>
      </c>
      <c r="L230" s="563">
        <f t="shared" si="7"/>
        <v>1304.1600000000001</v>
      </c>
      <c r="M230" s="563"/>
      <c r="P230" s="559" t="s">
        <v>869</v>
      </c>
    </row>
    <row r="231" spans="4:16" x14ac:dyDescent="0.25">
      <c r="D231" s="559" t="s">
        <v>867</v>
      </c>
      <c r="E231" s="558" t="s">
        <v>898</v>
      </c>
      <c r="F231" s="559">
        <v>500013</v>
      </c>
      <c r="G231" s="558" t="s">
        <v>899</v>
      </c>
      <c r="H231" s="564">
        <v>40015</v>
      </c>
      <c r="I231" s="563">
        <v>1422</v>
      </c>
      <c r="J231" s="559">
        <f t="shared" si="5"/>
        <v>18000</v>
      </c>
      <c r="K231" s="563">
        <f t="shared" si="6"/>
        <v>702</v>
      </c>
      <c r="L231" s="563">
        <f t="shared" si="7"/>
        <v>772.2</v>
      </c>
      <c r="M231" s="563"/>
      <c r="P231" s="559" t="s">
        <v>869</v>
      </c>
    </row>
    <row r="232" spans="4:16" x14ac:dyDescent="0.25">
      <c r="D232" s="559" t="s">
        <v>867</v>
      </c>
      <c r="E232" s="558" t="s">
        <v>900</v>
      </c>
      <c r="F232" s="559">
        <v>500015</v>
      </c>
      <c r="G232" s="558" t="s">
        <v>901</v>
      </c>
      <c r="H232" s="564">
        <v>40015</v>
      </c>
      <c r="I232" s="563">
        <v>2117.1999999999998</v>
      </c>
      <c r="J232" s="559">
        <f t="shared" si="5"/>
        <v>26799.999999999996</v>
      </c>
      <c r="K232" s="563">
        <f t="shared" si="6"/>
        <v>1045.1999999999998</v>
      </c>
      <c r="L232" s="563">
        <f t="shared" si="7"/>
        <v>1149.7199999999998</v>
      </c>
      <c r="M232" s="563"/>
      <c r="P232" s="559" t="s">
        <v>869</v>
      </c>
    </row>
    <row r="233" spans="4:16" x14ac:dyDescent="0.25">
      <c r="D233" s="559" t="s">
        <v>867</v>
      </c>
      <c r="E233" s="558" t="s">
        <v>902</v>
      </c>
      <c r="F233" s="559">
        <v>502027</v>
      </c>
      <c r="G233" s="558" t="s">
        <v>903</v>
      </c>
      <c r="H233" s="564">
        <v>40015</v>
      </c>
      <c r="I233" s="563">
        <v>2978.3</v>
      </c>
      <c r="J233" s="559">
        <f t="shared" si="5"/>
        <v>37700</v>
      </c>
      <c r="K233" s="563">
        <f t="shared" si="6"/>
        <v>1470.3</v>
      </c>
      <c r="L233" s="563">
        <f t="shared" si="7"/>
        <v>1617.3300000000002</v>
      </c>
      <c r="M233" s="563"/>
      <c r="P233" s="559" t="s">
        <v>869</v>
      </c>
    </row>
    <row r="234" spans="4:16" x14ac:dyDescent="0.25">
      <c r="D234" s="559" t="s">
        <v>867</v>
      </c>
      <c r="E234" s="558" t="s">
        <v>904</v>
      </c>
      <c r="F234" s="559">
        <v>500013</v>
      </c>
      <c r="G234" s="558" t="s">
        <v>903</v>
      </c>
      <c r="H234" s="564">
        <v>40015</v>
      </c>
      <c r="I234" s="563">
        <v>1398.3</v>
      </c>
      <c r="J234" s="559">
        <f t="shared" si="5"/>
        <v>17700</v>
      </c>
      <c r="K234" s="563">
        <f t="shared" si="6"/>
        <v>690.3</v>
      </c>
      <c r="L234" s="563">
        <f t="shared" si="7"/>
        <v>759.33</v>
      </c>
      <c r="M234" s="563"/>
      <c r="P234" s="559" t="s">
        <v>869</v>
      </c>
    </row>
    <row r="235" spans="4:16" x14ac:dyDescent="0.25">
      <c r="D235" s="559" t="s">
        <v>867</v>
      </c>
      <c r="E235" s="558" t="s">
        <v>905</v>
      </c>
      <c r="F235" s="559">
        <v>502221</v>
      </c>
      <c r="G235" s="558" t="s">
        <v>792</v>
      </c>
      <c r="H235" s="564">
        <v>40015</v>
      </c>
      <c r="I235" s="563">
        <v>3033.6</v>
      </c>
      <c r="J235" s="559">
        <f t="shared" si="5"/>
        <v>38400</v>
      </c>
      <c r="K235" s="563">
        <f t="shared" si="6"/>
        <v>1497.6</v>
      </c>
      <c r="L235" s="563">
        <f t="shared" si="7"/>
        <v>1647.3600000000001</v>
      </c>
      <c r="M235" s="563"/>
      <c r="P235" s="559" t="s">
        <v>869</v>
      </c>
    </row>
    <row r="236" spans="4:16" x14ac:dyDescent="0.25">
      <c r="D236" s="559" t="s">
        <v>867</v>
      </c>
      <c r="E236" s="558" t="s">
        <v>906</v>
      </c>
      <c r="F236" s="559">
        <v>502221</v>
      </c>
      <c r="G236" s="558" t="s">
        <v>792</v>
      </c>
      <c r="H236" s="564">
        <v>40015</v>
      </c>
      <c r="I236" s="563">
        <v>110.6</v>
      </c>
      <c r="J236" s="559">
        <f t="shared" si="5"/>
        <v>1400</v>
      </c>
      <c r="K236" s="563">
        <f t="shared" si="6"/>
        <v>54.6</v>
      </c>
      <c r="L236" s="563">
        <f t="shared" si="7"/>
        <v>60.060000000000009</v>
      </c>
      <c r="M236" s="563"/>
      <c r="P236" s="559" t="s">
        <v>869</v>
      </c>
    </row>
    <row r="237" spans="4:16" x14ac:dyDescent="0.25">
      <c r="D237" s="559" t="s">
        <v>867</v>
      </c>
      <c r="E237" s="558" t="s">
        <v>907</v>
      </c>
      <c r="F237" s="559">
        <v>502298</v>
      </c>
      <c r="G237" s="558" t="s">
        <v>908</v>
      </c>
      <c r="H237" s="564">
        <v>40015</v>
      </c>
      <c r="I237" s="563">
        <v>1832.8</v>
      </c>
      <c r="J237" s="559">
        <f t="shared" si="5"/>
        <v>23200</v>
      </c>
      <c r="K237" s="563">
        <f t="shared" si="6"/>
        <v>904.8</v>
      </c>
      <c r="L237" s="563">
        <f t="shared" si="7"/>
        <v>995.28000000000009</v>
      </c>
      <c r="M237" s="563"/>
      <c r="P237" s="559" t="s">
        <v>869</v>
      </c>
    </row>
    <row r="238" spans="4:16" x14ac:dyDescent="0.25">
      <c r="D238" s="559" t="s">
        <v>867</v>
      </c>
      <c r="E238" s="558" t="s">
        <v>909</v>
      </c>
      <c r="F238" s="559">
        <v>500008</v>
      </c>
      <c r="G238" s="558" t="s">
        <v>908</v>
      </c>
      <c r="H238" s="564">
        <v>40015</v>
      </c>
      <c r="I238" s="563">
        <v>7125.8</v>
      </c>
      <c r="J238" s="559">
        <f t="shared" si="5"/>
        <v>90200</v>
      </c>
      <c r="K238" s="563">
        <f t="shared" si="6"/>
        <v>3517.8</v>
      </c>
      <c r="L238" s="563">
        <f t="shared" si="7"/>
        <v>3869.5800000000004</v>
      </c>
      <c r="M238" s="563"/>
      <c r="P238" s="559" t="s">
        <v>869</v>
      </c>
    </row>
    <row r="239" spans="4:16" x14ac:dyDescent="0.25">
      <c r="D239" s="559" t="s">
        <v>867</v>
      </c>
      <c r="E239" s="558" t="s">
        <v>910</v>
      </c>
      <c r="F239" s="559">
        <v>500164</v>
      </c>
      <c r="G239" s="558" t="s">
        <v>801</v>
      </c>
      <c r="H239" s="564">
        <v>40015</v>
      </c>
      <c r="I239" s="563">
        <v>79</v>
      </c>
      <c r="J239" s="559">
        <f t="shared" si="5"/>
        <v>1000</v>
      </c>
      <c r="K239" s="563">
        <f t="shared" si="6"/>
        <v>39</v>
      </c>
      <c r="L239" s="563">
        <f t="shared" si="7"/>
        <v>42.900000000000006</v>
      </c>
      <c r="M239" s="563"/>
      <c r="P239" s="559" t="s">
        <v>869</v>
      </c>
    </row>
    <row r="240" spans="4:16" x14ac:dyDescent="0.25">
      <c r="D240" s="559" t="s">
        <v>867</v>
      </c>
      <c r="E240" s="558" t="s">
        <v>911</v>
      </c>
      <c r="F240" s="559">
        <v>500019</v>
      </c>
      <c r="G240" s="558" t="s">
        <v>808</v>
      </c>
      <c r="H240" s="564">
        <v>40015</v>
      </c>
      <c r="I240" s="563">
        <v>244.9</v>
      </c>
      <c r="J240" s="559">
        <f t="shared" si="5"/>
        <v>3100</v>
      </c>
      <c r="K240" s="563">
        <f t="shared" si="6"/>
        <v>120.9</v>
      </c>
      <c r="L240" s="563">
        <f t="shared" si="7"/>
        <v>132.99</v>
      </c>
      <c r="M240" s="563"/>
      <c r="P240" s="559" t="s">
        <v>869</v>
      </c>
    </row>
    <row r="241" spans="4:16" x14ac:dyDescent="0.25">
      <c r="D241" s="559" t="s">
        <v>867</v>
      </c>
      <c r="E241" s="558" t="s">
        <v>912</v>
      </c>
      <c r="F241" s="559">
        <v>500164</v>
      </c>
      <c r="G241" s="558" t="s">
        <v>808</v>
      </c>
      <c r="H241" s="564">
        <v>40015</v>
      </c>
      <c r="I241" s="563">
        <v>15405</v>
      </c>
      <c r="J241" s="559">
        <f t="shared" si="5"/>
        <v>195000</v>
      </c>
      <c r="K241" s="563">
        <f t="shared" si="6"/>
        <v>7605</v>
      </c>
      <c r="L241" s="563">
        <f t="shared" si="7"/>
        <v>8365.5</v>
      </c>
      <c r="M241" s="563"/>
      <c r="P241" s="559" t="s">
        <v>869</v>
      </c>
    </row>
    <row r="242" spans="4:16" x14ac:dyDescent="0.25">
      <c r="D242" s="559" t="s">
        <v>867</v>
      </c>
      <c r="E242" s="558" t="s">
        <v>913</v>
      </c>
      <c r="F242" s="559">
        <v>502298</v>
      </c>
      <c r="G242" s="558" t="s">
        <v>914</v>
      </c>
      <c r="H242" s="564">
        <v>40015</v>
      </c>
      <c r="I242" s="563">
        <v>209.35</v>
      </c>
      <c r="J242" s="559">
        <f t="shared" si="5"/>
        <v>2650</v>
      </c>
      <c r="K242" s="563">
        <f t="shared" si="6"/>
        <v>103.35</v>
      </c>
      <c r="L242" s="563">
        <f t="shared" si="7"/>
        <v>113.685</v>
      </c>
      <c r="M242" s="563"/>
      <c r="P242" s="559" t="s">
        <v>869</v>
      </c>
    </row>
    <row r="243" spans="4:16" x14ac:dyDescent="0.25">
      <c r="D243" s="559" t="s">
        <v>867</v>
      </c>
      <c r="E243" s="558" t="s">
        <v>915</v>
      </c>
      <c r="F243" s="559">
        <v>500446</v>
      </c>
      <c r="G243" s="558" t="s">
        <v>916</v>
      </c>
      <c r="H243" s="564">
        <v>40015</v>
      </c>
      <c r="I243" s="563">
        <v>325.5</v>
      </c>
      <c r="J243" s="572">
        <f t="shared" si="5"/>
        <v>4120.2531645569616</v>
      </c>
      <c r="K243" s="563">
        <f t="shared" si="6"/>
        <v>160.68987341772151</v>
      </c>
      <c r="L243" s="563">
        <f t="shared" si="7"/>
        <v>176.75886075949367</v>
      </c>
      <c r="M243" s="563"/>
      <c r="P243" s="559" t="s">
        <v>869</v>
      </c>
    </row>
    <row r="244" spans="4:16" x14ac:dyDescent="0.25">
      <c r="D244" s="559" t="s">
        <v>867</v>
      </c>
      <c r="E244" s="558" t="s">
        <v>917</v>
      </c>
      <c r="F244" s="559">
        <v>502229</v>
      </c>
      <c r="G244" s="558" t="s">
        <v>918</v>
      </c>
      <c r="H244" s="564">
        <v>40015</v>
      </c>
      <c r="I244" s="563">
        <v>2393.6999999999998</v>
      </c>
      <c r="J244" s="559">
        <f t="shared" si="5"/>
        <v>30299.999999999996</v>
      </c>
      <c r="K244" s="563">
        <f t="shared" si="6"/>
        <v>1181.6999999999998</v>
      </c>
      <c r="L244" s="563">
        <f t="shared" si="7"/>
        <v>1299.8699999999999</v>
      </c>
      <c r="M244" s="563"/>
      <c r="P244" s="559" t="s">
        <v>869</v>
      </c>
    </row>
    <row r="245" spans="4:16" x14ac:dyDescent="0.25">
      <c r="D245" s="559" t="s">
        <v>867</v>
      </c>
      <c r="E245" s="558" t="s">
        <v>919</v>
      </c>
      <c r="F245" s="559">
        <v>500015</v>
      </c>
      <c r="G245" s="558" t="s">
        <v>920</v>
      </c>
      <c r="H245" s="564">
        <v>40015</v>
      </c>
      <c r="I245" s="563">
        <v>2219.9</v>
      </c>
      <c r="J245" s="559">
        <f t="shared" si="5"/>
        <v>28100</v>
      </c>
      <c r="K245" s="563">
        <f t="shared" si="6"/>
        <v>1095.9000000000001</v>
      </c>
      <c r="L245" s="563">
        <f t="shared" si="7"/>
        <v>1205.4900000000002</v>
      </c>
      <c r="M245" s="563"/>
      <c r="P245" s="559" t="s">
        <v>869</v>
      </c>
    </row>
    <row r="246" spans="4:16" x14ac:dyDescent="0.25">
      <c r="D246" s="559" t="s">
        <v>867</v>
      </c>
      <c r="E246" s="558" t="s">
        <v>921</v>
      </c>
      <c r="F246" s="559">
        <v>512195</v>
      </c>
      <c r="G246" s="558" t="s">
        <v>922</v>
      </c>
      <c r="H246" s="564">
        <v>40015</v>
      </c>
      <c r="I246" s="563">
        <v>1090.2</v>
      </c>
      <c r="J246" s="559">
        <f t="shared" si="5"/>
        <v>13800</v>
      </c>
      <c r="K246" s="563">
        <f t="shared" si="6"/>
        <v>538.20000000000005</v>
      </c>
      <c r="L246" s="563">
        <f t="shared" si="7"/>
        <v>592.0200000000001</v>
      </c>
      <c r="M246" s="563"/>
      <c r="P246" s="559" t="s">
        <v>869</v>
      </c>
    </row>
    <row r="247" spans="4:16" x14ac:dyDescent="0.25">
      <c r="D247" s="559" t="s">
        <v>867</v>
      </c>
      <c r="E247" s="558" t="s">
        <v>923</v>
      </c>
      <c r="F247" s="559">
        <v>512195</v>
      </c>
      <c r="G247" s="558" t="s">
        <v>922</v>
      </c>
      <c r="H247" s="564">
        <v>40015</v>
      </c>
      <c r="I247" s="563">
        <v>59.25</v>
      </c>
      <c r="J247" s="559">
        <f t="shared" si="5"/>
        <v>750</v>
      </c>
      <c r="K247" s="563">
        <f t="shared" si="6"/>
        <v>29.25</v>
      </c>
      <c r="L247" s="563">
        <f t="shared" si="7"/>
        <v>32.175000000000004</v>
      </c>
      <c r="M247" s="563"/>
      <c r="P247" s="559" t="s">
        <v>869</v>
      </c>
    </row>
    <row r="248" spans="4:16" x14ac:dyDescent="0.25">
      <c r="D248" s="559" t="s">
        <v>867</v>
      </c>
      <c r="E248" s="558" t="s">
        <v>924</v>
      </c>
      <c r="F248" s="559">
        <v>500135</v>
      </c>
      <c r="G248" s="558" t="s">
        <v>925</v>
      </c>
      <c r="H248" s="564">
        <v>40015</v>
      </c>
      <c r="I248" s="563">
        <v>3950</v>
      </c>
      <c r="J248" s="559">
        <f t="shared" si="5"/>
        <v>50000</v>
      </c>
      <c r="K248" s="563">
        <f t="shared" si="6"/>
        <v>1950</v>
      </c>
      <c r="L248" s="563">
        <f t="shared" si="7"/>
        <v>2145</v>
      </c>
      <c r="M248" s="563"/>
      <c r="P248" s="559" t="s">
        <v>869</v>
      </c>
    </row>
    <row r="249" spans="4:16" x14ac:dyDescent="0.25">
      <c r="D249" s="559" t="s">
        <v>867</v>
      </c>
      <c r="E249" s="558" t="s">
        <v>926</v>
      </c>
      <c r="F249" s="559">
        <v>500002</v>
      </c>
      <c r="G249" s="558" t="s">
        <v>927</v>
      </c>
      <c r="H249" s="564">
        <v>40015</v>
      </c>
      <c r="I249" s="563">
        <v>5790.7</v>
      </c>
      <c r="J249" s="559">
        <f t="shared" si="5"/>
        <v>73300</v>
      </c>
      <c r="K249" s="563">
        <f t="shared" si="6"/>
        <v>2858.7</v>
      </c>
      <c r="L249" s="563">
        <f t="shared" si="7"/>
        <v>3144.57</v>
      </c>
      <c r="M249" s="563"/>
      <c r="P249" s="559" t="s">
        <v>869</v>
      </c>
    </row>
    <row r="250" spans="4:16" x14ac:dyDescent="0.25">
      <c r="D250" s="559" t="s">
        <v>867</v>
      </c>
      <c r="E250" s="558" t="s">
        <v>928</v>
      </c>
      <c r="F250" s="559">
        <v>502298</v>
      </c>
      <c r="G250" s="558" t="s">
        <v>929</v>
      </c>
      <c r="H250" s="564">
        <v>40015</v>
      </c>
      <c r="I250" s="563">
        <v>3.15</v>
      </c>
      <c r="J250" s="572">
        <f t="shared" si="5"/>
        <v>39.873417721518983</v>
      </c>
      <c r="K250" s="563">
        <f t="shared" si="6"/>
        <v>1.5550632911392404</v>
      </c>
      <c r="L250" s="563">
        <f t="shared" si="7"/>
        <v>1.7105696202531646</v>
      </c>
      <c r="M250" s="563"/>
      <c r="P250" s="559" t="s">
        <v>869</v>
      </c>
    </row>
    <row r="251" spans="4:16" x14ac:dyDescent="0.25">
      <c r="D251" s="559" t="s">
        <v>867</v>
      </c>
      <c r="E251" s="558" t="s">
        <v>930</v>
      </c>
      <c r="F251" s="559">
        <v>500059</v>
      </c>
      <c r="G251" s="558" t="s">
        <v>931</v>
      </c>
      <c r="H251" s="564">
        <v>40015</v>
      </c>
      <c r="I251" s="563">
        <v>4898</v>
      </c>
      <c r="J251" s="559">
        <f t="shared" si="5"/>
        <v>62000</v>
      </c>
      <c r="K251" s="563">
        <f t="shared" si="6"/>
        <v>2418</v>
      </c>
      <c r="L251" s="563">
        <f t="shared" si="7"/>
        <v>2659.8</v>
      </c>
      <c r="M251" s="563"/>
      <c r="P251" s="559" t="s">
        <v>869</v>
      </c>
    </row>
    <row r="252" spans="4:16" x14ac:dyDescent="0.25">
      <c r="D252" s="559" t="s">
        <v>867</v>
      </c>
      <c r="E252" s="558" t="s">
        <v>932</v>
      </c>
      <c r="F252" s="559">
        <v>502218</v>
      </c>
      <c r="G252" s="558" t="s">
        <v>931</v>
      </c>
      <c r="H252" s="564">
        <v>40015</v>
      </c>
      <c r="I252" s="563">
        <v>1161.3</v>
      </c>
      <c r="J252" s="559">
        <f t="shared" si="5"/>
        <v>14700</v>
      </c>
      <c r="K252" s="563">
        <f t="shared" si="6"/>
        <v>573.29999999999995</v>
      </c>
      <c r="L252" s="563">
        <f t="shared" si="7"/>
        <v>630.63</v>
      </c>
      <c r="M252" s="563"/>
      <c r="P252" s="559" t="s">
        <v>869</v>
      </c>
    </row>
    <row r="253" spans="4:16" x14ac:dyDescent="0.25">
      <c r="D253" s="559" t="s">
        <v>867</v>
      </c>
      <c r="E253" s="558" t="s">
        <v>933</v>
      </c>
      <c r="F253" s="559">
        <v>701870</v>
      </c>
      <c r="G253" s="558" t="s">
        <v>934</v>
      </c>
      <c r="H253" s="564">
        <v>40015</v>
      </c>
      <c r="I253" s="563">
        <v>3081</v>
      </c>
      <c r="J253" s="559">
        <f t="shared" si="5"/>
        <v>39000</v>
      </c>
      <c r="K253" s="563">
        <f t="shared" si="6"/>
        <v>1521</v>
      </c>
      <c r="L253" s="563">
        <f t="shared" si="7"/>
        <v>1673.1000000000001</v>
      </c>
      <c r="M253" s="563"/>
      <c r="P253" s="559" t="s">
        <v>869</v>
      </c>
    </row>
    <row r="254" spans="4:16" x14ac:dyDescent="0.25">
      <c r="D254" s="559" t="s">
        <v>867</v>
      </c>
      <c r="E254" s="558" t="s">
        <v>935</v>
      </c>
      <c r="F254" s="559">
        <v>101172</v>
      </c>
      <c r="G254" s="558" t="s">
        <v>936</v>
      </c>
      <c r="H254" s="564">
        <v>40015</v>
      </c>
      <c r="I254" s="563">
        <v>395</v>
      </c>
      <c r="J254" s="559">
        <f t="shared" si="5"/>
        <v>5000</v>
      </c>
      <c r="K254" s="563">
        <f t="shared" si="6"/>
        <v>195</v>
      </c>
      <c r="L254" s="563">
        <f t="shared" si="7"/>
        <v>214.50000000000003</v>
      </c>
      <c r="M254" s="563"/>
      <c r="P254" s="559" t="s">
        <v>869</v>
      </c>
    </row>
    <row r="255" spans="4:16" x14ac:dyDescent="0.25">
      <c r="D255" s="559" t="s">
        <v>867</v>
      </c>
      <c r="E255" s="558" t="s">
        <v>937</v>
      </c>
      <c r="F255" s="559">
        <v>101172</v>
      </c>
      <c r="G255" s="558" t="s">
        <v>936</v>
      </c>
      <c r="H255" s="564">
        <v>40015</v>
      </c>
      <c r="I255" s="563">
        <v>138.25</v>
      </c>
      <c r="J255" s="559">
        <f t="shared" si="5"/>
        <v>1750</v>
      </c>
      <c r="K255" s="563">
        <f t="shared" si="6"/>
        <v>68.25</v>
      </c>
      <c r="L255" s="563">
        <f t="shared" si="7"/>
        <v>75.075000000000003</v>
      </c>
      <c r="M255" s="563"/>
      <c r="P255" s="559" t="s">
        <v>869</v>
      </c>
    </row>
    <row r="256" spans="4:16" x14ac:dyDescent="0.25">
      <c r="D256" s="559" t="s">
        <v>867</v>
      </c>
      <c r="E256" s="558" t="s">
        <v>938</v>
      </c>
      <c r="F256" s="559">
        <v>101172</v>
      </c>
      <c r="G256" s="558" t="s">
        <v>936</v>
      </c>
      <c r="H256" s="564">
        <v>40015</v>
      </c>
      <c r="I256" s="563">
        <v>14773</v>
      </c>
      <c r="J256" s="559">
        <f t="shared" ref="J256:J287" si="8">+I256/0.079</f>
        <v>187000</v>
      </c>
      <c r="K256" s="563">
        <f t="shared" ref="K256:K287" si="9">+J256*0.039</f>
        <v>7293</v>
      </c>
      <c r="L256" s="563">
        <f t="shared" si="7"/>
        <v>8022.3000000000011</v>
      </c>
      <c r="M256" s="563"/>
      <c r="P256" s="559" t="s">
        <v>869</v>
      </c>
    </row>
    <row r="257" spans="4:16" x14ac:dyDescent="0.25">
      <c r="D257" s="559" t="s">
        <v>867</v>
      </c>
      <c r="E257" s="558" t="s">
        <v>939</v>
      </c>
      <c r="F257" s="559">
        <v>101172</v>
      </c>
      <c r="G257" s="558" t="s">
        <v>936</v>
      </c>
      <c r="H257" s="564">
        <v>40015</v>
      </c>
      <c r="I257" s="563">
        <v>968.55</v>
      </c>
      <c r="J257" s="572">
        <f t="shared" si="8"/>
        <v>12260.126582278481</v>
      </c>
      <c r="K257" s="563">
        <f t="shared" si="9"/>
        <v>478.14493670886077</v>
      </c>
      <c r="L257" s="563">
        <f t="shared" si="7"/>
        <v>525.95943037974689</v>
      </c>
      <c r="M257" s="563"/>
      <c r="P257" s="559" t="s">
        <v>869</v>
      </c>
    </row>
    <row r="258" spans="4:16" x14ac:dyDescent="0.25">
      <c r="D258" s="559" t="s">
        <v>867</v>
      </c>
      <c r="E258" s="558" t="s">
        <v>940</v>
      </c>
      <c r="F258" s="559">
        <v>101172</v>
      </c>
      <c r="G258" s="558" t="s">
        <v>936</v>
      </c>
      <c r="H258" s="564">
        <v>40015</v>
      </c>
      <c r="I258" s="563">
        <v>1556.3</v>
      </c>
      <c r="J258" s="559">
        <f t="shared" si="8"/>
        <v>19700</v>
      </c>
      <c r="K258" s="563">
        <f t="shared" si="9"/>
        <v>768.3</v>
      </c>
      <c r="L258" s="563">
        <f t="shared" si="7"/>
        <v>845.13</v>
      </c>
      <c r="M258" s="563"/>
      <c r="P258" s="559" t="s">
        <v>869</v>
      </c>
    </row>
    <row r="259" spans="4:16" x14ac:dyDescent="0.25">
      <c r="D259" s="559" t="s">
        <v>867</v>
      </c>
      <c r="E259" s="558" t="s">
        <v>941</v>
      </c>
      <c r="F259" s="559">
        <v>101172</v>
      </c>
      <c r="G259" s="558" t="s">
        <v>936</v>
      </c>
      <c r="H259" s="564">
        <v>40015</v>
      </c>
      <c r="I259" s="563">
        <v>2196.1999999999998</v>
      </c>
      <c r="J259" s="559">
        <f t="shared" si="8"/>
        <v>27799.999999999996</v>
      </c>
      <c r="K259" s="563">
        <f t="shared" si="9"/>
        <v>1084.1999999999998</v>
      </c>
      <c r="L259" s="563">
        <f t="shared" si="7"/>
        <v>1192.6199999999999</v>
      </c>
      <c r="M259" s="563"/>
      <c r="P259" s="559" t="s">
        <v>869</v>
      </c>
    </row>
    <row r="260" spans="4:16" x14ac:dyDescent="0.25">
      <c r="D260" s="559" t="s">
        <v>867</v>
      </c>
      <c r="E260" s="558" t="s">
        <v>942</v>
      </c>
      <c r="F260" s="559">
        <v>701557</v>
      </c>
      <c r="G260" s="558" t="s">
        <v>943</v>
      </c>
      <c r="H260" s="564">
        <v>40015</v>
      </c>
      <c r="I260" s="563">
        <v>5861.8</v>
      </c>
      <c r="J260" s="559">
        <f t="shared" si="8"/>
        <v>74200</v>
      </c>
      <c r="K260" s="563">
        <f t="shared" si="9"/>
        <v>2893.8</v>
      </c>
      <c r="L260" s="563">
        <f t="shared" si="7"/>
        <v>3183.1800000000003</v>
      </c>
      <c r="M260" s="563"/>
      <c r="P260" s="559" t="s">
        <v>869</v>
      </c>
    </row>
    <row r="261" spans="4:16" x14ac:dyDescent="0.25">
      <c r="D261" s="559" t="s">
        <v>867</v>
      </c>
      <c r="E261" s="558" t="s">
        <v>944</v>
      </c>
      <c r="F261" s="559">
        <v>100384</v>
      </c>
      <c r="G261" s="558" t="s">
        <v>945</v>
      </c>
      <c r="H261" s="564">
        <v>40015</v>
      </c>
      <c r="I261" s="563">
        <v>3665.6</v>
      </c>
      <c r="J261" s="559">
        <f t="shared" si="8"/>
        <v>46400</v>
      </c>
      <c r="K261" s="563">
        <f t="shared" si="9"/>
        <v>1809.6</v>
      </c>
      <c r="L261" s="563">
        <f t="shared" si="7"/>
        <v>1990.5600000000002</v>
      </c>
      <c r="M261" s="563"/>
      <c r="P261" s="559" t="s">
        <v>869</v>
      </c>
    </row>
    <row r="262" spans="4:16" x14ac:dyDescent="0.25">
      <c r="D262" s="559" t="s">
        <v>867</v>
      </c>
      <c r="E262" s="558" t="s">
        <v>946</v>
      </c>
      <c r="F262" s="559">
        <v>100384</v>
      </c>
      <c r="G262" s="558" t="s">
        <v>947</v>
      </c>
      <c r="H262" s="564">
        <v>40015</v>
      </c>
      <c r="I262" s="563">
        <v>7275.9</v>
      </c>
      <c r="J262" s="559">
        <f t="shared" si="8"/>
        <v>92100</v>
      </c>
      <c r="K262" s="563">
        <f t="shared" si="9"/>
        <v>3591.9</v>
      </c>
      <c r="L262" s="563">
        <f t="shared" si="7"/>
        <v>3951.0900000000006</v>
      </c>
      <c r="M262" s="563"/>
      <c r="P262" s="559" t="s">
        <v>869</v>
      </c>
    </row>
    <row r="263" spans="4:16" x14ac:dyDescent="0.25">
      <c r="D263" s="559" t="s">
        <v>867</v>
      </c>
      <c r="E263" s="558" t="s">
        <v>948</v>
      </c>
      <c r="F263" s="559">
        <v>100384</v>
      </c>
      <c r="G263" s="558" t="s">
        <v>947</v>
      </c>
      <c r="H263" s="564">
        <v>40015</v>
      </c>
      <c r="I263" s="563">
        <v>158</v>
      </c>
      <c r="J263" s="559">
        <f t="shared" si="8"/>
        <v>2000</v>
      </c>
      <c r="K263" s="563">
        <f t="shared" si="9"/>
        <v>78</v>
      </c>
      <c r="L263" s="563">
        <f t="shared" si="7"/>
        <v>85.800000000000011</v>
      </c>
      <c r="M263" s="563"/>
      <c r="P263" s="559" t="s">
        <v>869</v>
      </c>
    </row>
    <row r="264" spans="4:16" x14ac:dyDescent="0.25">
      <c r="D264" s="559" t="s">
        <v>867</v>
      </c>
      <c r="E264" s="558" t="s">
        <v>949</v>
      </c>
      <c r="F264" s="559">
        <v>701703</v>
      </c>
      <c r="G264" s="558" t="s">
        <v>950</v>
      </c>
      <c r="H264" s="564">
        <v>40015</v>
      </c>
      <c r="I264" s="563">
        <v>4127.75</v>
      </c>
      <c r="J264" s="559">
        <f t="shared" si="8"/>
        <v>52250</v>
      </c>
      <c r="K264" s="563">
        <f t="shared" si="9"/>
        <v>2037.75</v>
      </c>
      <c r="L264" s="563">
        <f t="shared" si="7"/>
        <v>2241.5250000000001</v>
      </c>
      <c r="M264" s="563"/>
      <c r="P264" s="559" t="s">
        <v>869</v>
      </c>
    </row>
    <row r="265" spans="4:16" x14ac:dyDescent="0.25">
      <c r="D265" s="559" t="s">
        <v>867</v>
      </c>
      <c r="E265" s="558" t="s">
        <v>951</v>
      </c>
      <c r="F265" s="559">
        <v>702424</v>
      </c>
      <c r="G265" s="558" t="s">
        <v>847</v>
      </c>
      <c r="H265" s="564">
        <v>40015</v>
      </c>
      <c r="I265" s="563">
        <v>6525.4</v>
      </c>
      <c r="J265" s="559">
        <f t="shared" si="8"/>
        <v>82600</v>
      </c>
      <c r="K265" s="563">
        <f t="shared" si="9"/>
        <v>3221.4</v>
      </c>
      <c r="L265" s="563">
        <f t="shared" si="7"/>
        <v>3543.5400000000004</v>
      </c>
      <c r="M265" s="563"/>
      <c r="P265" s="559" t="s">
        <v>869</v>
      </c>
    </row>
    <row r="266" spans="4:16" x14ac:dyDescent="0.25">
      <c r="D266" s="559" t="s">
        <v>867</v>
      </c>
      <c r="E266" s="558">
        <v>100204</v>
      </c>
      <c r="F266" s="559">
        <v>102701</v>
      </c>
      <c r="G266" s="558" t="s">
        <v>952</v>
      </c>
      <c r="H266" s="564">
        <v>40015</v>
      </c>
      <c r="I266" s="563">
        <v>3002</v>
      </c>
      <c r="J266" s="559">
        <f t="shared" si="8"/>
        <v>38000</v>
      </c>
      <c r="K266" s="563">
        <f t="shared" si="9"/>
        <v>1482</v>
      </c>
      <c r="L266" s="563">
        <f t="shared" si="7"/>
        <v>1630.2</v>
      </c>
      <c r="M266" s="563"/>
      <c r="P266" s="559" t="s">
        <v>953</v>
      </c>
    </row>
    <row r="267" spans="4:16" x14ac:dyDescent="0.25">
      <c r="D267" s="559" t="s">
        <v>867</v>
      </c>
      <c r="E267" s="558">
        <v>100207</v>
      </c>
      <c r="F267" s="559">
        <v>102809</v>
      </c>
      <c r="G267" s="558" t="s">
        <v>952</v>
      </c>
      <c r="H267" s="564">
        <v>40015</v>
      </c>
      <c r="I267" s="563">
        <v>2449</v>
      </c>
      <c r="J267" s="559">
        <f t="shared" si="8"/>
        <v>31000</v>
      </c>
      <c r="K267" s="563">
        <f t="shared" si="9"/>
        <v>1209</v>
      </c>
      <c r="L267" s="563">
        <f t="shared" si="7"/>
        <v>1329.9</v>
      </c>
      <c r="M267" s="563"/>
      <c r="P267" s="559" t="s">
        <v>953</v>
      </c>
    </row>
    <row r="268" spans="4:16" x14ac:dyDescent="0.25">
      <c r="D268" s="559" t="s">
        <v>867</v>
      </c>
      <c r="E268" s="558">
        <v>100216</v>
      </c>
      <c r="F268" s="559">
        <v>101197</v>
      </c>
      <c r="G268" s="558" t="s">
        <v>954</v>
      </c>
      <c r="H268" s="564">
        <v>40015</v>
      </c>
      <c r="I268" s="563">
        <v>31.6</v>
      </c>
      <c r="J268" s="559">
        <f t="shared" si="8"/>
        <v>400</v>
      </c>
      <c r="K268" s="563">
        <f t="shared" si="9"/>
        <v>15.6</v>
      </c>
      <c r="L268" s="563">
        <f t="shared" si="7"/>
        <v>17.16</v>
      </c>
      <c r="M268" s="563"/>
      <c r="P268" s="559" t="s">
        <v>953</v>
      </c>
    </row>
    <row r="269" spans="4:16" x14ac:dyDescent="0.25">
      <c r="D269" s="559" t="s">
        <v>867</v>
      </c>
      <c r="E269" s="558">
        <v>100799</v>
      </c>
      <c r="F269" s="559">
        <v>100173</v>
      </c>
      <c r="G269" s="558" t="s">
        <v>955</v>
      </c>
      <c r="H269" s="564">
        <v>40015</v>
      </c>
      <c r="I269" s="563">
        <v>6414.8</v>
      </c>
      <c r="J269" s="559">
        <f t="shared" si="8"/>
        <v>81200</v>
      </c>
      <c r="K269" s="563">
        <f t="shared" si="9"/>
        <v>3166.8</v>
      </c>
      <c r="L269" s="563">
        <f t="shared" si="7"/>
        <v>3483.4800000000005</v>
      </c>
      <c r="M269" s="563"/>
      <c r="P269" s="559" t="s">
        <v>953</v>
      </c>
    </row>
    <row r="270" spans="4:16" x14ac:dyDescent="0.25">
      <c r="D270" s="559" t="s">
        <v>867</v>
      </c>
      <c r="E270" s="558">
        <v>120028</v>
      </c>
      <c r="F270" s="559">
        <v>102687</v>
      </c>
      <c r="G270" s="558" t="s">
        <v>874</v>
      </c>
      <c r="H270" s="564">
        <v>40015</v>
      </c>
      <c r="I270" s="563">
        <v>10262.1</v>
      </c>
      <c r="J270" s="559">
        <f t="shared" si="8"/>
        <v>129900</v>
      </c>
      <c r="K270" s="563">
        <f t="shared" si="9"/>
        <v>5066.1000000000004</v>
      </c>
      <c r="L270" s="563">
        <f t="shared" si="7"/>
        <v>5572.7100000000009</v>
      </c>
      <c r="M270" s="563"/>
      <c r="P270" s="559" t="s">
        <v>953</v>
      </c>
    </row>
    <row r="271" spans="4:16" x14ac:dyDescent="0.25">
      <c r="D271" s="559" t="s">
        <v>867</v>
      </c>
      <c r="E271" s="558">
        <v>120029</v>
      </c>
      <c r="F271" s="559">
        <v>101201</v>
      </c>
      <c r="G271" s="558" t="s">
        <v>874</v>
      </c>
      <c r="H271" s="564">
        <v>40015</v>
      </c>
      <c r="I271" s="563">
        <v>6201.5</v>
      </c>
      <c r="J271" s="559">
        <f t="shared" si="8"/>
        <v>78500</v>
      </c>
      <c r="K271" s="563">
        <f t="shared" si="9"/>
        <v>3061.5</v>
      </c>
      <c r="L271" s="563">
        <f t="shared" si="7"/>
        <v>3367.65</v>
      </c>
      <c r="M271" s="563"/>
      <c r="P271" s="559" t="s">
        <v>953</v>
      </c>
    </row>
    <row r="272" spans="4:16" x14ac:dyDescent="0.25">
      <c r="D272" s="559" t="s">
        <v>867</v>
      </c>
      <c r="E272" s="558">
        <v>120067</v>
      </c>
      <c r="F272" s="559">
        <v>100204</v>
      </c>
      <c r="G272" s="558" t="s">
        <v>874</v>
      </c>
      <c r="H272" s="564">
        <v>40015</v>
      </c>
      <c r="I272" s="563">
        <v>5948.7</v>
      </c>
      <c r="J272" s="559">
        <f t="shared" si="8"/>
        <v>75300</v>
      </c>
      <c r="K272" s="563">
        <f t="shared" si="9"/>
        <v>2936.7</v>
      </c>
      <c r="L272" s="563">
        <f t="shared" si="7"/>
        <v>3230.37</v>
      </c>
      <c r="M272" s="563"/>
      <c r="P272" s="559" t="s">
        <v>953</v>
      </c>
    </row>
    <row r="273" spans="4:16" x14ac:dyDescent="0.25">
      <c r="D273" s="559" t="s">
        <v>867</v>
      </c>
      <c r="E273" s="558">
        <v>120070</v>
      </c>
      <c r="F273" s="559">
        <v>100522</v>
      </c>
      <c r="G273" s="558" t="s">
        <v>874</v>
      </c>
      <c r="H273" s="564">
        <v>40015</v>
      </c>
      <c r="I273" s="563">
        <v>5482.6</v>
      </c>
      <c r="J273" s="559">
        <f t="shared" si="8"/>
        <v>69400</v>
      </c>
      <c r="K273" s="563">
        <f t="shared" si="9"/>
        <v>2706.6</v>
      </c>
      <c r="L273" s="563">
        <f t="shared" si="7"/>
        <v>2977.26</v>
      </c>
      <c r="M273" s="563"/>
      <c r="P273" s="559" t="s">
        <v>953</v>
      </c>
    </row>
    <row r="274" spans="4:16" x14ac:dyDescent="0.25">
      <c r="D274" s="559" t="s">
        <v>867</v>
      </c>
      <c r="E274" s="558">
        <v>120075</v>
      </c>
      <c r="F274" s="559">
        <v>101441</v>
      </c>
      <c r="G274" s="558" t="s">
        <v>875</v>
      </c>
      <c r="H274" s="564">
        <v>40015</v>
      </c>
      <c r="I274" s="563">
        <v>38196.5</v>
      </c>
      <c r="J274" s="559">
        <f t="shared" si="8"/>
        <v>483500</v>
      </c>
      <c r="K274" s="563">
        <f t="shared" si="9"/>
        <v>18856.5</v>
      </c>
      <c r="L274" s="563">
        <f t="shared" si="7"/>
        <v>20742.150000000001</v>
      </c>
      <c r="M274" s="563"/>
      <c r="P274" s="559" t="s">
        <v>953</v>
      </c>
    </row>
    <row r="275" spans="4:16" x14ac:dyDescent="0.25">
      <c r="D275" s="559" t="s">
        <v>867</v>
      </c>
      <c r="E275" s="558">
        <v>120082</v>
      </c>
      <c r="F275" s="559">
        <v>101704</v>
      </c>
      <c r="G275" s="558" t="s">
        <v>875</v>
      </c>
      <c r="H275" s="564">
        <v>40015</v>
      </c>
      <c r="I275" s="563">
        <v>2780.8</v>
      </c>
      <c r="J275" s="559">
        <f t="shared" si="8"/>
        <v>35200</v>
      </c>
      <c r="K275" s="563">
        <f t="shared" si="9"/>
        <v>1372.8</v>
      </c>
      <c r="L275" s="563">
        <f t="shared" si="7"/>
        <v>1510.0800000000002</v>
      </c>
      <c r="M275" s="563"/>
      <c r="P275" s="559" t="s">
        <v>953</v>
      </c>
    </row>
    <row r="276" spans="4:16" x14ac:dyDescent="0.25">
      <c r="D276" s="559" t="s">
        <v>867</v>
      </c>
      <c r="E276" s="558">
        <v>120083</v>
      </c>
      <c r="F276" s="559">
        <v>101703</v>
      </c>
      <c r="G276" s="558" t="s">
        <v>875</v>
      </c>
      <c r="H276" s="564">
        <v>40015</v>
      </c>
      <c r="I276" s="563">
        <v>24490</v>
      </c>
      <c r="J276" s="559">
        <f t="shared" si="8"/>
        <v>310000</v>
      </c>
      <c r="K276" s="563">
        <f t="shared" si="9"/>
        <v>12090</v>
      </c>
      <c r="L276" s="563">
        <f t="shared" si="7"/>
        <v>13299.000000000002</v>
      </c>
      <c r="M276" s="563"/>
      <c r="P276" s="559" t="s">
        <v>953</v>
      </c>
    </row>
    <row r="277" spans="4:16" x14ac:dyDescent="0.25">
      <c r="D277" s="559" t="s">
        <v>867</v>
      </c>
      <c r="E277" s="558">
        <v>120088</v>
      </c>
      <c r="F277" s="559">
        <v>100123</v>
      </c>
      <c r="G277" s="558" t="s">
        <v>875</v>
      </c>
      <c r="H277" s="564">
        <v>40015</v>
      </c>
      <c r="I277" s="563">
        <v>813.7</v>
      </c>
      <c r="J277" s="559">
        <f t="shared" si="8"/>
        <v>10300</v>
      </c>
      <c r="K277" s="563">
        <f t="shared" si="9"/>
        <v>401.7</v>
      </c>
      <c r="L277" s="563">
        <f t="shared" si="7"/>
        <v>441.87</v>
      </c>
      <c r="M277" s="563"/>
      <c r="P277" s="559" t="s">
        <v>953</v>
      </c>
    </row>
    <row r="278" spans="4:16" x14ac:dyDescent="0.25">
      <c r="D278" s="559" t="s">
        <v>867</v>
      </c>
      <c r="E278" s="558">
        <v>120089</v>
      </c>
      <c r="F278" s="559">
        <v>102759</v>
      </c>
      <c r="G278" s="558" t="s">
        <v>875</v>
      </c>
      <c r="H278" s="564">
        <v>40015</v>
      </c>
      <c r="I278" s="563">
        <v>6936.2</v>
      </c>
      <c r="J278" s="559">
        <f t="shared" si="8"/>
        <v>87800</v>
      </c>
      <c r="K278" s="563">
        <f t="shared" si="9"/>
        <v>3424.2</v>
      </c>
      <c r="L278" s="563">
        <f t="shared" si="7"/>
        <v>3766.62</v>
      </c>
      <c r="M278" s="563"/>
      <c r="P278" s="559" t="s">
        <v>953</v>
      </c>
    </row>
    <row r="279" spans="4:16" x14ac:dyDescent="0.25">
      <c r="D279" s="559" t="s">
        <v>867</v>
      </c>
      <c r="E279" s="558">
        <v>120092</v>
      </c>
      <c r="F279" s="559">
        <v>101684</v>
      </c>
      <c r="G279" s="558" t="s">
        <v>876</v>
      </c>
      <c r="H279" s="564">
        <v>40015</v>
      </c>
      <c r="I279" s="563">
        <v>9069.2000000000007</v>
      </c>
      <c r="J279" s="559">
        <f t="shared" si="8"/>
        <v>114800.00000000001</v>
      </c>
      <c r="K279" s="563">
        <f t="shared" si="9"/>
        <v>4477.2000000000007</v>
      </c>
      <c r="L279" s="563">
        <f t="shared" si="7"/>
        <v>4924.920000000001</v>
      </c>
      <c r="M279" s="563"/>
      <c r="P279" s="559" t="s">
        <v>953</v>
      </c>
    </row>
    <row r="280" spans="4:16" x14ac:dyDescent="0.25">
      <c r="D280" s="559" t="s">
        <v>867</v>
      </c>
      <c r="E280" s="558">
        <v>120095</v>
      </c>
      <c r="F280" s="559">
        <v>100122</v>
      </c>
      <c r="G280" s="558" t="s">
        <v>876</v>
      </c>
      <c r="H280" s="564">
        <v>40015</v>
      </c>
      <c r="I280" s="563">
        <v>9543.2000000000007</v>
      </c>
      <c r="J280" s="559">
        <f t="shared" si="8"/>
        <v>120800.00000000001</v>
      </c>
      <c r="K280" s="563">
        <f t="shared" si="9"/>
        <v>4711.2000000000007</v>
      </c>
      <c r="L280" s="563">
        <f t="shared" si="7"/>
        <v>5182.3200000000015</v>
      </c>
      <c r="M280" s="563"/>
      <c r="P280" s="559" t="s">
        <v>953</v>
      </c>
    </row>
    <row r="281" spans="4:16" x14ac:dyDescent="0.25">
      <c r="D281" s="559" t="s">
        <v>867</v>
      </c>
      <c r="E281" s="558">
        <v>120101</v>
      </c>
      <c r="F281" s="559">
        <v>101685</v>
      </c>
      <c r="G281" s="558" t="s">
        <v>876</v>
      </c>
      <c r="H281" s="564">
        <v>40015</v>
      </c>
      <c r="I281" s="563">
        <v>19552.5</v>
      </c>
      <c r="J281" s="559">
        <f t="shared" si="8"/>
        <v>247500</v>
      </c>
      <c r="K281" s="563">
        <f t="shared" si="9"/>
        <v>9652.5</v>
      </c>
      <c r="L281" s="563">
        <f t="shared" si="7"/>
        <v>10617.75</v>
      </c>
      <c r="M281" s="563"/>
      <c r="P281" s="559" t="s">
        <v>953</v>
      </c>
    </row>
    <row r="282" spans="4:16" x14ac:dyDescent="0.25">
      <c r="D282" s="559" t="s">
        <v>867</v>
      </c>
      <c r="E282" s="558">
        <v>120105</v>
      </c>
      <c r="F282" s="559">
        <v>102014</v>
      </c>
      <c r="G282" s="558" t="s">
        <v>876</v>
      </c>
      <c r="H282" s="564">
        <v>40015</v>
      </c>
      <c r="I282" s="563">
        <v>15586.7</v>
      </c>
      <c r="J282" s="559">
        <f t="shared" si="8"/>
        <v>197300</v>
      </c>
      <c r="K282" s="563">
        <f t="shared" si="9"/>
        <v>7694.7</v>
      </c>
      <c r="L282" s="563">
        <f t="shared" si="7"/>
        <v>8464.17</v>
      </c>
      <c r="M282" s="563"/>
      <c r="P282" s="559" t="s">
        <v>953</v>
      </c>
    </row>
    <row r="283" spans="4:16" x14ac:dyDescent="0.25">
      <c r="D283" s="559" t="s">
        <v>867</v>
      </c>
      <c r="E283" s="558">
        <v>120107</v>
      </c>
      <c r="F283" s="559">
        <v>101405</v>
      </c>
      <c r="G283" s="558" t="s">
        <v>876</v>
      </c>
      <c r="H283" s="564">
        <v>40015</v>
      </c>
      <c r="I283" s="563">
        <v>801.85</v>
      </c>
      <c r="J283" s="559">
        <f t="shared" si="8"/>
        <v>10150</v>
      </c>
      <c r="K283" s="563">
        <f t="shared" si="9"/>
        <v>395.85</v>
      </c>
      <c r="L283" s="563">
        <f t="shared" si="7"/>
        <v>435.43500000000006</v>
      </c>
      <c r="M283" s="563"/>
      <c r="P283" s="559" t="s">
        <v>953</v>
      </c>
    </row>
    <row r="284" spans="4:16" x14ac:dyDescent="0.25">
      <c r="D284" s="559" t="s">
        <v>867</v>
      </c>
      <c r="E284" s="558">
        <v>120143</v>
      </c>
      <c r="F284" s="559">
        <v>101175</v>
      </c>
      <c r="G284" s="558" t="s">
        <v>877</v>
      </c>
      <c r="H284" s="564">
        <v>40015</v>
      </c>
      <c r="I284" s="563">
        <v>221.2</v>
      </c>
      <c r="J284" s="559">
        <f t="shared" si="8"/>
        <v>2800</v>
      </c>
      <c r="K284" s="563">
        <f t="shared" si="9"/>
        <v>109.2</v>
      </c>
      <c r="L284" s="563">
        <f t="shared" si="7"/>
        <v>120.12000000000002</v>
      </c>
      <c r="M284" s="563"/>
      <c r="P284" s="559" t="s">
        <v>953</v>
      </c>
    </row>
    <row r="285" spans="4:16" x14ac:dyDescent="0.25">
      <c r="D285" s="559" t="s">
        <v>867</v>
      </c>
      <c r="E285" s="558">
        <v>120144</v>
      </c>
      <c r="F285" s="559">
        <v>101778</v>
      </c>
      <c r="G285" s="558" t="s">
        <v>877</v>
      </c>
      <c r="H285" s="564">
        <v>40015</v>
      </c>
      <c r="I285" s="563">
        <v>12090.95</v>
      </c>
      <c r="J285" s="559">
        <f t="shared" si="8"/>
        <v>153050</v>
      </c>
      <c r="K285" s="563">
        <f t="shared" si="9"/>
        <v>5968.95</v>
      </c>
      <c r="L285" s="563">
        <f t="shared" si="7"/>
        <v>6565.8450000000003</v>
      </c>
      <c r="M285" s="563"/>
      <c r="P285" s="559" t="s">
        <v>953</v>
      </c>
    </row>
    <row r="286" spans="4:16" x14ac:dyDescent="0.25">
      <c r="D286" s="559" t="s">
        <v>867</v>
      </c>
      <c r="E286" s="558">
        <v>120149</v>
      </c>
      <c r="F286" s="559">
        <v>101197</v>
      </c>
      <c r="G286" s="558" t="s">
        <v>878</v>
      </c>
      <c r="H286" s="564">
        <v>40015</v>
      </c>
      <c r="I286" s="563">
        <v>8729.5</v>
      </c>
      <c r="J286" s="559">
        <f t="shared" si="8"/>
        <v>110500</v>
      </c>
      <c r="K286" s="563">
        <f t="shared" si="9"/>
        <v>4309.5</v>
      </c>
      <c r="L286" s="563">
        <f t="shared" si="7"/>
        <v>4740.4500000000007</v>
      </c>
      <c r="M286" s="563"/>
      <c r="P286" s="559" t="s">
        <v>953</v>
      </c>
    </row>
    <row r="287" spans="4:16" x14ac:dyDescent="0.25">
      <c r="D287" s="559" t="s">
        <v>867</v>
      </c>
      <c r="E287" s="558">
        <v>120215</v>
      </c>
      <c r="F287" s="559">
        <v>101197</v>
      </c>
      <c r="G287" s="558" t="s">
        <v>878</v>
      </c>
      <c r="H287" s="564">
        <v>40015</v>
      </c>
      <c r="I287" s="563">
        <v>29577.599999999999</v>
      </c>
      <c r="J287" s="559">
        <f t="shared" si="8"/>
        <v>374400</v>
      </c>
      <c r="K287" s="563">
        <f t="shared" si="9"/>
        <v>14601.6</v>
      </c>
      <c r="L287" s="563">
        <f t="shared" si="7"/>
        <v>16061.760000000002</v>
      </c>
      <c r="M287" s="563"/>
      <c r="P287" s="559" t="s">
        <v>953</v>
      </c>
    </row>
    <row r="288" spans="4:16" x14ac:dyDescent="0.25">
      <c r="D288" s="559" t="s">
        <v>867</v>
      </c>
      <c r="E288" s="558">
        <v>120305</v>
      </c>
      <c r="F288" s="559">
        <v>100026</v>
      </c>
      <c r="G288" s="558" t="s">
        <v>878</v>
      </c>
      <c r="H288" s="564">
        <v>40015</v>
      </c>
      <c r="I288" s="563">
        <v>6809.8</v>
      </c>
      <c r="J288" s="559">
        <f t="shared" ref="J288:J319" si="10">+I288/0.079</f>
        <v>86200</v>
      </c>
      <c r="K288" s="563">
        <f t="shared" ref="K288:K319" si="11">+J288*0.039</f>
        <v>3361.8</v>
      </c>
      <c r="L288" s="563">
        <f t="shared" si="7"/>
        <v>3697.9800000000005</v>
      </c>
      <c r="M288" s="563"/>
      <c r="P288" s="559" t="s">
        <v>953</v>
      </c>
    </row>
    <row r="289" spans="4:16" x14ac:dyDescent="0.25">
      <c r="D289" s="559" t="s">
        <v>867</v>
      </c>
      <c r="E289" s="558">
        <v>120308</v>
      </c>
      <c r="F289" s="559">
        <v>102775</v>
      </c>
      <c r="G289" s="558" t="s">
        <v>878</v>
      </c>
      <c r="H289" s="564">
        <v>40015</v>
      </c>
      <c r="I289" s="563">
        <v>11549.8</v>
      </c>
      <c r="J289" s="559">
        <f t="shared" si="10"/>
        <v>146200</v>
      </c>
      <c r="K289" s="563">
        <f t="shared" si="11"/>
        <v>5701.8</v>
      </c>
      <c r="L289" s="563">
        <f t="shared" ref="L289:L352" si="12">+K289*1.1</f>
        <v>6271.9800000000005</v>
      </c>
      <c r="M289" s="563"/>
      <c r="P289" s="559" t="s">
        <v>953</v>
      </c>
    </row>
    <row r="290" spans="4:16" x14ac:dyDescent="0.25">
      <c r="D290" s="559" t="s">
        <v>867</v>
      </c>
      <c r="E290" s="558">
        <v>120460</v>
      </c>
      <c r="F290" s="559">
        <v>102917</v>
      </c>
      <c r="G290" s="558" t="s">
        <v>878</v>
      </c>
      <c r="H290" s="564">
        <v>40015</v>
      </c>
      <c r="I290" s="563">
        <v>19355</v>
      </c>
      <c r="J290" s="559">
        <f t="shared" si="10"/>
        <v>245000</v>
      </c>
      <c r="K290" s="563">
        <f t="shared" si="11"/>
        <v>9555</v>
      </c>
      <c r="L290" s="563">
        <f t="shared" si="12"/>
        <v>10510.5</v>
      </c>
      <c r="M290" s="563"/>
      <c r="P290" s="559" t="s">
        <v>953</v>
      </c>
    </row>
    <row r="291" spans="4:16" x14ac:dyDescent="0.25">
      <c r="D291" s="559" t="s">
        <v>867</v>
      </c>
      <c r="E291" s="558">
        <v>120704</v>
      </c>
      <c r="F291" s="559">
        <v>100946</v>
      </c>
      <c r="G291" s="558" t="s">
        <v>879</v>
      </c>
      <c r="H291" s="564">
        <v>40015</v>
      </c>
      <c r="I291" s="563">
        <v>2500.35</v>
      </c>
      <c r="J291" s="559">
        <f t="shared" si="10"/>
        <v>31650</v>
      </c>
      <c r="K291" s="563">
        <f t="shared" si="11"/>
        <v>1234.3499999999999</v>
      </c>
      <c r="L291" s="563">
        <f t="shared" si="12"/>
        <v>1357.7850000000001</v>
      </c>
      <c r="M291" s="563"/>
      <c r="P291" s="559" t="s">
        <v>953</v>
      </c>
    </row>
    <row r="292" spans="4:16" x14ac:dyDescent="0.25">
      <c r="D292" s="559" t="s">
        <v>867</v>
      </c>
      <c r="E292" s="558">
        <v>120794</v>
      </c>
      <c r="F292" s="559">
        <v>100305</v>
      </c>
      <c r="G292" s="558" t="s">
        <v>880</v>
      </c>
      <c r="H292" s="564">
        <v>40015</v>
      </c>
      <c r="I292" s="563">
        <v>2630.7</v>
      </c>
      <c r="J292" s="559">
        <f t="shared" si="10"/>
        <v>33300</v>
      </c>
      <c r="K292" s="563">
        <f t="shared" si="11"/>
        <v>1298.7</v>
      </c>
      <c r="L292" s="563">
        <f t="shared" si="12"/>
        <v>1428.5700000000002</v>
      </c>
      <c r="M292" s="563"/>
      <c r="P292" s="559" t="s">
        <v>953</v>
      </c>
    </row>
    <row r="293" spans="4:16" x14ac:dyDescent="0.25">
      <c r="D293" s="559" t="s">
        <v>867</v>
      </c>
      <c r="E293" s="558">
        <v>120814</v>
      </c>
      <c r="F293" s="559">
        <v>100757</v>
      </c>
      <c r="G293" s="558" t="s">
        <v>880</v>
      </c>
      <c r="H293" s="564">
        <v>40015</v>
      </c>
      <c r="I293" s="563">
        <v>3374.9</v>
      </c>
      <c r="J293" s="572">
        <f t="shared" si="10"/>
        <v>42720.253164556962</v>
      </c>
      <c r="K293" s="563">
        <f t="shared" si="11"/>
        <v>1666.0898734177215</v>
      </c>
      <c r="L293" s="563">
        <f t="shared" si="12"/>
        <v>1832.6988607594938</v>
      </c>
      <c r="M293" s="563"/>
      <c r="P293" s="559" t="s">
        <v>953</v>
      </c>
    </row>
    <row r="294" spans="4:16" x14ac:dyDescent="0.25">
      <c r="D294" s="559" t="s">
        <v>867</v>
      </c>
      <c r="E294" s="558">
        <v>120937</v>
      </c>
      <c r="F294" s="559">
        <v>101066</v>
      </c>
      <c r="G294" s="558" t="s">
        <v>880</v>
      </c>
      <c r="H294" s="564">
        <v>40015</v>
      </c>
      <c r="I294" s="563">
        <v>474</v>
      </c>
      <c r="J294" s="559">
        <f t="shared" si="10"/>
        <v>6000</v>
      </c>
      <c r="K294" s="563">
        <f t="shared" si="11"/>
        <v>234</v>
      </c>
      <c r="L294" s="563">
        <f t="shared" si="12"/>
        <v>257.40000000000003</v>
      </c>
      <c r="M294" s="563"/>
      <c r="P294" s="559" t="s">
        <v>953</v>
      </c>
    </row>
    <row r="295" spans="4:16" x14ac:dyDescent="0.25">
      <c r="D295" s="559" t="s">
        <v>867</v>
      </c>
      <c r="E295" s="558">
        <v>120938</v>
      </c>
      <c r="F295" s="559">
        <v>101067</v>
      </c>
      <c r="G295" s="558" t="s">
        <v>880</v>
      </c>
      <c r="H295" s="564">
        <v>40015</v>
      </c>
      <c r="I295" s="563">
        <v>6762.4</v>
      </c>
      <c r="J295" s="559">
        <f t="shared" si="10"/>
        <v>85600</v>
      </c>
      <c r="K295" s="563">
        <f t="shared" si="11"/>
        <v>3338.4</v>
      </c>
      <c r="L295" s="563">
        <f t="shared" si="12"/>
        <v>3672.2400000000002</v>
      </c>
      <c r="M295" s="563"/>
      <c r="P295" s="559" t="s">
        <v>953</v>
      </c>
    </row>
    <row r="296" spans="4:16" x14ac:dyDescent="0.25">
      <c r="D296" s="559" t="s">
        <v>867</v>
      </c>
      <c r="E296" s="558">
        <v>120956</v>
      </c>
      <c r="F296" s="559">
        <v>101193</v>
      </c>
      <c r="G296" s="558" t="s">
        <v>881</v>
      </c>
      <c r="H296" s="564">
        <v>40015</v>
      </c>
      <c r="I296" s="563">
        <v>185097</v>
      </c>
      <c r="J296" s="559">
        <f t="shared" si="10"/>
        <v>2343000</v>
      </c>
      <c r="K296" s="563">
        <f t="shared" si="11"/>
        <v>91377</v>
      </c>
      <c r="L296" s="563">
        <f t="shared" si="12"/>
        <v>100514.70000000001</v>
      </c>
      <c r="M296" s="563"/>
      <c r="P296" s="559" t="s">
        <v>953</v>
      </c>
    </row>
    <row r="297" spans="4:16" x14ac:dyDescent="0.25">
      <c r="D297" s="559" t="s">
        <v>867</v>
      </c>
      <c r="E297" s="558">
        <v>120960</v>
      </c>
      <c r="F297" s="559">
        <v>100365</v>
      </c>
      <c r="G297" s="558" t="s">
        <v>881</v>
      </c>
      <c r="H297" s="564">
        <v>40015</v>
      </c>
      <c r="I297" s="563">
        <v>6651.8</v>
      </c>
      <c r="J297" s="559">
        <f t="shared" si="10"/>
        <v>84200</v>
      </c>
      <c r="K297" s="563">
        <f t="shared" si="11"/>
        <v>3283.8</v>
      </c>
      <c r="L297" s="563">
        <f t="shared" si="12"/>
        <v>3612.1800000000003</v>
      </c>
      <c r="M297" s="563"/>
      <c r="P297" s="559" t="s">
        <v>953</v>
      </c>
    </row>
    <row r="298" spans="4:16" x14ac:dyDescent="0.25">
      <c r="D298" s="559" t="s">
        <v>867</v>
      </c>
      <c r="E298" s="558">
        <v>121025</v>
      </c>
      <c r="F298" s="559">
        <v>102972</v>
      </c>
      <c r="G298" s="558" t="s">
        <v>881</v>
      </c>
      <c r="H298" s="564">
        <v>40015</v>
      </c>
      <c r="I298" s="563">
        <v>963.8</v>
      </c>
      <c r="J298" s="559">
        <f t="shared" si="10"/>
        <v>12200</v>
      </c>
      <c r="K298" s="563">
        <f t="shared" si="11"/>
        <v>475.8</v>
      </c>
      <c r="L298" s="563">
        <f t="shared" si="12"/>
        <v>523.38000000000011</v>
      </c>
      <c r="M298" s="563"/>
      <c r="P298" s="559" t="s">
        <v>953</v>
      </c>
    </row>
    <row r="299" spans="4:16" x14ac:dyDescent="0.25">
      <c r="D299" s="559" t="s">
        <v>867</v>
      </c>
      <c r="E299" s="558">
        <v>312222</v>
      </c>
      <c r="F299" s="559">
        <v>702139</v>
      </c>
      <c r="G299" s="558" t="s">
        <v>956</v>
      </c>
      <c r="H299" s="564">
        <v>40015</v>
      </c>
      <c r="I299" s="563">
        <v>130.35</v>
      </c>
      <c r="J299" s="559">
        <f t="shared" si="10"/>
        <v>1650</v>
      </c>
      <c r="K299" s="563">
        <f t="shared" si="11"/>
        <v>64.349999999999994</v>
      </c>
      <c r="L299" s="563">
        <f t="shared" si="12"/>
        <v>70.784999999999997</v>
      </c>
      <c r="M299" s="563"/>
      <c r="P299" s="559" t="s">
        <v>953</v>
      </c>
    </row>
    <row r="300" spans="4:16" x14ac:dyDescent="0.25">
      <c r="D300" s="559" t="s">
        <v>867</v>
      </c>
      <c r="E300" s="558">
        <v>320118</v>
      </c>
      <c r="F300" s="559">
        <v>301418</v>
      </c>
      <c r="G300" s="558" t="s">
        <v>770</v>
      </c>
      <c r="H300" s="564">
        <v>40015</v>
      </c>
      <c r="I300" s="563">
        <v>1738</v>
      </c>
      <c r="J300" s="559">
        <f t="shared" si="10"/>
        <v>22000</v>
      </c>
      <c r="K300" s="563">
        <f t="shared" si="11"/>
        <v>858</v>
      </c>
      <c r="L300" s="563">
        <f t="shared" si="12"/>
        <v>943.80000000000007</v>
      </c>
      <c r="M300" s="563"/>
      <c r="P300" s="559" t="s">
        <v>953</v>
      </c>
    </row>
    <row r="301" spans="4:16" x14ac:dyDescent="0.25">
      <c r="D301" s="559" t="s">
        <v>867</v>
      </c>
      <c r="E301" s="558">
        <v>321611</v>
      </c>
      <c r="F301" s="559">
        <v>300982</v>
      </c>
      <c r="G301" s="558" t="s">
        <v>770</v>
      </c>
      <c r="H301" s="564">
        <v>40015</v>
      </c>
      <c r="I301" s="563">
        <v>130.35</v>
      </c>
      <c r="J301" s="559">
        <f t="shared" si="10"/>
        <v>1650</v>
      </c>
      <c r="K301" s="563">
        <f t="shared" si="11"/>
        <v>64.349999999999994</v>
      </c>
      <c r="L301" s="563">
        <f t="shared" si="12"/>
        <v>70.784999999999997</v>
      </c>
      <c r="M301" s="563"/>
      <c r="P301" s="559" t="s">
        <v>953</v>
      </c>
    </row>
    <row r="302" spans="4:16" x14ac:dyDescent="0.25">
      <c r="D302" s="559" t="s">
        <v>867</v>
      </c>
      <c r="E302" s="558" t="s">
        <v>957</v>
      </c>
      <c r="F302" s="559">
        <v>500216</v>
      </c>
      <c r="G302" s="558" t="s">
        <v>777</v>
      </c>
      <c r="H302" s="564">
        <v>40015</v>
      </c>
      <c r="I302" s="563">
        <v>3132.35</v>
      </c>
      <c r="J302" s="559">
        <f t="shared" si="10"/>
        <v>39650</v>
      </c>
      <c r="K302" s="563">
        <f t="shared" si="11"/>
        <v>1546.35</v>
      </c>
      <c r="L302" s="563">
        <f t="shared" si="12"/>
        <v>1700.9850000000001</v>
      </c>
      <c r="M302" s="563"/>
      <c r="P302" s="559" t="s">
        <v>953</v>
      </c>
    </row>
    <row r="303" spans="4:16" x14ac:dyDescent="0.25">
      <c r="D303" s="559" t="s">
        <v>867</v>
      </c>
      <c r="E303" s="558" t="s">
        <v>958</v>
      </c>
      <c r="F303" s="559">
        <v>501762</v>
      </c>
      <c r="G303" s="558" t="s">
        <v>777</v>
      </c>
      <c r="H303" s="564">
        <v>40015</v>
      </c>
      <c r="I303" s="563">
        <v>51.35</v>
      </c>
      <c r="J303" s="559">
        <f t="shared" si="10"/>
        <v>650</v>
      </c>
      <c r="K303" s="563">
        <f t="shared" si="11"/>
        <v>25.35</v>
      </c>
      <c r="L303" s="563">
        <f t="shared" si="12"/>
        <v>27.885000000000005</v>
      </c>
      <c r="M303" s="563"/>
      <c r="P303" s="559" t="s">
        <v>953</v>
      </c>
    </row>
    <row r="304" spans="4:16" x14ac:dyDescent="0.25">
      <c r="D304" s="559" t="s">
        <v>867</v>
      </c>
      <c r="E304" s="558" t="s">
        <v>959</v>
      </c>
      <c r="F304" s="559">
        <v>502208</v>
      </c>
      <c r="G304" s="558" t="s">
        <v>960</v>
      </c>
      <c r="H304" s="564">
        <v>40015</v>
      </c>
      <c r="I304" s="563">
        <v>1394.35</v>
      </c>
      <c r="J304" s="559">
        <f t="shared" si="10"/>
        <v>17650</v>
      </c>
      <c r="K304" s="563">
        <f t="shared" si="11"/>
        <v>688.35</v>
      </c>
      <c r="L304" s="563">
        <f t="shared" si="12"/>
        <v>757.18500000000006</v>
      </c>
      <c r="M304" s="563"/>
      <c r="P304" s="559" t="s">
        <v>953</v>
      </c>
    </row>
    <row r="305" spans="4:16" x14ac:dyDescent="0.25">
      <c r="D305" s="559" t="s">
        <v>867</v>
      </c>
      <c r="E305" s="558" t="s">
        <v>961</v>
      </c>
      <c r="F305" s="559">
        <v>502013</v>
      </c>
      <c r="G305" s="558" t="s">
        <v>887</v>
      </c>
      <c r="H305" s="564">
        <v>40015</v>
      </c>
      <c r="I305" s="563">
        <v>2954.6</v>
      </c>
      <c r="J305" s="559">
        <f t="shared" si="10"/>
        <v>37400</v>
      </c>
      <c r="K305" s="563">
        <f t="shared" si="11"/>
        <v>1458.6</v>
      </c>
      <c r="L305" s="563">
        <f t="shared" si="12"/>
        <v>1604.46</v>
      </c>
      <c r="M305" s="563"/>
      <c r="P305" s="559" t="s">
        <v>953</v>
      </c>
    </row>
    <row r="306" spans="4:16" x14ac:dyDescent="0.25">
      <c r="D306" s="559" t="s">
        <v>867</v>
      </c>
      <c r="E306" s="558" t="s">
        <v>962</v>
      </c>
      <c r="F306" s="559">
        <v>500427</v>
      </c>
      <c r="G306" s="558" t="s">
        <v>887</v>
      </c>
      <c r="H306" s="564">
        <v>40015</v>
      </c>
      <c r="I306" s="563">
        <v>2551.6999999999998</v>
      </c>
      <c r="J306" s="559">
        <f t="shared" si="10"/>
        <v>32299.999999999996</v>
      </c>
      <c r="K306" s="563">
        <f t="shared" si="11"/>
        <v>1259.6999999999998</v>
      </c>
      <c r="L306" s="563">
        <f t="shared" si="12"/>
        <v>1385.6699999999998</v>
      </c>
      <c r="M306" s="563"/>
      <c r="P306" s="559" t="s">
        <v>953</v>
      </c>
    </row>
    <row r="307" spans="4:16" x14ac:dyDescent="0.25">
      <c r="D307" s="559" t="s">
        <v>867</v>
      </c>
      <c r="E307" s="558" t="s">
        <v>963</v>
      </c>
      <c r="F307" s="559">
        <v>500423</v>
      </c>
      <c r="G307" s="558" t="s">
        <v>964</v>
      </c>
      <c r="H307" s="564">
        <v>40015</v>
      </c>
      <c r="I307" s="563">
        <v>47.4</v>
      </c>
      <c r="J307" s="559">
        <f t="shared" si="10"/>
        <v>600</v>
      </c>
      <c r="K307" s="563">
        <f t="shared" si="11"/>
        <v>23.4</v>
      </c>
      <c r="L307" s="563">
        <f t="shared" si="12"/>
        <v>25.740000000000002</v>
      </c>
      <c r="M307" s="563"/>
      <c r="P307" s="559" t="s">
        <v>953</v>
      </c>
    </row>
    <row r="308" spans="4:16" x14ac:dyDescent="0.25">
      <c r="D308" s="559" t="s">
        <v>867</v>
      </c>
      <c r="E308" s="558" t="s">
        <v>965</v>
      </c>
      <c r="F308" s="559">
        <v>500423</v>
      </c>
      <c r="G308" s="558" t="s">
        <v>966</v>
      </c>
      <c r="H308" s="564">
        <v>40015</v>
      </c>
      <c r="I308" s="563">
        <v>47.4</v>
      </c>
      <c r="J308" s="559">
        <f t="shared" si="10"/>
        <v>600</v>
      </c>
      <c r="K308" s="563">
        <f t="shared" si="11"/>
        <v>23.4</v>
      </c>
      <c r="L308" s="563">
        <f t="shared" si="12"/>
        <v>25.740000000000002</v>
      </c>
      <c r="M308" s="563"/>
      <c r="P308" s="559" t="s">
        <v>953</v>
      </c>
    </row>
    <row r="309" spans="4:16" x14ac:dyDescent="0.25">
      <c r="D309" s="559" t="s">
        <v>867</v>
      </c>
      <c r="E309" s="558" t="s">
        <v>967</v>
      </c>
      <c r="F309" s="559">
        <v>500423</v>
      </c>
      <c r="G309" s="558" t="s">
        <v>966</v>
      </c>
      <c r="H309" s="564">
        <v>40015</v>
      </c>
      <c r="I309" s="563">
        <v>1659</v>
      </c>
      <c r="J309" s="559">
        <f t="shared" si="10"/>
        <v>21000</v>
      </c>
      <c r="K309" s="563">
        <f t="shared" si="11"/>
        <v>819</v>
      </c>
      <c r="L309" s="563">
        <f t="shared" si="12"/>
        <v>900.90000000000009</v>
      </c>
      <c r="M309" s="563"/>
      <c r="P309" s="559" t="s">
        <v>953</v>
      </c>
    </row>
    <row r="310" spans="4:16" x14ac:dyDescent="0.25">
      <c r="D310" s="559" t="s">
        <v>867</v>
      </c>
      <c r="E310" s="558" t="s">
        <v>968</v>
      </c>
      <c r="F310" s="559">
        <v>500423</v>
      </c>
      <c r="G310" s="558" t="s">
        <v>966</v>
      </c>
      <c r="H310" s="564">
        <v>40015</v>
      </c>
      <c r="I310" s="563">
        <v>47.4</v>
      </c>
      <c r="J310" s="559">
        <f t="shared" si="10"/>
        <v>600</v>
      </c>
      <c r="K310" s="563">
        <f t="shared" si="11"/>
        <v>23.4</v>
      </c>
      <c r="L310" s="563">
        <f t="shared" si="12"/>
        <v>25.740000000000002</v>
      </c>
      <c r="M310" s="563"/>
      <c r="P310" s="559" t="s">
        <v>953</v>
      </c>
    </row>
    <row r="311" spans="4:16" x14ac:dyDescent="0.25">
      <c r="D311" s="559" t="s">
        <v>867</v>
      </c>
      <c r="E311" s="558" t="s">
        <v>969</v>
      </c>
      <c r="F311" s="559">
        <v>502204</v>
      </c>
      <c r="G311" s="558" t="s">
        <v>970</v>
      </c>
      <c r="H311" s="564">
        <v>40015</v>
      </c>
      <c r="I311" s="563">
        <v>2780.8</v>
      </c>
      <c r="J311" s="559">
        <f t="shared" si="10"/>
        <v>35200</v>
      </c>
      <c r="K311" s="563">
        <f t="shared" si="11"/>
        <v>1372.8</v>
      </c>
      <c r="L311" s="563">
        <f t="shared" si="12"/>
        <v>1510.0800000000002</v>
      </c>
      <c r="M311" s="563"/>
      <c r="P311" s="559" t="s">
        <v>953</v>
      </c>
    </row>
    <row r="312" spans="4:16" x14ac:dyDescent="0.25">
      <c r="D312" s="559" t="s">
        <v>867</v>
      </c>
      <c r="E312" s="558" t="s">
        <v>971</v>
      </c>
      <c r="F312" s="559">
        <v>500416</v>
      </c>
      <c r="G312" s="558" t="s">
        <v>972</v>
      </c>
      <c r="H312" s="564">
        <v>40015</v>
      </c>
      <c r="I312" s="563">
        <v>454.25</v>
      </c>
      <c r="J312" s="559">
        <f t="shared" si="10"/>
        <v>5750</v>
      </c>
      <c r="K312" s="563">
        <f t="shared" si="11"/>
        <v>224.25</v>
      </c>
      <c r="L312" s="563">
        <f t="shared" si="12"/>
        <v>246.67500000000001</v>
      </c>
      <c r="M312" s="563"/>
      <c r="P312" s="559" t="s">
        <v>953</v>
      </c>
    </row>
    <row r="313" spans="4:16" x14ac:dyDescent="0.25">
      <c r="D313" s="559" t="s">
        <v>867</v>
      </c>
      <c r="E313" s="558" t="s">
        <v>973</v>
      </c>
      <c r="F313" s="559">
        <v>500148</v>
      </c>
      <c r="G313" s="558" t="s">
        <v>974</v>
      </c>
      <c r="H313" s="564">
        <v>40015</v>
      </c>
      <c r="I313" s="563">
        <v>9424.7000000000007</v>
      </c>
      <c r="J313" s="559">
        <f t="shared" si="10"/>
        <v>119300.00000000001</v>
      </c>
      <c r="K313" s="563">
        <f t="shared" si="11"/>
        <v>4652.7000000000007</v>
      </c>
      <c r="L313" s="563">
        <f t="shared" si="12"/>
        <v>5117.9700000000012</v>
      </c>
      <c r="M313" s="563"/>
      <c r="P313" s="559" t="s">
        <v>953</v>
      </c>
    </row>
    <row r="314" spans="4:16" x14ac:dyDescent="0.25">
      <c r="D314" s="559" t="s">
        <v>867</v>
      </c>
      <c r="E314" s="558" t="s">
        <v>975</v>
      </c>
      <c r="F314" s="559">
        <v>500181</v>
      </c>
      <c r="G314" s="558" t="s">
        <v>808</v>
      </c>
      <c r="H314" s="564">
        <v>40015</v>
      </c>
      <c r="I314" s="563">
        <v>13746</v>
      </c>
      <c r="J314" s="559">
        <f t="shared" si="10"/>
        <v>174000</v>
      </c>
      <c r="K314" s="563">
        <f t="shared" si="11"/>
        <v>6786</v>
      </c>
      <c r="L314" s="563">
        <f t="shared" si="12"/>
        <v>7464.6</v>
      </c>
      <c r="M314" s="563"/>
      <c r="P314" s="559" t="s">
        <v>953</v>
      </c>
    </row>
    <row r="315" spans="4:16" x14ac:dyDescent="0.25">
      <c r="D315" s="559" t="s">
        <v>867</v>
      </c>
      <c r="E315" s="558" t="s">
        <v>976</v>
      </c>
      <c r="F315" s="559">
        <v>500012</v>
      </c>
      <c r="G315" s="558" t="s">
        <v>920</v>
      </c>
      <c r="H315" s="564">
        <v>40015</v>
      </c>
      <c r="I315" s="563">
        <v>15.8</v>
      </c>
      <c r="J315" s="559">
        <f t="shared" si="10"/>
        <v>200</v>
      </c>
      <c r="K315" s="563">
        <f t="shared" si="11"/>
        <v>7.8</v>
      </c>
      <c r="L315" s="563">
        <f t="shared" si="12"/>
        <v>8.58</v>
      </c>
      <c r="M315" s="563"/>
      <c r="P315" s="559" t="s">
        <v>953</v>
      </c>
    </row>
    <row r="316" spans="4:16" x14ac:dyDescent="0.25">
      <c r="D316" s="559" t="s">
        <v>867</v>
      </c>
      <c r="E316" s="558" t="s">
        <v>977</v>
      </c>
      <c r="F316" s="559">
        <v>502020</v>
      </c>
      <c r="G316" s="558" t="s">
        <v>920</v>
      </c>
      <c r="H316" s="564">
        <v>40015</v>
      </c>
      <c r="I316" s="563">
        <v>51.35</v>
      </c>
      <c r="J316" s="559">
        <f t="shared" si="10"/>
        <v>650</v>
      </c>
      <c r="K316" s="563">
        <f t="shared" si="11"/>
        <v>25.35</v>
      </c>
      <c r="L316" s="563">
        <f t="shared" si="12"/>
        <v>27.885000000000005</v>
      </c>
      <c r="M316" s="563"/>
      <c r="P316" s="559" t="s">
        <v>953</v>
      </c>
    </row>
    <row r="317" spans="4:16" x14ac:dyDescent="0.25">
      <c r="D317" s="559" t="s">
        <v>867</v>
      </c>
      <c r="E317" s="558" t="s">
        <v>978</v>
      </c>
      <c r="F317" s="559">
        <v>500012</v>
      </c>
      <c r="G317" s="558" t="s">
        <v>920</v>
      </c>
      <c r="H317" s="564">
        <v>40015</v>
      </c>
      <c r="I317" s="563">
        <v>3041.5</v>
      </c>
      <c r="J317" s="559">
        <f t="shared" si="10"/>
        <v>38500</v>
      </c>
      <c r="K317" s="563">
        <f t="shared" si="11"/>
        <v>1501.5</v>
      </c>
      <c r="L317" s="563">
        <f t="shared" si="12"/>
        <v>1651.65</v>
      </c>
      <c r="M317" s="563"/>
      <c r="P317" s="559" t="s">
        <v>953</v>
      </c>
    </row>
    <row r="318" spans="4:16" x14ac:dyDescent="0.25">
      <c r="D318" s="559" t="s">
        <v>867</v>
      </c>
      <c r="E318" s="558" t="s">
        <v>979</v>
      </c>
      <c r="F318" s="559">
        <v>500046</v>
      </c>
      <c r="G318" s="558" t="s">
        <v>929</v>
      </c>
      <c r="H318" s="564">
        <v>40015</v>
      </c>
      <c r="I318" s="563">
        <v>7236.4</v>
      </c>
      <c r="J318" s="559">
        <f t="shared" si="10"/>
        <v>91600</v>
      </c>
      <c r="K318" s="563">
        <f t="shared" si="11"/>
        <v>3572.4</v>
      </c>
      <c r="L318" s="563">
        <f t="shared" si="12"/>
        <v>3929.6400000000003</v>
      </c>
      <c r="M318" s="563"/>
      <c r="P318" s="559" t="s">
        <v>953</v>
      </c>
    </row>
    <row r="319" spans="4:16" x14ac:dyDescent="0.25">
      <c r="D319" s="559" t="s">
        <v>867</v>
      </c>
      <c r="E319" s="558" t="s">
        <v>980</v>
      </c>
      <c r="F319" s="559">
        <v>700277</v>
      </c>
      <c r="G319" s="558" t="s">
        <v>981</v>
      </c>
      <c r="H319" s="564">
        <v>40015</v>
      </c>
      <c r="I319" s="563">
        <v>999.35</v>
      </c>
      <c r="J319" s="559">
        <f t="shared" si="10"/>
        <v>12650</v>
      </c>
      <c r="K319" s="563">
        <f t="shared" si="11"/>
        <v>493.35</v>
      </c>
      <c r="L319" s="563">
        <f t="shared" si="12"/>
        <v>542.68500000000006</v>
      </c>
      <c r="M319" s="563"/>
      <c r="P319" s="559" t="s">
        <v>953</v>
      </c>
    </row>
    <row r="320" spans="4:16" x14ac:dyDescent="0.25">
      <c r="D320" s="559" t="s">
        <v>867</v>
      </c>
      <c r="E320" s="558" t="s">
        <v>982</v>
      </c>
      <c r="F320" s="559">
        <v>700606</v>
      </c>
      <c r="G320" s="558" t="s">
        <v>983</v>
      </c>
      <c r="H320" s="564">
        <v>40015</v>
      </c>
      <c r="I320" s="563">
        <v>999.35</v>
      </c>
      <c r="J320" s="559">
        <f t="shared" ref="J320:J351" si="13">+I320/0.079</f>
        <v>12650</v>
      </c>
      <c r="K320" s="563">
        <f t="shared" ref="K320:K351" si="14">+J320*0.039</f>
        <v>493.35</v>
      </c>
      <c r="L320" s="563">
        <f t="shared" si="12"/>
        <v>542.68500000000006</v>
      </c>
      <c r="M320" s="563"/>
      <c r="P320" s="559" t="s">
        <v>953</v>
      </c>
    </row>
    <row r="321" spans="4:16" x14ac:dyDescent="0.25">
      <c r="D321" s="559" t="s">
        <v>867</v>
      </c>
      <c r="E321" s="558" t="s">
        <v>984</v>
      </c>
      <c r="F321" s="559">
        <v>700726</v>
      </c>
      <c r="G321" s="558" t="s">
        <v>985</v>
      </c>
      <c r="H321" s="564">
        <v>40015</v>
      </c>
      <c r="I321" s="563">
        <v>2579.35</v>
      </c>
      <c r="J321" s="559">
        <f t="shared" si="13"/>
        <v>32650</v>
      </c>
      <c r="K321" s="563">
        <f t="shared" si="14"/>
        <v>1273.3499999999999</v>
      </c>
      <c r="L321" s="563">
        <f t="shared" si="12"/>
        <v>1400.6849999999999</v>
      </c>
      <c r="M321" s="563"/>
      <c r="P321" s="559" t="s">
        <v>953</v>
      </c>
    </row>
    <row r="322" spans="4:16" x14ac:dyDescent="0.25">
      <c r="D322" s="559" t="s">
        <v>867</v>
      </c>
      <c r="E322" s="558" t="s">
        <v>986</v>
      </c>
      <c r="F322" s="559">
        <v>700796</v>
      </c>
      <c r="G322" s="558" t="s">
        <v>987</v>
      </c>
      <c r="H322" s="564">
        <v>40015</v>
      </c>
      <c r="I322" s="563">
        <v>51.35</v>
      </c>
      <c r="J322" s="559">
        <f t="shared" si="13"/>
        <v>650</v>
      </c>
      <c r="K322" s="563">
        <f t="shared" si="14"/>
        <v>25.35</v>
      </c>
      <c r="L322" s="563">
        <f t="shared" si="12"/>
        <v>27.885000000000005</v>
      </c>
      <c r="M322" s="563"/>
      <c r="P322" s="559" t="s">
        <v>953</v>
      </c>
    </row>
    <row r="323" spans="4:16" x14ac:dyDescent="0.25">
      <c r="D323" s="559" t="s">
        <v>867</v>
      </c>
      <c r="E323" s="558" t="s">
        <v>988</v>
      </c>
      <c r="F323" s="559">
        <v>702498</v>
      </c>
      <c r="G323" s="558" t="s">
        <v>989</v>
      </c>
      <c r="H323" s="564">
        <v>40015</v>
      </c>
      <c r="I323" s="563">
        <v>51.35</v>
      </c>
      <c r="J323" s="559">
        <f t="shared" si="13"/>
        <v>650</v>
      </c>
      <c r="K323" s="563">
        <f t="shared" si="14"/>
        <v>25.35</v>
      </c>
      <c r="L323" s="563">
        <f t="shared" si="12"/>
        <v>27.885000000000005</v>
      </c>
      <c r="M323" s="563"/>
      <c r="P323" s="559" t="s">
        <v>953</v>
      </c>
    </row>
    <row r="324" spans="4:16" x14ac:dyDescent="0.25">
      <c r="D324" s="559" t="s">
        <v>867</v>
      </c>
      <c r="E324" s="558" t="s">
        <v>990</v>
      </c>
      <c r="F324" s="559">
        <v>702249</v>
      </c>
      <c r="G324" s="558" t="s">
        <v>991</v>
      </c>
      <c r="H324" s="564">
        <v>40015</v>
      </c>
      <c r="I324" s="563">
        <v>2500.35</v>
      </c>
      <c r="J324" s="559">
        <f t="shared" si="13"/>
        <v>31650</v>
      </c>
      <c r="K324" s="563">
        <f t="shared" si="14"/>
        <v>1234.3499999999999</v>
      </c>
      <c r="L324" s="563">
        <f t="shared" si="12"/>
        <v>1357.7850000000001</v>
      </c>
      <c r="M324" s="563"/>
      <c r="P324" s="559" t="s">
        <v>953</v>
      </c>
    </row>
    <row r="325" spans="4:16" x14ac:dyDescent="0.25">
      <c r="D325" s="559" t="s">
        <v>867</v>
      </c>
      <c r="E325" s="558" t="s">
        <v>992</v>
      </c>
      <c r="F325" s="559">
        <v>702085</v>
      </c>
      <c r="G325" s="558" t="s">
        <v>993</v>
      </c>
      <c r="H325" s="564">
        <v>40015</v>
      </c>
      <c r="I325" s="563">
        <v>545.1</v>
      </c>
      <c r="J325" s="559">
        <f t="shared" si="13"/>
        <v>6900</v>
      </c>
      <c r="K325" s="563">
        <f t="shared" si="14"/>
        <v>269.10000000000002</v>
      </c>
      <c r="L325" s="563">
        <f t="shared" si="12"/>
        <v>296.01000000000005</v>
      </c>
      <c r="M325" s="563"/>
      <c r="P325" s="559" t="s">
        <v>953</v>
      </c>
    </row>
    <row r="326" spans="4:16" x14ac:dyDescent="0.25">
      <c r="D326" s="559" t="s">
        <v>867</v>
      </c>
      <c r="E326" s="558" t="s">
        <v>994</v>
      </c>
      <c r="F326" s="559">
        <v>702217</v>
      </c>
      <c r="G326" s="558" t="s">
        <v>820</v>
      </c>
      <c r="H326" s="564">
        <v>40015</v>
      </c>
      <c r="I326" s="563">
        <v>2368.4</v>
      </c>
      <c r="J326" s="572">
        <f t="shared" si="13"/>
        <v>29979.746835443038</v>
      </c>
      <c r="K326" s="563">
        <f t="shared" si="14"/>
        <v>1169.2101265822785</v>
      </c>
      <c r="L326" s="563">
        <f t="shared" si="12"/>
        <v>1286.1311392405064</v>
      </c>
      <c r="M326" s="563"/>
      <c r="P326" s="559" t="s">
        <v>953</v>
      </c>
    </row>
    <row r="327" spans="4:16" x14ac:dyDescent="0.25">
      <c r="D327" s="559" t="s">
        <v>867</v>
      </c>
      <c r="E327" s="558" t="s">
        <v>995</v>
      </c>
      <c r="F327" s="559">
        <v>702102</v>
      </c>
      <c r="G327" s="558" t="s">
        <v>996</v>
      </c>
      <c r="H327" s="564">
        <v>40015</v>
      </c>
      <c r="I327" s="563">
        <v>4941.45</v>
      </c>
      <c r="J327" s="559">
        <f t="shared" si="13"/>
        <v>62550</v>
      </c>
      <c r="K327" s="563">
        <f t="shared" si="14"/>
        <v>2439.4499999999998</v>
      </c>
      <c r="L327" s="563">
        <f t="shared" si="12"/>
        <v>2683.395</v>
      </c>
      <c r="M327" s="563"/>
      <c r="P327" s="559" t="s">
        <v>953</v>
      </c>
    </row>
    <row r="328" spans="4:16" x14ac:dyDescent="0.25">
      <c r="D328" s="559" t="s">
        <v>867</v>
      </c>
      <c r="E328" s="558" t="s">
        <v>997</v>
      </c>
      <c r="F328" s="559">
        <v>702138</v>
      </c>
      <c r="G328" s="558" t="s">
        <v>998</v>
      </c>
      <c r="H328" s="564">
        <v>40015</v>
      </c>
      <c r="I328" s="563">
        <v>3195.55</v>
      </c>
      <c r="J328" s="559">
        <f t="shared" si="13"/>
        <v>40450</v>
      </c>
      <c r="K328" s="563">
        <f t="shared" si="14"/>
        <v>1577.55</v>
      </c>
      <c r="L328" s="563">
        <f t="shared" si="12"/>
        <v>1735.3050000000001</v>
      </c>
      <c r="M328" s="563"/>
      <c r="P328" s="559" t="s">
        <v>953</v>
      </c>
    </row>
    <row r="329" spans="4:16" x14ac:dyDescent="0.25">
      <c r="D329" s="559" t="s">
        <v>867</v>
      </c>
      <c r="E329" s="558" t="s">
        <v>999</v>
      </c>
      <c r="F329" s="559">
        <v>701690</v>
      </c>
      <c r="G329" s="558" t="s">
        <v>1000</v>
      </c>
      <c r="H329" s="564">
        <v>40015</v>
      </c>
      <c r="I329" s="563">
        <v>774.2</v>
      </c>
      <c r="J329" s="559">
        <f t="shared" si="13"/>
        <v>9800</v>
      </c>
      <c r="K329" s="563">
        <f t="shared" si="14"/>
        <v>382.2</v>
      </c>
      <c r="L329" s="563">
        <f t="shared" si="12"/>
        <v>420.42</v>
      </c>
      <c r="M329" s="563"/>
      <c r="P329" s="559" t="s">
        <v>953</v>
      </c>
    </row>
    <row r="330" spans="4:16" x14ac:dyDescent="0.25">
      <c r="D330" s="559" t="s">
        <v>867</v>
      </c>
      <c r="E330" s="558" t="s">
        <v>1001</v>
      </c>
      <c r="F330" s="559">
        <v>702348</v>
      </c>
      <c r="G330" s="558" t="s">
        <v>1002</v>
      </c>
      <c r="H330" s="564">
        <v>40015</v>
      </c>
      <c r="I330" s="563">
        <v>2235.6999999999998</v>
      </c>
      <c r="J330" s="559">
        <f t="shared" si="13"/>
        <v>28299.999999999996</v>
      </c>
      <c r="K330" s="563">
        <f t="shared" si="14"/>
        <v>1103.6999999999998</v>
      </c>
      <c r="L330" s="563">
        <f t="shared" si="12"/>
        <v>1214.07</v>
      </c>
      <c r="M330" s="563"/>
      <c r="P330" s="559" t="s">
        <v>953</v>
      </c>
    </row>
    <row r="331" spans="4:16" x14ac:dyDescent="0.25">
      <c r="D331" s="559" t="s">
        <v>867</v>
      </c>
      <c r="E331" s="558" t="s">
        <v>1003</v>
      </c>
      <c r="F331" s="559">
        <v>701080</v>
      </c>
      <c r="G331" s="558" t="s">
        <v>934</v>
      </c>
      <c r="H331" s="564">
        <v>40015</v>
      </c>
      <c r="I331" s="563">
        <v>1967.1</v>
      </c>
      <c r="J331" s="559">
        <f t="shared" si="13"/>
        <v>24900</v>
      </c>
      <c r="K331" s="563">
        <f t="shared" si="14"/>
        <v>971.1</v>
      </c>
      <c r="L331" s="563">
        <f t="shared" si="12"/>
        <v>1068.21</v>
      </c>
      <c r="M331" s="563"/>
      <c r="P331" s="559" t="s">
        <v>953</v>
      </c>
    </row>
    <row r="332" spans="4:16" x14ac:dyDescent="0.25">
      <c r="D332" s="559" t="s">
        <v>867</v>
      </c>
      <c r="E332" s="558" t="s">
        <v>1004</v>
      </c>
      <c r="F332" s="559">
        <v>701620</v>
      </c>
      <c r="G332" s="558" t="s">
        <v>936</v>
      </c>
      <c r="H332" s="564">
        <v>40015</v>
      </c>
      <c r="I332" s="563">
        <v>3096.8</v>
      </c>
      <c r="J332" s="559">
        <f t="shared" si="13"/>
        <v>39200</v>
      </c>
      <c r="K332" s="563">
        <f t="shared" si="14"/>
        <v>1528.8</v>
      </c>
      <c r="L332" s="563">
        <f t="shared" si="12"/>
        <v>1681.68</v>
      </c>
      <c r="M332" s="563"/>
      <c r="P332" s="559" t="s">
        <v>953</v>
      </c>
    </row>
    <row r="333" spans="4:16" x14ac:dyDescent="0.25">
      <c r="D333" s="559" t="s">
        <v>867</v>
      </c>
      <c r="E333" s="558" t="s">
        <v>1005</v>
      </c>
      <c r="F333" s="559">
        <v>701690</v>
      </c>
      <c r="G333" s="558" t="s">
        <v>936</v>
      </c>
      <c r="H333" s="564">
        <v>40015</v>
      </c>
      <c r="I333" s="563">
        <v>616.20000000000005</v>
      </c>
      <c r="J333" s="559">
        <f t="shared" si="13"/>
        <v>7800.0000000000009</v>
      </c>
      <c r="K333" s="563">
        <f t="shared" si="14"/>
        <v>304.20000000000005</v>
      </c>
      <c r="L333" s="563">
        <f t="shared" si="12"/>
        <v>334.62000000000006</v>
      </c>
      <c r="M333" s="563"/>
      <c r="P333" s="559" t="s">
        <v>953</v>
      </c>
    </row>
    <row r="334" spans="4:16" x14ac:dyDescent="0.25">
      <c r="D334" s="559" t="s">
        <v>867</v>
      </c>
      <c r="E334" s="558" t="s">
        <v>1006</v>
      </c>
      <c r="F334" s="559">
        <v>701150</v>
      </c>
      <c r="G334" s="558" t="s">
        <v>943</v>
      </c>
      <c r="H334" s="564">
        <v>40015</v>
      </c>
      <c r="I334" s="563">
        <v>6.3</v>
      </c>
      <c r="J334" s="572">
        <f t="shared" si="13"/>
        <v>79.746835443037966</v>
      </c>
      <c r="K334" s="563">
        <f t="shared" si="14"/>
        <v>3.1101265822784807</v>
      </c>
      <c r="L334" s="563">
        <f t="shared" si="12"/>
        <v>3.4211392405063292</v>
      </c>
      <c r="M334" s="563"/>
      <c r="P334" s="559" t="s">
        <v>953</v>
      </c>
    </row>
    <row r="335" spans="4:16" x14ac:dyDescent="0.25">
      <c r="D335" s="559" t="s">
        <v>867</v>
      </c>
      <c r="E335" s="558" t="s">
        <v>1007</v>
      </c>
      <c r="F335" s="559">
        <v>701150</v>
      </c>
      <c r="G335" s="558" t="s">
        <v>943</v>
      </c>
      <c r="H335" s="564">
        <v>40015</v>
      </c>
      <c r="I335" s="563">
        <v>6.7</v>
      </c>
      <c r="J335" s="572">
        <f t="shared" si="13"/>
        <v>84.810126582278485</v>
      </c>
      <c r="K335" s="563">
        <f t="shared" si="14"/>
        <v>3.3075949367088611</v>
      </c>
      <c r="L335" s="563">
        <f t="shared" si="12"/>
        <v>3.6383544303797475</v>
      </c>
      <c r="M335" s="563"/>
      <c r="P335" s="559" t="s">
        <v>953</v>
      </c>
    </row>
    <row r="336" spans="4:16" x14ac:dyDescent="0.25">
      <c r="D336" s="559" t="s">
        <v>867</v>
      </c>
      <c r="E336" s="558" t="s">
        <v>1008</v>
      </c>
      <c r="F336" s="559">
        <v>502230</v>
      </c>
      <c r="G336" s="558" t="s">
        <v>1009</v>
      </c>
      <c r="H336" s="564">
        <v>40015</v>
      </c>
      <c r="I336" s="563">
        <v>1398.3</v>
      </c>
      <c r="J336" s="559">
        <f t="shared" si="13"/>
        <v>17700</v>
      </c>
      <c r="K336" s="563">
        <f t="shared" si="14"/>
        <v>690.3</v>
      </c>
      <c r="L336" s="563">
        <f t="shared" si="12"/>
        <v>759.33</v>
      </c>
      <c r="M336" s="563"/>
      <c r="P336" s="559" t="s">
        <v>953</v>
      </c>
    </row>
    <row r="337" spans="4:16" x14ac:dyDescent="0.25">
      <c r="D337" s="559" t="s">
        <v>867</v>
      </c>
      <c r="E337" s="558" t="s">
        <v>1010</v>
      </c>
      <c r="F337" s="559">
        <v>502230</v>
      </c>
      <c r="G337" s="558" t="s">
        <v>1009</v>
      </c>
      <c r="H337" s="564">
        <v>40015</v>
      </c>
      <c r="I337" s="563">
        <v>1003.3</v>
      </c>
      <c r="J337" s="559">
        <f t="shared" si="13"/>
        <v>12700</v>
      </c>
      <c r="K337" s="563">
        <f t="shared" si="14"/>
        <v>495.3</v>
      </c>
      <c r="L337" s="563">
        <f t="shared" si="12"/>
        <v>544.83000000000004</v>
      </c>
      <c r="M337" s="563"/>
      <c r="P337" s="559" t="s">
        <v>953</v>
      </c>
    </row>
    <row r="338" spans="4:16" x14ac:dyDescent="0.25">
      <c r="D338" s="559" t="s">
        <v>867</v>
      </c>
      <c r="E338" s="558" t="s">
        <v>1011</v>
      </c>
      <c r="F338" s="559">
        <v>502230</v>
      </c>
      <c r="G338" s="558" t="s">
        <v>1009</v>
      </c>
      <c r="H338" s="564">
        <v>40015</v>
      </c>
      <c r="I338" s="563">
        <v>15.8</v>
      </c>
      <c r="J338" s="559">
        <f t="shared" si="13"/>
        <v>200</v>
      </c>
      <c r="K338" s="563">
        <f t="shared" si="14"/>
        <v>7.8</v>
      </c>
      <c r="L338" s="563">
        <f t="shared" si="12"/>
        <v>8.58</v>
      </c>
      <c r="M338" s="563"/>
      <c r="P338" s="559" t="s">
        <v>953</v>
      </c>
    </row>
    <row r="339" spans="4:16" x14ac:dyDescent="0.25">
      <c r="D339" s="559" t="s">
        <v>867</v>
      </c>
      <c r="E339" s="558" t="s">
        <v>1012</v>
      </c>
      <c r="F339" s="559">
        <v>502230</v>
      </c>
      <c r="G339" s="558" t="s">
        <v>1009</v>
      </c>
      <c r="H339" s="564">
        <v>40015</v>
      </c>
      <c r="I339" s="563">
        <v>15.8</v>
      </c>
      <c r="J339" s="559">
        <f t="shared" si="13"/>
        <v>200</v>
      </c>
      <c r="K339" s="563">
        <f t="shared" si="14"/>
        <v>7.8</v>
      </c>
      <c r="L339" s="563">
        <f t="shared" si="12"/>
        <v>8.58</v>
      </c>
      <c r="M339" s="563"/>
      <c r="P339" s="559" t="s">
        <v>953</v>
      </c>
    </row>
    <row r="340" spans="4:16" x14ac:dyDescent="0.25">
      <c r="D340" s="559" t="s">
        <v>867</v>
      </c>
      <c r="E340" s="558" t="s">
        <v>1013</v>
      </c>
      <c r="F340" s="559">
        <v>701125</v>
      </c>
      <c r="G340" s="558" t="s">
        <v>822</v>
      </c>
      <c r="H340" s="564">
        <v>40015</v>
      </c>
      <c r="I340" s="563">
        <v>2168.5500000000002</v>
      </c>
      <c r="J340" s="559">
        <f t="shared" si="13"/>
        <v>27450.000000000004</v>
      </c>
      <c r="K340" s="563">
        <f t="shared" si="14"/>
        <v>1070.5500000000002</v>
      </c>
      <c r="L340" s="563">
        <f t="shared" si="12"/>
        <v>1177.6050000000002</v>
      </c>
      <c r="M340" s="563"/>
      <c r="P340" s="559" t="s">
        <v>953</v>
      </c>
    </row>
    <row r="341" spans="4:16" x14ac:dyDescent="0.25">
      <c r="D341" s="559" t="s">
        <v>867</v>
      </c>
      <c r="E341" s="558" t="s">
        <v>1014</v>
      </c>
      <c r="F341" s="559">
        <v>700149</v>
      </c>
      <c r="G341" s="558" t="s">
        <v>945</v>
      </c>
      <c r="H341" s="564">
        <v>40015</v>
      </c>
      <c r="I341" s="563">
        <v>2346.3000000000002</v>
      </c>
      <c r="J341" s="559">
        <f t="shared" si="13"/>
        <v>29700.000000000004</v>
      </c>
      <c r="K341" s="563">
        <f t="shared" si="14"/>
        <v>1158.3000000000002</v>
      </c>
      <c r="L341" s="563">
        <f t="shared" si="12"/>
        <v>1274.1300000000003</v>
      </c>
      <c r="M341" s="563"/>
      <c r="P341" s="559" t="s">
        <v>953</v>
      </c>
    </row>
    <row r="342" spans="4:16" x14ac:dyDescent="0.25">
      <c r="D342" s="559" t="s">
        <v>867</v>
      </c>
      <c r="E342" s="558" t="s">
        <v>1015</v>
      </c>
      <c r="F342" s="559">
        <v>700200</v>
      </c>
      <c r="G342" s="558" t="s">
        <v>945</v>
      </c>
      <c r="H342" s="564">
        <v>40015</v>
      </c>
      <c r="I342" s="563">
        <v>122.45</v>
      </c>
      <c r="J342" s="559">
        <f t="shared" si="13"/>
        <v>1550</v>
      </c>
      <c r="K342" s="563">
        <f t="shared" si="14"/>
        <v>60.45</v>
      </c>
      <c r="L342" s="563">
        <f t="shared" si="12"/>
        <v>66.495000000000005</v>
      </c>
      <c r="M342" s="563"/>
      <c r="P342" s="559" t="s">
        <v>953</v>
      </c>
    </row>
    <row r="343" spans="4:16" x14ac:dyDescent="0.25">
      <c r="D343" s="559" t="s">
        <v>867</v>
      </c>
      <c r="E343" s="558" t="s">
        <v>1016</v>
      </c>
      <c r="F343" s="559">
        <v>700200</v>
      </c>
      <c r="G343" s="558" t="s">
        <v>947</v>
      </c>
      <c r="H343" s="564">
        <v>40015</v>
      </c>
      <c r="I343" s="563">
        <v>5735.4</v>
      </c>
      <c r="J343" s="559">
        <f t="shared" si="13"/>
        <v>72600</v>
      </c>
      <c r="K343" s="563">
        <f t="shared" si="14"/>
        <v>2831.4</v>
      </c>
      <c r="L343" s="563">
        <f t="shared" si="12"/>
        <v>3114.5400000000004</v>
      </c>
      <c r="M343" s="563"/>
      <c r="P343" s="559" t="s">
        <v>953</v>
      </c>
    </row>
    <row r="344" spans="4:16" x14ac:dyDescent="0.25">
      <c r="D344" s="559" t="s">
        <v>867</v>
      </c>
      <c r="E344" s="558" t="s">
        <v>1017</v>
      </c>
      <c r="F344" s="559">
        <v>700201</v>
      </c>
      <c r="G344" s="558" t="s">
        <v>947</v>
      </c>
      <c r="H344" s="564">
        <v>40015</v>
      </c>
      <c r="I344" s="563">
        <v>9543.2000000000007</v>
      </c>
      <c r="J344" s="559">
        <f t="shared" si="13"/>
        <v>120800.00000000001</v>
      </c>
      <c r="K344" s="563">
        <f t="shared" si="14"/>
        <v>4711.2000000000007</v>
      </c>
      <c r="L344" s="563">
        <f t="shared" si="12"/>
        <v>5182.3200000000015</v>
      </c>
      <c r="M344" s="563"/>
      <c r="P344" s="559" t="s">
        <v>953</v>
      </c>
    </row>
    <row r="345" spans="4:16" x14ac:dyDescent="0.25">
      <c r="D345" s="559" t="s">
        <v>867</v>
      </c>
      <c r="E345" s="558" t="s">
        <v>1018</v>
      </c>
      <c r="F345" s="559">
        <v>700014</v>
      </c>
      <c r="G345" s="558" t="s">
        <v>1019</v>
      </c>
      <c r="H345" s="564">
        <v>40015</v>
      </c>
      <c r="I345" s="563">
        <v>6535.65</v>
      </c>
      <c r="J345" s="572">
        <f t="shared" si="13"/>
        <v>82729.746835443031</v>
      </c>
      <c r="K345" s="563">
        <f t="shared" si="14"/>
        <v>3226.460126582278</v>
      </c>
      <c r="L345" s="563">
        <f t="shared" si="12"/>
        <v>3549.1061392405063</v>
      </c>
      <c r="M345" s="563"/>
      <c r="P345" s="559" t="s">
        <v>953</v>
      </c>
    </row>
    <row r="346" spans="4:16" x14ac:dyDescent="0.25">
      <c r="D346" s="559" t="s">
        <v>867</v>
      </c>
      <c r="E346" s="558" t="s">
        <v>1020</v>
      </c>
      <c r="F346" s="559">
        <v>700204</v>
      </c>
      <c r="G346" s="558" t="s">
        <v>824</v>
      </c>
      <c r="H346" s="564">
        <v>40015</v>
      </c>
      <c r="I346" s="563">
        <v>446.35</v>
      </c>
      <c r="J346" s="559">
        <f t="shared" si="13"/>
        <v>5650</v>
      </c>
      <c r="K346" s="563">
        <f t="shared" si="14"/>
        <v>220.35</v>
      </c>
      <c r="L346" s="563">
        <f t="shared" si="12"/>
        <v>242.38500000000002</v>
      </c>
      <c r="M346" s="563"/>
      <c r="P346" s="559" t="s">
        <v>953</v>
      </c>
    </row>
    <row r="347" spans="4:16" x14ac:dyDescent="0.25">
      <c r="D347" s="559" t="s">
        <v>867</v>
      </c>
      <c r="E347" s="558" t="s">
        <v>1021</v>
      </c>
      <c r="F347" s="559">
        <v>700207</v>
      </c>
      <c r="G347" s="558" t="s">
        <v>826</v>
      </c>
      <c r="H347" s="564">
        <v>40015</v>
      </c>
      <c r="I347" s="563">
        <v>272.55</v>
      </c>
      <c r="J347" s="559">
        <f t="shared" si="13"/>
        <v>3450</v>
      </c>
      <c r="K347" s="563">
        <f t="shared" si="14"/>
        <v>134.55000000000001</v>
      </c>
      <c r="L347" s="563">
        <f t="shared" si="12"/>
        <v>148.00500000000002</v>
      </c>
      <c r="M347" s="563"/>
      <c r="P347" s="559" t="s">
        <v>953</v>
      </c>
    </row>
    <row r="348" spans="4:16" x14ac:dyDescent="0.25">
      <c r="D348" s="559" t="s">
        <v>867</v>
      </c>
      <c r="E348" s="558" t="s">
        <v>1022</v>
      </c>
      <c r="F348" s="559">
        <v>701185</v>
      </c>
      <c r="G348" s="558" t="s">
        <v>1023</v>
      </c>
      <c r="H348" s="564">
        <v>40015</v>
      </c>
      <c r="I348" s="563">
        <v>5150.8</v>
      </c>
      <c r="J348" s="559">
        <f t="shared" si="13"/>
        <v>65200</v>
      </c>
      <c r="K348" s="563">
        <f t="shared" si="14"/>
        <v>2542.8000000000002</v>
      </c>
      <c r="L348" s="563">
        <f t="shared" si="12"/>
        <v>2797.0800000000004</v>
      </c>
      <c r="M348" s="563"/>
      <c r="P348" s="559" t="s">
        <v>953</v>
      </c>
    </row>
    <row r="349" spans="4:16" x14ac:dyDescent="0.25">
      <c r="D349" s="559" t="s">
        <v>867</v>
      </c>
      <c r="E349" s="558" t="s">
        <v>1024</v>
      </c>
      <c r="F349" s="559">
        <v>700164</v>
      </c>
      <c r="G349" s="558" t="s">
        <v>847</v>
      </c>
      <c r="H349" s="564">
        <v>40015</v>
      </c>
      <c r="I349" s="563">
        <v>3253.2</v>
      </c>
      <c r="J349" s="572">
        <f t="shared" si="13"/>
        <v>41179.746835443038</v>
      </c>
      <c r="K349" s="563">
        <f t="shared" si="14"/>
        <v>1606.0101265822784</v>
      </c>
      <c r="L349" s="563">
        <f t="shared" si="12"/>
        <v>1766.6111392405064</v>
      </c>
      <c r="M349" s="563"/>
      <c r="P349" s="559" t="s">
        <v>953</v>
      </c>
    </row>
    <row r="350" spans="4:16" x14ac:dyDescent="0.25">
      <c r="D350" s="559" t="s">
        <v>867</v>
      </c>
      <c r="E350" s="558" t="s">
        <v>1025</v>
      </c>
      <c r="F350" s="559">
        <v>700164</v>
      </c>
      <c r="G350" s="558" t="s">
        <v>1026</v>
      </c>
      <c r="H350" s="564">
        <v>40015</v>
      </c>
      <c r="I350" s="563">
        <v>7773.6</v>
      </c>
      <c r="J350" s="559">
        <f t="shared" si="13"/>
        <v>98400</v>
      </c>
      <c r="K350" s="563">
        <f t="shared" si="14"/>
        <v>3837.6</v>
      </c>
      <c r="L350" s="563">
        <f t="shared" si="12"/>
        <v>4221.3600000000006</v>
      </c>
      <c r="M350" s="563"/>
      <c r="P350" s="559" t="s">
        <v>953</v>
      </c>
    </row>
    <row r="351" spans="4:16" x14ac:dyDescent="0.25">
      <c r="D351" s="559" t="s">
        <v>867</v>
      </c>
      <c r="E351" s="558" t="s">
        <v>1027</v>
      </c>
      <c r="F351" s="559">
        <v>701680</v>
      </c>
      <c r="G351" s="558" t="s">
        <v>1026</v>
      </c>
      <c r="H351" s="564">
        <v>40015</v>
      </c>
      <c r="I351" s="563">
        <v>5111.3</v>
      </c>
      <c r="J351" s="559">
        <f t="shared" si="13"/>
        <v>64700</v>
      </c>
      <c r="K351" s="563">
        <f t="shared" si="14"/>
        <v>2523.3000000000002</v>
      </c>
      <c r="L351" s="563">
        <f t="shared" si="12"/>
        <v>2775.6300000000006</v>
      </c>
      <c r="M351" s="563"/>
      <c r="P351" s="559" t="s">
        <v>953</v>
      </c>
    </row>
    <row r="352" spans="4:16" x14ac:dyDescent="0.25">
      <c r="D352" s="559" t="s">
        <v>867</v>
      </c>
      <c r="E352" s="558" t="s">
        <v>1028</v>
      </c>
      <c r="F352" s="559">
        <v>701177</v>
      </c>
      <c r="G352" s="558" t="s">
        <v>1029</v>
      </c>
      <c r="H352" s="564">
        <v>40015</v>
      </c>
      <c r="I352" s="563">
        <v>5609</v>
      </c>
      <c r="J352" s="559">
        <f>+I352/0.079</f>
        <v>71000</v>
      </c>
      <c r="K352" s="563">
        <f>+J352*0.039</f>
        <v>2769</v>
      </c>
      <c r="L352" s="563">
        <f t="shared" si="12"/>
        <v>3045.9</v>
      </c>
      <c r="M352" s="563"/>
      <c r="P352" s="559" t="s">
        <v>953</v>
      </c>
    </row>
    <row r="353" spans="4:16" x14ac:dyDescent="0.25">
      <c r="D353" s="559" t="s">
        <v>867</v>
      </c>
      <c r="E353" s="558" t="s">
        <v>1030</v>
      </c>
      <c r="F353" s="559">
        <v>701075</v>
      </c>
      <c r="G353" s="558" t="s">
        <v>1029</v>
      </c>
      <c r="H353" s="564">
        <v>40015</v>
      </c>
      <c r="I353" s="563">
        <v>7137.65</v>
      </c>
      <c r="J353" s="559">
        <f>+I353/0.079</f>
        <v>90350</v>
      </c>
      <c r="K353" s="563">
        <f>+J353*0.039</f>
        <v>3523.65</v>
      </c>
      <c r="L353" s="563">
        <f>+K353*1.1</f>
        <v>3876.0150000000003</v>
      </c>
      <c r="M353" s="563"/>
      <c r="P353" s="559" t="s">
        <v>953</v>
      </c>
    </row>
    <row r="354" spans="4:16" x14ac:dyDescent="0.25">
      <c r="D354" s="559" t="s">
        <v>867</v>
      </c>
      <c r="E354" s="558" t="s">
        <v>1031</v>
      </c>
      <c r="F354" s="559">
        <v>700162</v>
      </c>
      <c r="G354" s="558" t="s">
        <v>857</v>
      </c>
      <c r="H354" s="564">
        <v>40015</v>
      </c>
      <c r="I354" s="563">
        <v>23162.799999999999</v>
      </c>
      <c r="J354" s="559">
        <f>+I354/0.079</f>
        <v>293200</v>
      </c>
      <c r="K354" s="563">
        <f>+J354*0.039</f>
        <v>11434.8</v>
      </c>
      <c r="L354" s="563">
        <f>+K354*1.1</f>
        <v>12578.28</v>
      </c>
      <c r="M354" s="563"/>
      <c r="P354" s="559" t="s">
        <v>953</v>
      </c>
    </row>
    <row r="355" spans="4:16" x14ac:dyDescent="0.25">
      <c r="D355" s="559" t="s">
        <v>867</v>
      </c>
      <c r="E355" s="558" t="s">
        <v>1032</v>
      </c>
      <c r="F355" s="559">
        <v>701150</v>
      </c>
      <c r="G355" s="558" t="s">
        <v>1033</v>
      </c>
      <c r="H355" s="564">
        <v>40015</v>
      </c>
      <c r="I355" s="563">
        <v>216.45</v>
      </c>
      <c r="J355" s="572">
        <f>+I355/0.079</f>
        <v>2739.8734177215188</v>
      </c>
      <c r="K355" s="563">
        <f>+J355*0.039</f>
        <v>106.85506329113923</v>
      </c>
      <c r="L355" s="563">
        <f>+K355*1.1</f>
        <v>117.54056962025317</v>
      </c>
      <c r="M355" s="563"/>
      <c r="P355" s="559" t="s">
        <v>953</v>
      </c>
    </row>
    <row r="356" spans="4:16" x14ac:dyDescent="0.25">
      <c r="I356" s="563">
        <f>SUM(I160:I355)</f>
        <v>1314249.7000000009</v>
      </c>
      <c r="J356" s="571"/>
      <c r="K356" s="563">
        <f>SUM(K160:K355)</f>
        <v>648806.81392405077</v>
      </c>
      <c r="L356" s="563">
        <f>SUM(L160:L355)</f>
        <v>713687.49531645596</v>
      </c>
      <c r="M356" s="563"/>
      <c r="P356" s="559">
        <f>ROWS(P160:P355)</f>
        <v>196</v>
      </c>
    </row>
    <row r="357" spans="4:16" x14ac:dyDescent="0.25">
      <c r="J357" s="571"/>
      <c r="K357" s="563"/>
      <c r="L357" s="563"/>
      <c r="M357" s="563"/>
    </row>
    <row r="359" spans="4:16" x14ac:dyDescent="0.25">
      <c r="I359" s="573" t="s">
        <v>1110</v>
      </c>
      <c r="J359" s="574" t="s">
        <v>1111</v>
      </c>
      <c r="K359" s="574" t="s">
        <v>1112</v>
      </c>
      <c r="L359" s="574" t="s">
        <v>1034</v>
      </c>
      <c r="M359" s="574" t="s">
        <v>1035</v>
      </c>
    </row>
    <row r="360" spans="4:16" x14ac:dyDescent="0.25">
      <c r="D360" s="559" t="s">
        <v>1036</v>
      </c>
      <c r="I360" s="575" t="s">
        <v>1037</v>
      </c>
      <c r="J360" s="576" t="s">
        <v>1038</v>
      </c>
      <c r="K360" s="576" t="s">
        <v>1039</v>
      </c>
      <c r="L360" s="577">
        <v>0.1</v>
      </c>
      <c r="M360" s="578">
        <v>0.1</v>
      </c>
      <c r="N360" s="579"/>
    </row>
    <row r="361" spans="4:16" x14ac:dyDescent="0.25">
      <c r="D361" s="559" t="s">
        <v>867</v>
      </c>
      <c r="E361" s="558">
        <v>100001</v>
      </c>
      <c r="F361" s="559">
        <v>102814</v>
      </c>
      <c r="G361" s="558" t="s">
        <v>1040</v>
      </c>
      <c r="H361" s="564">
        <v>40015</v>
      </c>
      <c r="I361" s="563">
        <v>1519.05</v>
      </c>
      <c r="J361" s="563">
        <v>-585</v>
      </c>
      <c r="K361" s="563">
        <f t="shared" ref="K361:K424" si="15">+I361+J361</f>
        <v>934.05</v>
      </c>
      <c r="L361" s="563">
        <f t="shared" ref="L361:L424" si="16">+K361*1.1</f>
        <v>1027.4549999999999</v>
      </c>
      <c r="M361" s="563">
        <f t="shared" ref="M361:M424" si="17">+I361*1.1</f>
        <v>1670.9550000000002</v>
      </c>
      <c r="N361" s="580"/>
      <c r="O361" s="558"/>
      <c r="P361" s="581"/>
    </row>
    <row r="362" spans="4:16" x14ac:dyDescent="0.25">
      <c r="D362" s="559" t="s">
        <v>867</v>
      </c>
      <c r="E362" s="558">
        <v>100002</v>
      </c>
      <c r="F362" s="559">
        <v>102213</v>
      </c>
      <c r="G362" s="558" t="s">
        <v>1040</v>
      </c>
      <c r="H362" s="564">
        <v>40015</v>
      </c>
      <c r="I362" s="563">
        <v>1431.3</v>
      </c>
      <c r="J362" s="563">
        <v>-585</v>
      </c>
      <c r="K362" s="563">
        <f t="shared" si="15"/>
        <v>846.3</v>
      </c>
      <c r="L362" s="563">
        <f t="shared" si="16"/>
        <v>930.93000000000006</v>
      </c>
      <c r="M362" s="563">
        <f t="shared" si="17"/>
        <v>1574.43</v>
      </c>
      <c r="N362" s="580"/>
      <c r="O362" s="558"/>
      <c r="P362" s="564"/>
    </row>
    <row r="363" spans="4:16" x14ac:dyDescent="0.25">
      <c r="D363" s="559" t="s">
        <v>867</v>
      </c>
      <c r="E363" s="558">
        <v>100003</v>
      </c>
      <c r="F363" s="559">
        <v>100368</v>
      </c>
      <c r="G363" s="558" t="s">
        <v>1040</v>
      </c>
      <c r="H363" s="564">
        <v>40015</v>
      </c>
      <c r="I363" s="563">
        <v>2154.75</v>
      </c>
      <c r="J363" s="563">
        <v>-585</v>
      </c>
      <c r="K363" s="563">
        <f t="shared" si="15"/>
        <v>1569.75</v>
      </c>
      <c r="L363" s="563">
        <f t="shared" si="16"/>
        <v>1726.7250000000001</v>
      </c>
      <c r="M363" s="563">
        <f t="shared" si="17"/>
        <v>2370.2250000000004</v>
      </c>
      <c r="N363" s="580"/>
      <c r="O363" s="558"/>
      <c r="P363" s="564"/>
    </row>
    <row r="364" spans="4:16" x14ac:dyDescent="0.25">
      <c r="D364" s="559" t="s">
        <v>867</v>
      </c>
      <c r="E364" s="558">
        <v>100004</v>
      </c>
      <c r="F364" s="559">
        <v>101147</v>
      </c>
      <c r="G364" s="558" t="s">
        <v>1040</v>
      </c>
      <c r="H364" s="564">
        <v>40015</v>
      </c>
      <c r="I364" s="563">
        <v>152.1</v>
      </c>
      <c r="J364" s="563">
        <v>-152.1</v>
      </c>
      <c r="K364" s="582">
        <f t="shared" si="15"/>
        <v>0</v>
      </c>
      <c r="L364" s="563">
        <f t="shared" si="16"/>
        <v>0</v>
      </c>
      <c r="M364" s="563">
        <f t="shared" si="17"/>
        <v>167.31</v>
      </c>
      <c r="N364" s="580"/>
    </row>
    <row r="365" spans="4:16" x14ac:dyDescent="0.25">
      <c r="D365" s="559" t="s">
        <v>867</v>
      </c>
      <c r="E365" s="558">
        <v>100005</v>
      </c>
      <c r="F365" s="559">
        <v>102587</v>
      </c>
      <c r="G365" s="558" t="s">
        <v>1041</v>
      </c>
      <c r="H365" s="564">
        <v>40015</v>
      </c>
      <c r="I365" s="563">
        <v>1643.85</v>
      </c>
      <c r="J365" s="563">
        <v>-585</v>
      </c>
      <c r="K365" s="582">
        <f t="shared" si="15"/>
        <v>1058.8499999999999</v>
      </c>
      <c r="L365" s="563">
        <f t="shared" si="16"/>
        <v>1164.7349999999999</v>
      </c>
      <c r="M365" s="563">
        <f t="shared" si="17"/>
        <v>1808.2350000000001</v>
      </c>
      <c r="N365" s="580"/>
    </row>
    <row r="366" spans="4:16" x14ac:dyDescent="0.25">
      <c r="D366" s="559" t="s">
        <v>867</v>
      </c>
      <c r="E366" s="558">
        <v>100006</v>
      </c>
      <c r="F366" s="559">
        <v>101351</v>
      </c>
      <c r="G366" s="558" t="s">
        <v>1041</v>
      </c>
      <c r="H366" s="564">
        <v>40015</v>
      </c>
      <c r="I366" s="563">
        <v>934.05</v>
      </c>
      <c r="J366" s="563">
        <v>-585</v>
      </c>
      <c r="K366" s="563">
        <f t="shared" si="15"/>
        <v>349.04999999999995</v>
      </c>
      <c r="L366" s="563">
        <f t="shared" si="16"/>
        <v>383.95499999999998</v>
      </c>
      <c r="M366" s="563">
        <f t="shared" si="17"/>
        <v>1027.4549999999999</v>
      </c>
      <c r="N366" s="580"/>
      <c r="O366" s="558"/>
      <c r="P366" s="564"/>
    </row>
    <row r="367" spans="4:16" x14ac:dyDescent="0.25">
      <c r="D367" s="559" t="s">
        <v>867</v>
      </c>
      <c r="E367" s="558">
        <v>100007</v>
      </c>
      <c r="F367" s="559">
        <v>101350</v>
      </c>
      <c r="G367" s="558" t="s">
        <v>1041</v>
      </c>
      <c r="H367" s="564">
        <v>40015</v>
      </c>
      <c r="I367" s="563">
        <v>4598.1000000000004</v>
      </c>
      <c r="J367" s="563">
        <v>-585</v>
      </c>
      <c r="K367" s="563">
        <f t="shared" si="15"/>
        <v>4013.1000000000004</v>
      </c>
      <c r="L367" s="563">
        <f t="shared" si="16"/>
        <v>4414.4100000000008</v>
      </c>
      <c r="M367" s="563">
        <f t="shared" si="17"/>
        <v>5057.9100000000008</v>
      </c>
      <c r="N367" s="580"/>
      <c r="O367" s="558"/>
      <c r="P367" s="564"/>
    </row>
    <row r="368" spans="4:16" x14ac:dyDescent="0.25">
      <c r="D368" s="559" t="s">
        <v>867</v>
      </c>
      <c r="E368" s="558">
        <v>100008</v>
      </c>
      <c r="F368" s="559">
        <v>101655</v>
      </c>
      <c r="G368" s="558" t="s">
        <v>1041</v>
      </c>
      <c r="H368" s="564">
        <v>40015</v>
      </c>
      <c r="I368" s="563">
        <v>1556.1</v>
      </c>
      <c r="J368" s="563">
        <v>-585</v>
      </c>
      <c r="K368" s="563">
        <f t="shared" si="15"/>
        <v>971.09999999999991</v>
      </c>
      <c r="L368" s="563">
        <f t="shared" si="16"/>
        <v>1068.21</v>
      </c>
      <c r="M368" s="563">
        <f t="shared" si="17"/>
        <v>1711.71</v>
      </c>
      <c r="N368" s="580"/>
      <c r="O368" s="558"/>
      <c r="P368" s="564"/>
    </row>
    <row r="369" spans="4:16" x14ac:dyDescent="0.25">
      <c r="D369" s="559" t="s">
        <v>867</v>
      </c>
      <c r="E369" s="558">
        <v>100009</v>
      </c>
      <c r="F369" s="559">
        <v>100319</v>
      </c>
      <c r="G369" s="558" t="s">
        <v>1041</v>
      </c>
      <c r="H369" s="564">
        <v>40015</v>
      </c>
      <c r="I369" s="563">
        <v>1483.95</v>
      </c>
      <c r="J369" s="563">
        <v>-585</v>
      </c>
      <c r="K369" s="563">
        <f t="shared" si="15"/>
        <v>898.95</v>
      </c>
      <c r="L369" s="563">
        <f t="shared" si="16"/>
        <v>988.84500000000014</v>
      </c>
      <c r="M369" s="563">
        <f t="shared" si="17"/>
        <v>1632.3450000000003</v>
      </c>
      <c r="N369" s="580"/>
      <c r="O369" s="558"/>
      <c r="P369" s="564"/>
    </row>
    <row r="370" spans="4:16" x14ac:dyDescent="0.25">
      <c r="D370" s="559" t="s">
        <v>867</v>
      </c>
      <c r="E370" s="558">
        <v>100010</v>
      </c>
      <c r="F370" s="559">
        <v>100417</v>
      </c>
      <c r="G370" s="558" t="s">
        <v>1042</v>
      </c>
      <c r="H370" s="564">
        <v>40015</v>
      </c>
      <c r="I370" s="563">
        <v>4356.3</v>
      </c>
      <c r="J370" s="563">
        <v>-585</v>
      </c>
      <c r="K370" s="563">
        <f t="shared" si="15"/>
        <v>3771.3</v>
      </c>
      <c r="L370" s="563">
        <f t="shared" si="16"/>
        <v>4148.43</v>
      </c>
      <c r="M370" s="563">
        <f t="shared" si="17"/>
        <v>4791.93</v>
      </c>
      <c r="N370" s="580"/>
      <c r="O370" s="558"/>
      <c r="P370" s="564"/>
    </row>
    <row r="371" spans="4:16" x14ac:dyDescent="0.25">
      <c r="D371" s="559" t="s">
        <v>867</v>
      </c>
      <c r="E371" s="558">
        <v>100011</v>
      </c>
      <c r="F371" s="559">
        <v>100421</v>
      </c>
      <c r="G371" s="558" t="s">
        <v>1042</v>
      </c>
      <c r="H371" s="564">
        <v>40015</v>
      </c>
      <c r="I371" s="563">
        <v>273</v>
      </c>
      <c r="J371" s="563">
        <v>-273</v>
      </c>
      <c r="K371" s="563">
        <f t="shared" si="15"/>
        <v>0</v>
      </c>
      <c r="L371" s="563">
        <f t="shared" si="16"/>
        <v>0</v>
      </c>
      <c r="M371" s="563">
        <f t="shared" si="17"/>
        <v>300.3</v>
      </c>
      <c r="N371" s="580"/>
      <c r="O371" s="558"/>
      <c r="P371" s="564"/>
    </row>
    <row r="372" spans="4:16" x14ac:dyDescent="0.25">
      <c r="D372" s="559" t="s">
        <v>867</v>
      </c>
      <c r="E372" s="558">
        <v>100012</v>
      </c>
      <c r="F372" s="559">
        <v>100440</v>
      </c>
      <c r="G372" s="558" t="s">
        <v>1042</v>
      </c>
      <c r="H372" s="564">
        <v>40015</v>
      </c>
      <c r="I372" s="563">
        <v>2730</v>
      </c>
      <c r="J372" s="563">
        <v>-585</v>
      </c>
      <c r="K372" s="563">
        <f t="shared" si="15"/>
        <v>2145</v>
      </c>
      <c r="L372" s="563">
        <f t="shared" si="16"/>
        <v>2359.5</v>
      </c>
      <c r="M372" s="563">
        <f t="shared" si="17"/>
        <v>3003.0000000000005</v>
      </c>
      <c r="N372" s="580"/>
      <c r="O372" s="558"/>
      <c r="P372" s="564"/>
    </row>
    <row r="373" spans="4:16" x14ac:dyDescent="0.25">
      <c r="D373" s="559" t="s">
        <v>867</v>
      </c>
      <c r="E373" s="558">
        <v>100013</v>
      </c>
      <c r="F373" s="559">
        <v>100442</v>
      </c>
      <c r="G373" s="558" t="s">
        <v>1042</v>
      </c>
      <c r="H373" s="564">
        <v>40015</v>
      </c>
      <c r="I373" s="563">
        <v>585</v>
      </c>
      <c r="J373" s="563">
        <v>-585</v>
      </c>
      <c r="K373" s="563">
        <f t="shared" si="15"/>
        <v>0</v>
      </c>
      <c r="L373" s="563">
        <f t="shared" si="16"/>
        <v>0</v>
      </c>
      <c r="M373" s="563">
        <f t="shared" si="17"/>
        <v>643.5</v>
      </c>
      <c r="N373" s="580"/>
      <c r="O373" s="558"/>
      <c r="P373" s="564"/>
    </row>
    <row r="374" spans="4:16" x14ac:dyDescent="0.25">
      <c r="D374" s="559" t="s">
        <v>867</v>
      </c>
      <c r="E374" s="558">
        <v>100015</v>
      </c>
      <c r="F374" s="559">
        <v>102053</v>
      </c>
      <c r="G374" s="558" t="s">
        <v>1042</v>
      </c>
      <c r="H374" s="564">
        <v>40015</v>
      </c>
      <c r="I374" s="563">
        <v>928.2</v>
      </c>
      <c r="J374" s="563">
        <v>-585</v>
      </c>
      <c r="K374" s="563">
        <f t="shared" si="15"/>
        <v>343.20000000000005</v>
      </c>
      <c r="L374" s="563">
        <f t="shared" si="16"/>
        <v>377.5200000000001</v>
      </c>
      <c r="M374" s="563">
        <f t="shared" si="17"/>
        <v>1021.0200000000001</v>
      </c>
      <c r="N374" s="580"/>
      <c r="O374" s="558"/>
      <c r="P374" s="564"/>
    </row>
    <row r="375" spans="4:16" x14ac:dyDescent="0.25">
      <c r="D375" s="559" t="s">
        <v>867</v>
      </c>
      <c r="E375" s="558">
        <v>100021</v>
      </c>
      <c r="F375" s="559">
        <v>101776</v>
      </c>
      <c r="G375" s="558" t="s">
        <v>1043</v>
      </c>
      <c r="H375" s="564">
        <v>40015</v>
      </c>
      <c r="I375" s="563">
        <v>2145</v>
      </c>
      <c r="J375" s="563">
        <v>-585</v>
      </c>
      <c r="K375" s="563">
        <f t="shared" si="15"/>
        <v>1560</v>
      </c>
      <c r="L375" s="563">
        <f t="shared" si="16"/>
        <v>1716.0000000000002</v>
      </c>
      <c r="M375" s="563">
        <f t="shared" si="17"/>
        <v>2359.5</v>
      </c>
      <c r="N375" s="580"/>
      <c r="O375" s="558"/>
      <c r="P375" s="564"/>
    </row>
    <row r="376" spans="4:16" x14ac:dyDescent="0.25">
      <c r="D376" s="559" t="s">
        <v>867</v>
      </c>
      <c r="E376" s="558">
        <v>100022</v>
      </c>
      <c r="F376" s="559">
        <v>102827</v>
      </c>
      <c r="G376" s="558" t="s">
        <v>1043</v>
      </c>
      <c r="H376" s="564">
        <v>40015</v>
      </c>
      <c r="I376" s="563">
        <v>3814.2</v>
      </c>
      <c r="J376" s="563">
        <v>-585</v>
      </c>
      <c r="K376" s="563">
        <f t="shared" si="15"/>
        <v>3229.2</v>
      </c>
      <c r="L376" s="563">
        <f t="shared" si="16"/>
        <v>3552.12</v>
      </c>
      <c r="M376" s="563">
        <f t="shared" si="17"/>
        <v>4195.62</v>
      </c>
      <c r="N376" s="580"/>
      <c r="O376" s="558"/>
      <c r="P376" s="564"/>
    </row>
    <row r="377" spans="4:16" x14ac:dyDescent="0.25">
      <c r="D377" s="559" t="s">
        <v>867</v>
      </c>
      <c r="E377" s="558">
        <v>100024</v>
      </c>
      <c r="F377" s="559">
        <v>100391</v>
      </c>
      <c r="G377" s="558" t="s">
        <v>1043</v>
      </c>
      <c r="H377" s="564">
        <v>40015</v>
      </c>
      <c r="I377" s="563">
        <v>99.45</v>
      </c>
      <c r="J377" s="563">
        <v>-99.45</v>
      </c>
      <c r="K377" s="563">
        <f t="shared" si="15"/>
        <v>0</v>
      </c>
      <c r="L377" s="563">
        <f t="shared" si="16"/>
        <v>0</v>
      </c>
      <c r="M377" s="563">
        <f t="shared" si="17"/>
        <v>109.39500000000001</v>
      </c>
      <c r="N377" s="580"/>
      <c r="O377" s="558"/>
      <c r="P377" s="564"/>
    </row>
    <row r="378" spans="4:16" x14ac:dyDescent="0.25">
      <c r="D378" s="559" t="s">
        <v>867</v>
      </c>
      <c r="E378" s="558">
        <v>100026</v>
      </c>
      <c r="F378" s="559">
        <v>100389</v>
      </c>
      <c r="G378" s="558" t="s">
        <v>1043</v>
      </c>
      <c r="H378" s="564">
        <v>40015</v>
      </c>
      <c r="I378" s="563">
        <v>4602</v>
      </c>
      <c r="J378" s="563">
        <v>-585</v>
      </c>
      <c r="K378" s="563">
        <f t="shared" si="15"/>
        <v>4017</v>
      </c>
      <c r="L378" s="563">
        <f t="shared" si="16"/>
        <v>4418.7000000000007</v>
      </c>
      <c r="M378" s="563">
        <f t="shared" si="17"/>
        <v>5062.2000000000007</v>
      </c>
      <c r="N378" s="580"/>
      <c r="O378" s="558"/>
      <c r="P378" s="564"/>
    </row>
    <row r="379" spans="4:16" x14ac:dyDescent="0.25">
      <c r="D379" s="559" t="s">
        <v>867</v>
      </c>
      <c r="E379" s="558">
        <v>100039</v>
      </c>
      <c r="F379" s="559">
        <v>100680</v>
      </c>
      <c r="G379" s="558" t="s">
        <v>868</v>
      </c>
      <c r="H379" s="564">
        <v>40015</v>
      </c>
      <c r="I379" s="563">
        <v>146.25</v>
      </c>
      <c r="J379" s="563">
        <v>-146.25</v>
      </c>
      <c r="K379" s="563">
        <f t="shared" si="15"/>
        <v>0</v>
      </c>
      <c r="L379" s="563">
        <f t="shared" si="16"/>
        <v>0</v>
      </c>
      <c r="M379" s="563">
        <f t="shared" si="17"/>
        <v>160.875</v>
      </c>
      <c r="N379" s="580"/>
      <c r="O379" s="558"/>
      <c r="P379" s="564"/>
    </row>
    <row r="380" spans="4:16" x14ac:dyDescent="0.25">
      <c r="D380" s="559" t="s">
        <v>867</v>
      </c>
      <c r="E380" s="558">
        <v>100040</v>
      </c>
      <c r="F380" s="559">
        <v>101164</v>
      </c>
      <c r="G380" s="558" t="s">
        <v>868</v>
      </c>
      <c r="H380" s="564">
        <v>40015</v>
      </c>
      <c r="I380" s="563">
        <v>2197.65</v>
      </c>
      <c r="J380" s="563">
        <v>-585</v>
      </c>
      <c r="K380" s="563">
        <f t="shared" si="15"/>
        <v>1612.65</v>
      </c>
      <c r="L380" s="563">
        <f t="shared" si="16"/>
        <v>1773.9150000000002</v>
      </c>
      <c r="M380" s="563">
        <f t="shared" si="17"/>
        <v>2417.4150000000004</v>
      </c>
      <c r="N380" s="580"/>
      <c r="O380" s="558"/>
      <c r="P380" s="564"/>
    </row>
    <row r="381" spans="4:16" x14ac:dyDescent="0.25">
      <c r="D381" s="559" t="s">
        <v>867</v>
      </c>
      <c r="E381" s="558">
        <v>100041</v>
      </c>
      <c r="F381" s="559">
        <v>100681</v>
      </c>
      <c r="G381" s="558" t="s">
        <v>868</v>
      </c>
      <c r="H381" s="564">
        <v>40015</v>
      </c>
      <c r="I381" s="563">
        <v>2599.35</v>
      </c>
      <c r="J381" s="563">
        <v>-585</v>
      </c>
      <c r="K381" s="563">
        <f t="shared" si="15"/>
        <v>2014.35</v>
      </c>
      <c r="L381" s="563">
        <f t="shared" si="16"/>
        <v>2215.7849999999999</v>
      </c>
      <c r="M381" s="563">
        <f t="shared" si="17"/>
        <v>2859.2850000000003</v>
      </c>
      <c r="N381" s="580"/>
      <c r="O381" s="558"/>
      <c r="P381" s="564"/>
    </row>
    <row r="382" spans="4:16" x14ac:dyDescent="0.25">
      <c r="D382" s="559" t="s">
        <v>867</v>
      </c>
      <c r="E382" s="558">
        <v>100042</v>
      </c>
      <c r="F382" s="559">
        <v>102799</v>
      </c>
      <c r="G382" s="558" t="s">
        <v>868</v>
      </c>
      <c r="H382" s="564">
        <v>40015</v>
      </c>
      <c r="I382" s="563">
        <v>2730</v>
      </c>
      <c r="J382" s="563">
        <v>-585</v>
      </c>
      <c r="K382" s="563">
        <f t="shared" si="15"/>
        <v>2145</v>
      </c>
      <c r="L382" s="563">
        <f t="shared" si="16"/>
        <v>2359.5</v>
      </c>
      <c r="M382" s="563">
        <f t="shared" si="17"/>
        <v>3003.0000000000005</v>
      </c>
      <c r="N382" s="580"/>
      <c r="O382" s="558"/>
      <c r="P382" s="564"/>
    </row>
    <row r="383" spans="4:16" x14ac:dyDescent="0.25">
      <c r="D383" s="559" t="s">
        <v>867</v>
      </c>
      <c r="E383" s="558">
        <v>100044</v>
      </c>
      <c r="F383" s="559">
        <v>100378</v>
      </c>
      <c r="G383" s="558" t="s">
        <v>1044</v>
      </c>
      <c r="H383" s="564">
        <v>40015</v>
      </c>
      <c r="I383" s="563">
        <v>1482</v>
      </c>
      <c r="J383" s="563">
        <v>-585</v>
      </c>
      <c r="K383" s="563">
        <f t="shared" si="15"/>
        <v>897</v>
      </c>
      <c r="L383" s="563">
        <f t="shared" si="16"/>
        <v>986.7</v>
      </c>
      <c r="M383" s="563">
        <f t="shared" si="17"/>
        <v>1630.2</v>
      </c>
      <c r="N383" s="580"/>
      <c r="O383" s="558"/>
      <c r="P383" s="564"/>
    </row>
    <row r="384" spans="4:16" x14ac:dyDescent="0.25">
      <c r="D384" s="559" t="s">
        <v>867</v>
      </c>
      <c r="E384" s="558">
        <v>100045</v>
      </c>
      <c r="F384" s="559">
        <v>101457</v>
      </c>
      <c r="G384" s="558" t="s">
        <v>1044</v>
      </c>
      <c r="H384" s="564">
        <v>40015</v>
      </c>
      <c r="I384" s="563">
        <v>1600.95</v>
      </c>
      <c r="J384" s="563">
        <v>-585</v>
      </c>
      <c r="K384" s="563">
        <f t="shared" si="15"/>
        <v>1015.95</v>
      </c>
      <c r="L384" s="563">
        <f t="shared" si="16"/>
        <v>1117.5450000000001</v>
      </c>
      <c r="M384" s="563">
        <f t="shared" si="17"/>
        <v>1761.0450000000003</v>
      </c>
      <c r="N384" s="580"/>
      <c r="O384" s="558"/>
      <c r="P384" s="564"/>
    </row>
    <row r="385" spans="4:16" x14ac:dyDescent="0.25">
      <c r="D385" s="559" t="s">
        <v>867</v>
      </c>
      <c r="E385" s="558">
        <v>100046</v>
      </c>
      <c r="F385" s="559">
        <v>100697</v>
      </c>
      <c r="G385" s="558" t="s">
        <v>1044</v>
      </c>
      <c r="H385" s="564">
        <v>40015</v>
      </c>
      <c r="I385" s="563">
        <v>2965.95</v>
      </c>
      <c r="J385" s="563">
        <v>-585</v>
      </c>
      <c r="K385" s="563">
        <f t="shared" si="15"/>
        <v>2380.9499999999998</v>
      </c>
      <c r="L385" s="563">
        <f t="shared" si="16"/>
        <v>2619.0450000000001</v>
      </c>
      <c r="M385" s="563">
        <f t="shared" si="17"/>
        <v>3262.5450000000001</v>
      </c>
      <c r="N385" s="580"/>
      <c r="O385" s="558"/>
      <c r="P385" s="564"/>
    </row>
    <row r="386" spans="4:16" x14ac:dyDescent="0.25">
      <c r="D386" s="559" t="s">
        <v>867</v>
      </c>
      <c r="E386" s="558">
        <v>100050</v>
      </c>
      <c r="F386" s="559">
        <v>102922</v>
      </c>
      <c r="G386" s="558" t="s">
        <v>1044</v>
      </c>
      <c r="H386" s="564">
        <v>40015</v>
      </c>
      <c r="I386" s="563">
        <v>3467.1</v>
      </c>
      <c r="J386" s="563">
        <v>-585</v>
      </c>
      <c r="K386" s="563">
        <f t="shared" si="15"/>
        <v>2882.1</v>
      </c>
      <c r="L386" s="563">
        <f t="shared" si="16"/>
        <v>3170.31</v>
      </c>
      <c r="M386" s="563">
        <f t="shared" si="17"/>
        <v>3813.8100000000004</v>
      </c>
      <c r="N386" s="580"/>
      <c r="O386" s="558"/>
      <c r="P386" s="564"/>
    </row>
    <row r="387" spans="4:16" x14ac:dyDescent="0.25">
      <c r="D387" s="559" t="s">
        <v>867</v>
      </c>
      <c r="E387" s="558">
        <v>100052</v>
      </c>
      <c r="F387" s="559">
        <v>100885</v>
      </c>
      <c r="G387" s="558" t="s">
        <v>1044</v>
      </c>
      <c r="H387" s="564">
        <v>40015</v>
      </c>
      <c r="I387" s="563">
        <v>2453.1</v>
      </c>
      <c r="J387" s="563">
        <v>-585</v>
      </c>
      <c r="K387" s="582">
        <f t="shared" si="15"/>
        <v>1868.1</v>
      </c>
      <c r="L387" s="563">
        <f t="shared" si="16"/>
        <v>2054.91</v>
      </c>
      <c r="M387" s="563">
        <f t="shared" si="17"/>
        <v>2698.4100000000003</v>
      </c>
      <c r="N387" s="580"/>
    </row>
    <row r="388" spans="4:16" x14ac:dyDescent="0.25">
      <c r="D388" s="559" t="s">
        <v>867</v>
      </c>
      <c r="E388" s="558">
        <v>100055</v>
      </c>
      <c r="F388" s="559">
        <v>101118</v>
      </c>
      <c r="G388" s="558" t="s">
        <v>1045</v>
      </c>
      <c r="H388" s="564">
        <v>40015</v>
      </c>
      <c r="I388" s="563">
        <v>571.35</v>
      </c>
      <c r="J388" s="563">
        <v>-571.35</v>
      </c>
      <c r="K388" s="563">
        <f t="shared" si="15"/>
        <v>0</v>
      </c>
      <c r="L388" s="563">
        <f t="shared" si="16"/>
        <v>0</v>
      </c>
      <c r="M388" s="563">
        <f t="shared" si="17"/>
        <v>628.48500000000013</v>
      </c>
      <c r="N388" s="580"/>
      <c r="O388" s="558"/>
      <c r="P388" s="564"/>
    </row>
    <row r="389" spans="4:16" x14ac:dyDescent="0.25">
      <c r="D389" s="559" t="s">
        <v>867</v>
      </c>
      <c r="E389" s="558">
        <v>100056</v>
      </c>
      <c r="F389" s="559">
        <v>100279</v>
      </c>
      <c r="G389" s="558" t="s">
        <v>1045</v>
      </c>
      <c r="H389" s="564">
        <v>40015</v>
      </c>
      <c r="I389" s="563">
        <v>585</v>
      </c>
      <c r="J389" s="563">
        <v>-585</v>
      </c>
      <c r="K389" s="582">
        <f t="shared" si="15"/>
        <v>0</v>
      </c>
      <c r="L389" s="563">
        <f t="shared" si="16"/>
        <v>0</v>
      </c>
      <c r="M389" s="563">
        <f t="shared" si="17"/>
        <v>643.5</v>
      </c>
      <c r="N389" s="580"/>
    </row>
    <row r="390" spans="4:16" x14ac:dyDescent="0.25">
      <c r="D390" s="559" t="s">
        <v>867</v>
      </c>
      <c r="E390" s="558">
        <v>100057</v>
      </c>
      <c r="F390" s="559">
        <v>100689</v>
      </c>
      <c r="G390" s="558" t="s">
        <v>1045</v>
      </c>
      <c r="H390" s="564">
        <v>40015</v>
      </c>
      <c r="I390" s="563">
        <v>2769</v>
      </c>
      <c r="J390" s="563">
        <v>-585</v>
      </c>
      <c r="K390" s="563">
        <f t="shared" si="15"/>
        <v>2184</v>
      </c>
      <c r="L390" s="563">
        <f t="shared" si="16"/>
        <v>2402.4</v>
      </c>
      <c r="M390" s="563">
        <f t="shared" si="17"/>
        <v>3045.9</v>
      </c>
      <c r="N390" s="580"/>
      <c r="O390" s="558"/>
      <c r="P390" s="564"/>
    </row>
    <row r="391" spans="4:16" x14ac:dyDescent="0.25">
      <c r="D391" s="559" t="s">
        <v>867</v>
      </c>
      <c r="E391" s="558">
        <v>100058</v>
      </c>
      <c r="F391" s="559">
        <v>100107</v>
      </c>
      <c r="G391" s="558" t="s">
        <v>1045</v>
      </c>
      <c r="H391" s="564">
        <v>40015</v>
      </c>
      <c r="I391" s="563">
        <v>4719</v>
      </c>
      <c r="J391" s="563">
        <v>-585</v>
      </c>
      <c r="K391" s="563">
        <f t="shared" si="15"/>
        <v>4134</v>
      </c>
      <c r="L391" s="563">
        <f t="shared" si="16"/>
        <v>4547.4000000000005</v>
      </c>
      <c r="M391" s="563">
        <f t="shared" si="17"/>
        <v>5190.9000000000005</v>
      </c>
      <c r="N391" s="580"/>
      <c r="O391" s="558"/>
      <c r="P391" s="564"/>
    </row>
    <row r="392" spans="4:16" x14ac:dyDescent="0.25">
      <c r="D392" s="559" t="s">
        <v>867</v>
      </c>
      <c r="E392" s="558">
        <v>100059</v>
      </c>
      <c r="F392" s="559">
        <v>100458</v>
      </c>
      <c r="G392" s="558" t="s">
        <v>1045</v>
      </c>
      <c r="H392" s="564">
        <v>40015</v>
      </c>
      <c r="I392" s="563">
        <v>1872</v>
      </c>
      <c r="J392" s="563">
        <v>-585</v>
      </c>
      <c r="K392" s="563">
        <f t="shared" si="15"/>
        <v>1287</v>
      </c>
      <c r="L392" s="563">
        <f t="shared" si="16"/>
        <v>1415.7</v>
      </c>
      <c r="M392" s="563">
        <f t="shared" si="17"/>
        <v>2059.2000000000003</v>
      </c>
      <c r="N392" s="580"/>
      <c r="O392" s="558"/>
      <c r="P392" s="564"/>
    </row>
    <row r="393" spans="4:16" x14ac:dyDescent="0.25">
      <c r="D393" s="559" t="s">
        <v>867</v>
      </c>
      <c r="E393" s="558">
        <v>100060</v>
      </c>
      <c r="F393" s="559">
        <v>102941</v>
      </c>
      <c r="G393" s="558" t="s">
        <v>1046</v>
      </c>
      <c r="H393" s="564">
        <v>40015</v>
      </c>
      <c r="I393" s="563">
        <v>3198</v>
      </c>
      <c r="J393" s="563">
        <v>-585</v>
      </c>
      <c r="K393" s="563">
        <f t="shared" si="15"/>
        <v>2613</v>
      </c>
      <c r="L393" s="563">
        <f t="shared" si="16"/>
        <v>2874.3</v>
      </c>
      <c r="M393" s="563">
        <f t="shared" si="17"/>
        <v>3517.8</v>
      </c>
      <c r="N393" s="580"/>
      <c r="O393" s="558"/>
      <c r="P393" s="564"/>
    </row>
    <row r="394" spans="4:16" x14ac:dyDescent="0.25">
      <c r="D394" s="559" t="s">
        <v>867</v>
      </c>
      <c r="E394" s="558">
        <v>100061</v>
      </c>
      <c r="F394" s="559">
        <v>102909</v>
      </c>
      <c r="G394" s="558" t="s">
        <v>1046</v>
      </c>
      <c r="H394" s="564">
        <v>40015</v>
      </c>
      <c r="I394" s="563">
        <v>156</v>
      </c>
      <c r="J394" s="563">
        <v>-156</v>
      </c>
      <c r="K394" s="582">
        <f t="shared" si="15"/>
        <v>0</v>
      </c>
      <c r="L394" s="563">
        <f t="shared" si="16"/>
        <v>0</v>
      </c>
      <c r="M394" s="563">
        <f t="shared" si="17"/>
        <v>171.60000000000002</v>
      </c>
      <c r="N394" s="580"/>
    </row>
    <row r="395" spans="4:16" x14ac:dyDescent="0.25">
      <c r="D395" s="559" t="s">
        <v>867</v>
      </c>
      <c r="E395" s="558">
        <v>100062</v>
      </c>
      <c r="F395" s="559">
        <v>102651</v>
      </c>
      <c r="G395" s="558" t="s">
        <v>1046</v>
      </c>
      <c r="H395" s="564">
        <v>40015</v>
      </c>
      <c r="I395" s="563">
        <v>1294.8</v>
      </c>
      <c r="J395" s="563">
        <v>-585</v>
      </c>
      <c r="K395" s="582">
        <f t="shared" si="15"/>
        <v>709.8</v>
      </c>
      <c r="L395" s="563">
        <f t="shared" si="16"/>
        <v>780.78</v>
      </c>
      <c r="M395" s="563">
        <f t="shared" si="17"/>
        <v>1424.28</v>
      </c>
      <c r="N395" s="580"/>
    </row>
    <row r="396" spans="4:16" x14ac:dyDescent="0.25">
      <c r="D396" s="559" t="s">
        <v>867</v>
      </c>
      <c r="E396" s="558">
        <v>100063</v>
      </c>
      <c r="F396" s="559">
        <v>100590</v>
      </c>
      <c r="G396" s="558" t="s">
        <v>1046</v>
      </c>
      <c r="H396" s="564">
        <v>40015</v>
      </c>
      <c r="I396" s="563">
        <v>8123.7</v>
      </c>
      <c r="J396" s="563">
        <v>-585</v>
      </c>
      <c r="K396" s="563">
        <f t="shared" si="15"/>
        <v>7538.7</v>
      </c>
      <c r="L396" s="563">
        <f t="shared" si="16"/>
        <v>8292.57</v>
      </c>
      <c r="M396" s="563">
        <f t="shared" si="17"/>
        <v>8936.07</v>
      </c>
      <c r="N396" s="580"/>
      <c r="O396" s="558"/>
      <c r="P396" s="564"/>
    </row>
    <row r="397" spans="4:16" x14ac:dyDescent="0.25">
      <c r="D397" s="559" t="s">
        <v>867</v>
      </c>
      <c r="E397" s="558">
        <v>100064</v>
      </c>
      <c r="F397" s="559">
        <v>100908</v>
      </c>
      <c r="G397" s="558" t="s">
        <v>1046</v>
      </c>
      <c r="H397" s="564">
        <v>40015</v>
      </c>
      <c r="I397" s="563">
        <v>3094.65</v>
      </c>
      <c r="J397" s="563">
        <v>-585</v>
      </c>
      <c r="K397" s="582">
        <f t="shared" si="15"/>
        <v>2509.65</v>
      </c>
      <c r="L397" s="563">
        <f t="shared" si="16"/>
        <v>2760.6150000000002</v>
      </c>
      <c r="M397" s="563">
        <f t="shared" si="17"/>
        <v>3404.1150000000002</v>
      </c>
      <c r="N397" s="580"/>
    </row>
    <row r="398" spans="4:16" x14ac:dyDescent="0.25">
      <c r="D398" s="559" t="s">
        <v>867</v>
      </c>
      <c r="E398" s="558">
        <v>100065</v>
      </c>
      <c r="F398" s="559">
        <v>100901</v>
      </c>
      <c r="G398" s="558" t="s">
        <v>870</v>
      </c>
      <c r="H398" s="564">
        <v>40015</v>
      </c>
      <c r="I398" s="563">
        <v>643.5</v>
      </c>
      <c r="J398" s="563">
        <v>-585</v>
      </c>
      <c r="K398" s="563">
        <f t="shared" si="15"/>
        <v>58.5</v>
      </c>
      <c r="L398" s="563">
        <f t="shared" si="16"/>
        <v>64.350000000000009</v>
      </c>
      <c r="M398" s="563">
        <f t="shared" si="17"/>
        <v>707.85</v>
      </c>
      <c r="N398" s="580"/>
      <c r="O398" s="558"/>
      <c r="P398" s="564"/>
    </row>
    <row r="399" spans="4:16" x14ac:dyDescent="0.25">
      <c r="D399" s="559" t="s">
        <v>867</v>
      </c>
      <c r="E399" s="558">
        <v>100066</v>
      </c>
      <c r="F399" s="559">
        <v>101672</v>
      </c>
      <c r="G399" s="558" t="s">
        <v>870</v>
      </c>
      <c r="H399" s="564">
        <v>40015</v>
      </c>
      <c r="I399" s="563">
        <v>1989</v>
      </c>
      <c r="J399" s="563">
        <v>-585</v>
      </c>
      <c r="K399" s="563">
        <f t="shared" si="15"/>
        <v>1404</v>
      </c>
      <c r="L399" s="563">
        <f t="shared" si="16"/>
        <v>1544.4</v>
      </c>
      <c r="M399" s="563">
        <f t="shared" si="17"/>
        <v>2187.9</v>
      </c>
      <c r="N399" s="580"/>
      <c r="O399" s="558"/>
      <c r="P399" s="564"/>
    </row>
    <row r="400" spans="4:16" x14ac:dyDescent="0.25">
      <c r="D400" s="559" t="s">
        <v>867</v>
      </c>
      <c r="E400" s="558">
        <v>100069</v>
      </c>
      <c r="F400" s="559">
        <v>100876</v>
      </c>
      <c r="G400" s="558" t="s">
        <v>870</v>
      </c>
      <c r="H400" s="564">
        <v>40015</v>
      </c>
      <c r="I400" s="563">
        <v>2445.3000000000002</v>
      </c>
      <c r="J400" s="563">
        <v>-585</v>
      </c>
      <c r="K400" s="563">
        <f t="shared" si="15"/>
        <v>1860.3000000000002</v>
      </c>
      <c r="L400" s="563">
        <f t="shared" si="16"/>
        <v>2046.3300000000004</v>
      </c>
      <c r="M400" s="563">
        <f t="shared" si="17"/>
        <v>2689.8300000000004</v>
      </c>
      <c r="N400" s="580"/>
      <c r="O400" s="558"/>
      <c r="P400" s="564"/>
    </row>
    <row r="401" spans="4:16" x14ac:dyDescent="0.25">
      <c r="D401" s="559" t="s">
        <v>867</v>
      </c>
      <c r="E401" s="558">
        <v>100078</v>
      </c>
      <c r="F401" s="559">
        <v>101042</v>
      </c>
      <c r="G401" s="558" t="s">
        <v>870</v>
      </c>
      <c r="H401" s="564">
        <v>40015</v>
      </c>
      <c r="I401" s="563">
        <v>2129.4</v>
      </c>
      <c r="J401" s="563">
        <v>-585</v>
      </c>
      <c r="K401" s="582">
        <f t="shared" si="15"/>
        <v>1544.4</v>
      </c>
      <c r="L401" s="563">
        <f t="shared" si="16"/>
        <v>1698.8400000000001</v>
      </c>
      <c r="M401" s="563">
        <f t="shared" si="17"/>
        <v>2342.34</v>
      </c>
      <c r="N401" s="580"/>
    </row>
    <row r="402" spans="4:16" x14ac:dyDescent="0.25">
      <c r="D402" s="559" t="s">
        <v>867</v>
      </c>
      <c r="E402" s="558">
        <v>100081</v>
      </c>
      <c r="F402" s="559">
        <v>100109</v>
      </c>
      <c r="G402" s="558" t="s">
        <v>1047</v>
      </c>
      <c r="H402" s="564">
        <v>40015</v>
      </c>
      <c r="I402" s="563">
        <v>2172.3000000000002</v>
      </c>
      <c r="J402" s="563">
        <v>-585</v>
      </c>
      <c r="K402" s="563">
        <f t="shared" si="15"/>
        <v>1587.3000000000002</v>
      </c>
      <c r="L402" s="563">
        <f t="shared" si="16"/>
        <v>1746.0300000000004</v>
      </c>
      <c r="M402" s="563">
        <f t="shared" si="17"/>
        <v>2389.5300000000002</v>
      </c>
      <c r="N402" s="580"/>
      <c r="O402" s="558"/>
      <c r="P402" s="564"/>
    </row>
    <row r="403" spans="4:16" x14ac:dyDescent="0.25">
      <c r="D403" s="559" t="s">
        <v>867</v>
      </c>
      <c r="E403" s="558">
        <v>100093</v>
      </c>
      <c r="F403" s="559">
        <v>102911</v>
      </c>
      <c r="G403" s="558" t="s">
        <v>1047</v>
      </c>
      <c r="H403" s="564">
        <v>40015</v>
      </c>
      <c r="I403" s="563">
        <v>4488.8999999999996</v>
      </c>
      <c r="J403" s="563">
        <v>-585</v>
      </c>
      <c r="K403" s="582">
        <f t="shared" si="15"/>
        <v>3903.8999999999996</v>
      </c>
      <c r="L403" s="563">
        <f t="shared" si="16"/>
        <v>4294.29</v>
      </c>
      <c r="M403" s="563">
        <f t="shared" si="17"/>
        <v>4937.79</v>
      </c>
      <c r="N403" s="580"/>
    </row>
    <row r="404" spans="4:16" x14ac:dyDescent="0.25">
      <c r="D404" s="559" t="s">
        <v>867</v>
      </c>
      <c r="E404" s="558">
        <v>100110</v>
      </c>
      <c r="F404" s="559">
        <v>102890</v>
      </c>
      <c r="G404" s="558" t="s">
        <v>1047</v>
      </c>
      <c r="H404" s="564">
        <v>40015</v>
      </c>
      <c r="I404" s="563">
        <v>760.5</v>
      </c>
      <c r="J404" s="563">
        <v>-585</v>
      </c>
      <c r="K404" s="563">
        <f t="shared" si="15"/>
        <v>175.5</v>
      </c>
      <c r="L404" s="563">
        <f t="shared" si="16"/>
        <v>193.05</v>
      </c>
      <c r="M404" s="563">
        <f t="shared" si="17"/>
        <v>836.55000000000007</v>
      </c>
      <c r="N404" s="580"/>
      <c r="O404" s="558"/>
      <c r="P404" s="564"/>
    </row>
    <row r="405" spans="4:16" x14ac:dyDescent="0.25">
      <c r="D405" s="559" t="s">
        <v>867</v>
      </c>
      <c r="E405" s="558">
        <v>100113</v>
      </c>
      <c r="F405" s="559">
        <v>100889</v>
      </c>
      <c r="G405" s="558" t="s">
        <v>1047</v>
      </c>
      <c r="H405" s="564">
        <v>40015</v>
      </c>
      <c r="I405" s="563">
        <v>2184</v>
      </c>
      <c r="J405" s="563">
        <v>-585</v>
      </c>
      <c r="K405" s="563">
        <f t="shared" si="15"/>
        <v>1599</v>
      </c>
      <c r="L405" s="563">
        <f t="shared" si="16"/>
        <v>1758.9</v>
      </c>
      <c r="M405" s="563">
        <f t="shared" si="17"/>
        <v>2402.4</v>
      </c>
      <c r="N405" s="580"/>
      <c r="O405" s="558"/>
      <c r="P405" s="564"/>
    </row>
    <row r="406" spans="4:16" x14ac:dyDescent="0.25">
      <c r="D406" s="559" t="s">
        <v>867</v>
      </c>
      <c r="E406" s="558">
        <v>100114</v>
      </c>
      <c r="F406" s="559">
        <v>101340</v>
      </c>
      <c r="G406" s="558" t="s">
        <v>1047</v>
      </c>
      <c r="H406" s="564">
        <v>40015</v>
      </c>
      <c r="I406" s="563">
        <v>3474.9</v>
      </c>
      <c r="J406" s="563">
        <v>-585</v>
      </c>
      <c r="K406" s="563">
        <f t="shared" si="15"/>
        <v>2889.9</v>
      </c>
      <c r="L406" s="563">
        <f t="shared" si="16"/>
        <v>3178.8900000000003</v>
      </c>
      <c r="M406" s="563">
        <f t="shared" si="17"/>
        <v>3822.3900000000003</v>
      </c>
      <c r="N406" s="580"/>
      <c r="O406" s="558"/>
      <c r="P406" s="564"/>
    </row>
    <row r="407" spans="4:16" x14ac:dyDescent="0.25">
      <c r="D407" s="559" t="s">
        <v>867</v>
      </c>
      <c r="E407" s="558">
        <v>100115</v>
      </c>
      <c r="F407" s="559">
        <v>100393</v>
      </c>
      <c r="G407" s="558" t="s">
        <v>1048</v>
      </c>
      <c r="H407" s="564">
        <v>40015</v>
      </c>
      <c r="I407" s="563">
        <v>1873.95</v>
      </c>
      <c r="J407" s="563">
        <v>-585</v>
      </c>
      <c r="K407" s="563">
        <f t="shared" si="15"/>
        <v>1288.95</v>
      </c>
      <c r="L407" s="563">
        <f t="shared" si="16"/>
        <v>1417.8450000000003</v>
      </c>
      <c r="M407" s="563">
        <f t="shared" si="17"/>
        <v>2061.3450000000003</v>
      </c>
      <c r="N407" s="580"/>
      <c r="O407" s="558"/>
      <c r="P407" s="564"/>
    </row>
    <row r="408" spans="4:16" x14ac:dyDescent="0.25">
      <c r="D408" s="559" t="s">
        <v>867</v>
      </c>
      <c r="E408" s="558">
        <v>100116</v>
      </c>
      <c r="F408" s="559">
        <v>100909</v>
      </c>
      <c r="G408" s="558" t="s">
        <v>1048</v>
      </c>
      <c r="H408" s="564">
        <v>40015</v>
      </c>
      <c r="I408" s="563">
        <v>468</v>
      </c>
      <c r="J408" s="563">
        <v>-468</v>
      </c>
      <c r="K408" s="563">
        <f t="shared" si="15"/>
        <v>0</v>
      </c>
      <c r="L408" s="563">
        <f t="shared" si="16"/>
        <v>0</v>
      </c>
      <c r="M408" s="563">
        <f t="shared" si="17"/>
        <v>514.80000000000007</v>
      </c>
      <c r="N408" s="580"/>
      <c r="O408" s="558"/>
      <c r="P408" s="564"/>
    </row>
    <row r="409" spans="4:16" x14ac:dyDescent="0.25">
      <c r="D409" s="559" t="s">
        <v>867</v>
      </c>
      <c r="E409" s="558">
        <v>100117</v>
      </c>
      <c r="F409" s="559">
        <v>101673</v>
      </c>
      <c r="G409" s="558" t="s">
        <v>1048</v>
      </c>
      <c r="H409" s="564">
        <v>40015</v>
      </c>
      <c r="I409" s="563">
        <v>565.5</v>
      </c>
      <c r="J409" s="563">
        <v>-565.5</v>
      </c>
      <c r="K409" s="563">
        <f t="shared" si="15"/>
        <v>0</v>
      </c>
      <c r="L409" s="563">
        <f t="shared" si="16"/>
        <v>0</v>
      </c>
      <c r="M409" s="563">
        <f t="shared" si="17"/>
        <v>622.05000000000007</v>
      </c>
      <c r="N409" s="580"/>
      <c r="O409" s="558"/>
      <c r="P409" s="564"/>
    </row>
    <row r="410" spans="4:16" x14ac:dyDescent="0.25">
      <c r="D410" s="559" t="s">
        <v>867</v>
      </c>
      <c r="E410" s="558">
        <v>100118</v>
      </c>
      <c r="F410" s="559">
        <v>102892</v>
      </c>
      <c r="G410" s="558" t="s">
        <v>1048</v>
      </c>
      <c r="H410" s="564">
        <v>40015</v>
      </c>
      <c r="I410" s="563">
        <v>3394.95</v>
      </c>
      <c r="J410" s="563">
        <v>-585</v>
      </c>
      <c r="K410" s="582">
        <f t="shared" si="15"/>
        <v>2809.95</v>
      </c>
      <c r="L410" s="563">
        <f t="shared" si="16"/>
        <v>3090.9450000000002</v>
      </c>
      <c r="M410" s="563">
        <f t="shared" si="17"/>
        <v>3734.4450000000002</v>
      </c>
      <c r="N410" s="580"/>
    </row>
    <row r="411" spans="4:16" x14ac:dyDescent="0.25">
      <c r="D411" s="559" t="s">
        <v>867</v>
      </c>
      <c r="E411" s="558">
        <v>100119</v>
      </c>
      <c r="F411" s="559">
        <v>100506</v>
      </c>
      <c r="G411" s="558" t="s">
        <v>1048</v>
      </c>
      <c r="H411" s="564">
        <v>40015</v>
      </c>
      <c r="I411" s="563">
        <v>79.95</v>
      </c>
      <c r="J411" s="563">
        <v>-79.95</v>
      </c>
      <c r="K411" s="563">
        <f t="shared" si="15"/>
        <v>0</v>
      </c>
      <c r="L411" s="563">
        <f t="shared" si="16"/>
        <v>0</v>
      </c>
      <c r="M411" s="563">
        <f t="shared" si="17"/>
        <v>87.945000000000007</v>
      </c>
      <c r="N411" s="580"/>
      <c r="O411" s="558"/>
      <c r="P411" s="564"/>
    </row>
    <row r="412" spans="4:16" x14ac:dyDescent="0.25">
      <c r="D412" s="559" t="s">
        <v>867</v>
      </c>
      <c r="E412" s="558">
        <v>100120</v>
      </c>
      <c r="F412" s="559">
        <v>101504</v>
      </c>
      <c r="G412" s="558" t="s">
        <v>1049</v>
      </c>
      <c r="H412" s="564">
        <v>40015</v>
      </c>
      <c r="I412" s="563">
        <v>1443</v>
      </c>
      <c r="J412" s="563">
        <v>-585</v>
      </c>
      <c r="K412" s="563">
        <f t="shared" si="15"/>
        <v>858</v>
      </c>
      <c r="L412" s="563">
        <f t="shared" si="16"/>
        <v>943.80000000000007</v>
      </c>
      <c r="M412" s="563">
        <f t="shared" si="17"/>
        <v>1587.3000000000002</v>
      </c>
      <c r="N412" s="580"/>
      <c r="O412" s="558"/>
      <c r="P412" s="564"/>
    </row>
    <row r="413" spans="4:16" x14ac:dyDescent="0.25">
      <c r="D413" s="559" t="s">
        <v>867</v>
      </c>
      <c r="E413" s="558">
        <v>100121</v>
      </c>
      <c r="F413" s="559">
        <v>100424</v>
      </c>
      <c r="G413" s="558" t="s">
        <v>1049</v>
      </c>
      <c r="H413" s="564">
        <v>40015</v>
      </c>
      <c r="I413" s="563">
        <v>1288.95</v>
      </c>
      <c r="J413" s="563">
        <v>-585</v>
      </c>
      <c r="K413" s="563">
        <f t="shared" si="15"/>
        <v>703.95</v>
      </c>
      <c r="L413" s="563">
        <f t="shared" si="16"/>
        <v>774.34500000000014</v>
      </c>
      <c r="M413" s="563">
        <f t="shared" si="17"/>
        <v>1417.8450000000003</v>
      </c>
      <c r="N413" s="580"/>
      <c r="O413" s="558"/>
      <c r="P413" s="564"/>
    </row>
    <row r="414" spans="4:16" x14ac:dyDescent="0.25">
      <c r="D414" s="559" t="s">
        <v>867</v>
      </c>
      <c r="E414" s="558">
        <v>100122</v>
      </c>
      <c r="F414" s="559">
        <v>100505</v>
      </c>
      <c r="G414" s="558" t="s">
        <v>1049</v>
      </c>
      <c r="H414" s="564">
        <v>40015</v>
      </c>
      <c r="I414" s="563">
        <v>79.95</v>
      </c>
      <c r="J414" s="563">
        <v>-79.95</v>
      </c>
      <c r="K414" s="563">
        <f t="shared" si="15"/>
        <v>0</v>
      </c>
      <c r="L414" s="563">
        <f t="shared" si="16"/>
        <v>0</v>
      </c>
      <c r="M414" s="563">
        <f t="shared" si="17"/>
        <v>87.945000000000007</v>
      </c>
      <c r="N414" s="580"/>
      <c r="O414" s="558"/>
      <c r="P414" s="564"/>
    </row>
    <row r="415" spans="4:16" x14ac:dyDescent="0.25">
      <c r="D415" s="559" t="s">
        <v>867</v>
      </c>
      <c r="E415" s="558">
        <v>100123</v>
      </c>
      <c r="F415" s="559">
        <v>100505</v>
      </c>
      <c r="G415" s="558" t="s">
        <v>1049</v>
      </c>
      <c r="H415" s="564">
        <v>40015</v>
      </c>
      <c r="I415" s="563">
        <v>2380.9499999999998</v>
      </c>
      <c r="J415" s="563">
        <v>-585</v>
      </c>
      <c r="K415" s="563">
        <f t="shared" si="15"/>
        <v>1795.9499999999998</v>
      </c>
      <c r="L415" s="563">
        <f t="shared" si="16"/>
        <v>1975.5450000000001</v>
      </c>
      <c r="M415" s="563">
        <f t="shared" si="17"/>
        <v>2619.0450000000001</v>
      </c>
      <c r="N415" s="580"/>
      <c r="O415" s="558"/>
      <c r="P415" s="564"/>
    </row>
    <row r="416" spans="4:16" x14ac:dyDescent="0.25">
      <c r="D416" s="559" t="s">
        <v>867</v>
      </c>
      <c r="E416" s="558">
        <v>100125</v>
      </c>
      <c r="F416" s="559">
        <v>101663</v>
      </c>
      <c r="G416" s="558" t="s">
        <v>1049</v>
      </c>
      <c r="H416" s="564">
        <v>40015</v>
      </c>
      <c r="I416" s="563">
        <v>2341.9499999999998</v>
      </c>
      <c r="J416" s="563">
        <v>-585</v>
      </c>
      <c r="K416" s="563">
        <f t="shared" si="15"/>
        <v>1756.9499999999998</v>
      </c>
      <c r="L416" s="563">
        <f t="shared" si="16"/>
        <v>1932.645</v>
      </c>
      <c r="M416" s="563">
        <f t="shared" si="17"/>
        <v>2576.145</v>
      </c>
      <c r="N416" s="580"/>
      <c r="O416" s="558"/>
      <c r="P416" s="564"/>
    </row>
    <row r="417" spans="4:16" x14ac:dyDescent="0.25">
      <c r="D417" s="559" t="s">
        <v>867</v>
      </c>
      <c r="E417" s="558">
        <v>100126</v>
      </c>
      <c r="F417" s="559">
        <v>102139</v>
      </c>
      <c r="G417" s="558" t="s">
        <v>1050</v>
      </c>
      <c r="H417" s="564">
        <v>40015</v>
      </c>
      <c r="I417" s="563">
        <v>1173.9000000000001</v>
      </c>
      <c r="J417" s="563">
        <v>-585</v>
      </c>
      <c r="K417" s="563">
        <f t="shared" si="15"/>
        <v>588.90000000000009</v>
      </c>
      <c r="L417" s="563">
        <f t="shared" si="16"/>
        <v>647.79000000000019</v>
      </c>
      <c r="M417" s="563">
        <f t="shared" si="17"/>
        <v>1291.2900000000002</v>
      </c>
      <c r="N417" s="580"/>
      <c r="O417" s="558"/>
      <c r="P417" s="564"/>
    </row>
    <row r="418" spans="4:16" x14ac:dyDescent="0.25">
      <c r="D418" s="559" t="s">
        <v>867</v>
      </c>
      <c r="E418" s="558">
        <v>100127</v>
      </c>
      <c r="F418" s="559">
        <v>101176</v>
      </c>
      <c r="G418" s="558" t="s">
        <v>1050</v>
      </c>
      <c r="H418" s="564">
        <v>40015</v>
      </c>
      <c r="I418" s="563">
        <v>4173</v>
      </c>
      <c r="J418" s="563">
        <v>-585</v>
      </c>
      <c r="K418" s="563">
        <f t="shared" si="15"/>
        <v>3588</v>
      </c>
      <c r="L418" s="563">
        <f t="shared" si="16"/>
        <v>3946.8</v>
      </c>
      <c r="M418" s="563">
        <f t="shared" si="17"/>
        <v>4590.3</v>
      </c>
      <c r="N418" s="580"/>
      <c r="O418" s="558"/>
      <c r="P418" s="564"/>
    </row>
    <row r="419" spans="4:16" x14ac:dyDescent="0.25">
      <c r="D419" s="559" t="s">
        <v>867</v>
      </c>
      <c r="E419" s="558">
        <v>100128</v>
      </c>
      <c r="F419" s="559">
        <v>102801</v>
      </c>
      <c r="G419" s="558" t="s">
        <v>1050</v>
      </c>
      <c r="H419" s="564">
        <v>40015</v>
      </c>
      <c r="I419" s="563">
        <v>156</v>
      </c>
      <c r="J419" s="563">
        <v>-156</v>
      </c>
      <c r="K419" s="563">
        <f t="shared" si="15"/>
        <v>0</v>
      </c>
      <c r="L419" s="563">
        <f t="shared" si="16"/>
        <v>0</v>
      </c>
      <c r="M419" s="563">
        <f t="shared" si="17"/>
        <v>171.60000000000002</v>
      </c>
      <c r="N419" s="580"/>
      <c r="O419" s="558"/>
      <c r="P419" s="564"/>
    </row>
    <row r="420" spans="4:16" x14ac:dyDescent="0.25">
      <c r="D420" s="559" t="s">
        <v>867</v>
      </c>
      <c r="E420" s="558">
        <v>100130</v>
      </c>
      <c r="F420" s="559">
        <v>100168</v>
      </c>
      <c r="G420" s="558" t="s">
        <v>1050</v>
      </c>
      <c r="H420" s="564">
        <v>40015</v>
      </c>
      <c r="I420" s="563">
        <v>2652</v>
      </c>
      <c r="J420" s="563">
        <v>-585</v>
      </c>
      <c r="K420" s="563">
        <f t="shared" si="15"/>
        <v>2067</v>
      </c>
      <c r="L420" s="563">
        <f t="shared" si="16"/>
        <v>2273.7000000000003</v>
      </c>
      <c r="M420" s="563">
        <f t="shared" si="17"/>
        <v>2917.2000000000003</v>
      </c>
      <c r="N420" s="580"/>
      <c r="O420" s="558"/>
      <c r="P420" s="564"/>
    </row>
    <row r="421" spans="4:16" x14ac:dyDescent="0.25">
      <c r="D421" s="559" t="s">
        <v>867</v>
      </c>
      <c r="E421" s="558">
        <v>100132</v>
      </c>
      <c r="F421" s="559">
        <v>100299</v>
      </c>
      <c r="G421" s="558" t="s">
        <v>1050</v>
      </c>
      <c r="H421" s="564">
        <v>40015</v>
      </c>
      <c r="I421" s="563">
        <v>4407</v>
      </c>
      <c r="J421" s="563">
        <v>-585</v>
      </c>
      <c r="K421" s="582">
        <f t="shared" si="15"/>
        <v>3822</v>
      </c>
      <c r="L421" s="563">
        <f t="shared" si="16"/>
        <v>4204.2000000000007</v>
      </c>
      <c r="M421" s="563">
        <f t="shared" si="17"/>
        <v>4847.7000000000007</v>
      </c>
      <c r="N421" s="580"/>
    </row>
    <row r="422" spans="4:16" x14ac:dyDescent="0.25">
      <c r="D422" s="559" t="s">
        <v>867</v>
      </c>
      <c r="E422" s="558">
        <v>100133</v>
      </c>
      <c r="F422" s="559">
        <v>302455</v>
      </c>
      <c r="G422" s="558" t="s">
        <v>2075</v>
      </c>
      <c r="H422" s="564">
        <v>40015</v>
      </c>
      <c r="I422" s="563">
        <v>1599</v>
      </c>
      <c r="J422" s="563">
        <v>-585</v>
      </c>
      <c r="K422" s="582">
        <f t="shared" si="15"/>
        <v>1014</v>
      </c>
      <c r="L422" s="563">
        <f t="shared" si="16"/>
        <v>1115.4000000000001</v>
      </c>
      <c r="M422" s="563">
        <f t="shared" si="17"/>
        <v>1758.9</v>
      </c>
      <c r="N422" s="580"/>
    </row>
    <row r="423" spans="4:16" x14ac:dyDescent="0.25">
      <c r="D423" s="559" t="s">
        <v>867</v>
      </c>
      <c r="E423" s="558">
        <v>100134</v>
      </c>
      <c r="F423" s="559">
        <v>102787</v>
      </c>
      <c r="G423" s="558" t="s">
        <v>2075</v>
      </c>
      <c r="H423" s="564">
        <v>40015</v>
      </c>
      <c r="I423" s="563">
        <v>156</v>
      </c>
      <c r="J423" s="563">
        <v>-156</v>
      </c>
      <c r="K423" s="582">
        <f t="shared" si="15"/>
        <v>0</v>
      </c>
      <c r="L423" s="563">
        <f t="shared" si="16"/>
        <v>0</v>
      </c>
      <c r="M423" s="563">
        <f t="shared" si="17"/>
        <v>171.60000000000002</v>
      </c>
      <c r="N423" s="580"/>
    </row>
    <row r="424" spans="4:16" x14ac:dyDescent="0.25">
      <c r="D424" s="559" t="s">
        <v>867</v>
      </c>
      <c r="E424" s="558">
        <v>100135</v>
      </c>
      <c r="F424" s="559">
        <v>102646</v>
      </c>
      <c r="G424" s="558" t="s">
        <v>2075</v>
      </c>
      <c r="H424" s="564">
        <v>40015</v>
      </c>
      <c r="I424" s="563">
        <v>2847</v>
      </c>
      <c r="J424" s="563">
        <v>-585</v>
      </c>
      <c r="K424" s="582">
        <f t="shared" si="15"/>
        <v>2262</v>
      </c>
      <c r="L424" s="563">
        <f t="shared" si="16"/>
        <v>2488.2000000000003</v>
      </c>
      <c r="M424" s="563">
        <f t="shared" si="17"/>
        <v>3131.7000000000003</v>
      </c>
      <c r="N424" s="580"/>
    </row>
    <row r="425" spans="4:16" x14ac:dyDescent="0.25">
      <c r="D425" s="559" t="s">
        <v>867</v>
      </c>
      <c r="E425" s="558">
        <v>100136</v>
      </c>
      <c r="F425" s="559">
        <v>100690</v>
      </c>
      <c r="G425" s="558" t="s">
        <v>2075</v>
      </c>
      <c r="H425" s="564">
        <v>40015</v>
      </c>
      <c r="I425" s="563">
        <v>78</v>
      </c>
      <c r="J425" s="563">
        <v>-78</v>
      </c>
      <c r="K425" s="582">
        <f t="shared" ref="K425:K488" si="18">+I425+J425</f>
        <v>0</v>
      </c>
      <c r="L425" s="563">
        <f t="shared" ref="L425:L488" si="19">+K425*1.1</f>
        <v>0</v>
      </c>
      <c r="M425" s="563">
        <f t="shared" ref="M425:M488" si="20">+I425*1.1</f>
        <v>85.800000000000011</v>
      </c>
      <c r="N425" s="580"/>
    </row>
    <row r="426" spans="4:16" x14ac:dyDescent="0.25">
      <c r="D426" s="559" t="s">
        <v>867</v>
      </c>
      <c r="E426" s="558">
        <v>100137</v>
      </c>
      <c r="F426" s="559">
        <v>102637</v>
      </c>
      <c r="G426" s="558" t="s">
        <v>2075</v>
      </c>
      <c r="H426" s="564">
        <v>40015</v>
      </c>
      <c r="I426" s="563">
        <v>2652</v>
      </c>
      <c r="J426" s="563">
        <v>-585</v>
      </c>
      <c r="K426" s="582">
        <f t="shared" si="18"/>
        <v>2067</v>
      </c>
      <c r="L426" s="563">
        <f t="shared" si="19"/>
        <v>2273.7000000000003</v>
      </c>
      <c r="M426" s="563">
        <f t="shared" si="20"/>
        <v>2917.2000000000003</v>
      </c>
      <c r="N426" s="580"/>
    </row>
    <row r="427" spans="4:16" x14ac:dyDescent="0.25">
      <c r="D427" s="559" t="s">
        <v>867</v>
      </c>
      <c r="E427" s="558">
        <v>100142</v>
      </c>
      <c r="F427" s="559">
        <v>102984</v>
      </c>
      <c r="G427" s="558" t="s">
        <v>1051</v>
      </c>
      <c r="H427" s="564">
        <v>40015</v>
      </c>
      <c r="I427" s="563">
        <v>2262</v>
      </c>
      <c r="J427" s="563">
        <v>-585</v>
      </c>
      <c r="K427" s="582">
        <f t="shared" si="18"/>
        <v>1677</v>
      </c>
      <c r="L427" s="563">
        <f t="shared" si="19"/>
        <v>1844.7</v>
      </c>
      <c r="M427" s="563">
        <f t="shared" si="20"/>
        <v>2488.2000000000003</v>
      </c>
      <c r="N427" s="580"/>
    </row>
    <row r="428" spans="4:16" x14ac:dyDescent="0.25">
      <c r="D428" s="559" t="s">
        <v>867</v>
      </c>
      <c r="E428" s="558">
        <v>100152</v>
      </c>
      <c r="F428" s="559">
        <v>100104</v>
      </c>
      <c r="G428" s="558" t="s">
        <v>1051</v>
      </c>
      <c r="H428" s="564">
        <v>40015</v>
      </c>
      <c r="I428" s="563">
        <v>1023.05</v>
      </c>
      <c r="J428" s="563">
        <v>-585</v>
      </c>
      <c r="K428" s="563">
        <f t="shared" si="18"/>
        <v>438.04999999999995</v>
      </c>
      <c r="L428" s="563">
        <f t="shared" si="19"/>
        <v>481.85499999999996</v>
      </c>
      <c r="M428" s="563">
        <f t="shared" si="20"/>
        <v>1125.355</v>
      </c>
      <c r="N428" s="580"/>
      <c r="O428" s="558"/>
      <c r="P428" s="564"/>
    </row>
    <row r="429" spans="4:16" x14ac:dyDescent="0.25">
      <c r="D429" s="559" t="s">
        <v>867</v>
      </c>
      <c r="E429" s="558">
        <v>100154</v>
      </c>
      <c r="F429" s="559">
        <v>102889</v>
      </c>
      <c r="G429" s="558" t="s">
        <v>1051</v>
      </c>
      <c r="H429" s="564">
        <v>40015</v>
      </c>
      <c r="I429" s="563">
        <v>2962.05</v>
      </c>
      <c r="J429" s="563">
        <v>-585</v>
      </c>
      <c r="K429" s="563">
        <f t="shared" si="18"/>
        <v>2377.0500000000002</v>
      </c>
      <c r="L429" s="563">
        <f t="shared" si="19"/>
        <v>2614.7550000000006</v>
      </c>
      <c r="M429" s="563">
        <f t="shared" si="20"/>
        <v>3258.2550000000006</v>
      </c>
      <c r="N429" s="580"/>
      <c r="O429" s="558"/>
      <c r="P429" s="564"/>
    </row>
    <row r="430" spans="4:16" x14ac:dyDescent="0.25">
      <c r="D430" s="559" t="s">
        <v>867</v>
      </c>
      <c r="E430" s="558">
        <v>100155</v>
      </c>
      <c r="F430" s="559">
        <v>101237</v>
      </c>
      <c r="G430" s="558" t="s">
        <v>1051</v>
      </c>
      <c r="H430" s="564">
        <v>40015</v>
      </c>
      <c r="I430" s="563">
        <v>3118.05</v>
      </c>
      <c r="J430" s="563">
        <v>-585</v>
      </c>
      <c r="K430" s="582">
        <f t="shared" si="18"/>
        <v>2533.0500000000002</v>
      </c>
      <c r="L430" s="563">
        <f t="shared" si="19"/>
        <v>2786.3550000000005</v>
      </c>
      <c r="M430" s="563">
        <f t="shared" si="20"/>
        <v>3429.8550000000005</v>
      </c>
      <c r="N430" s="580"/>
    </row>
    <row r="431" spans="4:16" x14ac:dyDescent="0.25">
      <c r="D431" s="559" t="s">
        <v>867</v>
      </c>
      <c r="E431" s="558">
        <v>100156</v>
      </c>
      <c r="F431" s="559">
        <v>100062</v>
      </c>
      <c r="G431" s="558" t="s">
        <v>1051</v>
      </c>
      <c r="H431" s="564">
        <v>40015</v>
      </c>
      <c r="I431" s="563">
        <v>3313.05</v>
      </c>
      <c r="J431" s="563">
        <v>-585</v>
      </c>
      <c r="K431" s="582">
        <f t="shared" si="18"/>
        <v>2728.05</v>
      </c>
      <c r="L431" s="563">
        <f t="shared" si="19"/>
        <v>3000.8550000000005</v>
      </c>
      <c r="M431" s="563">
        <f t="shared" si="20"/>
        <v>3644.3550000000005</v>
      </c>
      <c r="N431" s="580"/>
    </row>
    <row r="432" spans="4:16" x14ac:dyDescent="0.25">
      <c r="D432" s="559" t="s">
        <v>867</v>
      </c>
      <c r="E432" s="558">
        <v>100157</v>
      </c>
      <c r="F432" s="559">
        <v>100844</v>
      </c>
      <c r="G432" s="558" t="s">
        <v>1052</v>
      </c>
      <c r="H432" s="564">
        <v>40015</v>
      </c>
      <c r="I432" s="563">
        <v>2143.0500000000002</v>
      </c>
      <c r="J432" s="563">
        <v>-585</v>
      </c>
      <c r="K432" s="582">
        <f t="shared" si="18"/>
        <v>1558.0500000000002</v>
      </c>
      <c r="L432" s="563">
        <f t="shared" si="19"/>
        <v>1713.8550000000002</v>
      </c>
      <c r="M432" s="563">
        <f t="shared" si="20"/>
        <v>2357.3550000000005</v>
      </c>
      <c r="N432" s="580"/>
    </row>
    <row r="433" spans="4:16" x14ac:dyDescent="0.25">
      <c r="D433" s="559" t="s">
        <v>867</v>
      </c>
      <c r="E433" s="558">
        <v>100158</v>
      </c>
      <c r="F433" s="559">
        <v>100837</v>
      </c>
      <c r="G433" s="558" t="s">
        <v>1052</v>
      </c>
      <c r="H433" s="564">
        <v>40015</v>
      </c>
      <c r="I433" s="563">
        <v>154.05000000000001</v>
      </c>
      <c r="J433" s="563">
        <v>-154.05000000000001</v>
      </c>
      <c r="K433" s="582">
        <f t="shared" si="18"/>
        <v>0</v>
      </c>
      <c r="L433" s="563">
        <f t="shared" si="19"/>
        <v>0</v>
      </c>
      <c r="M433" s="563">
        <f t="shared" si="20"/>
        <v>169.45500000000001</v>
      </c>
      <c r="N433" s="580"/>
    </row>
    <row r="434" spans="4:16" x14ac:dyDescent="0.25">
      <c r="D434" s="559" t="s">
        <v>867</v>
      </c>
      <c r="E434" s="558">
        <v>100159</v>
      </c>
      <c r="F434" s="559">
        <v>101964</v>
      </c>
      <c r="G434" s="558" t="s">
        <v>1052</v>
      </c>
      <c r="H434" s="564">
        <v>40015</v>
      </c>
      <c r="I434" s="563">
        <v>154.05000000000001</v>
      </c>
      <c r="J434" s="563">
        <v>-154.05000000000001</v>
      </c>
      <c r="K434" s="582">
        <f t="shared" si="18"/>
        <v>0</v>
      </c>
      <c r="L434" s="563">
        <f t="shared" si="19"/>
        <v>0</v>
      </c>
      <c r="M434" s="563">
        <f t="shared" si="20"/>
        <v>169.45500000000001</v>
      </c>
      <c r="N434" s="580"/>
    </row>
    <row r="435" spans="4:16" x14ac:dyDescent="0.25">
      <c r="D435" s="559" t="s">
        <v>867</v>
      </c>
      <c r="E435" s="558">
        <v>100160</v>
      </c>
      <c r="F435" s="559">
        <v>100868</v>
      </c>
      <c r="G435" s="558" t="s">
        <v>1052</v>
      </c>
      <c r="H435" s="564">
        <v>40015</v>
      </c>
      <c r="I435" s="563">
        <v>850.2</v>
      </c>
      <c r="J435" s="563">
        <v>-585</v>
      </c>
      <c r="K435" s="582">
        <f t="shared" si="18"/>
        <v>265.20000000000005</v>
      </c>
      <c r="L435" s="563">
        <f t="shared" si="19"/>
        <v>291.72000000000008</v>
      </c>
      <c r="M435" s="563">
        <f t="shared" si="20"/>
        <v>935.22000000000014</v>
      </c>
      <c r="N435" s="580"/>
    </row>
    <row r="436" spans="4:16" x14ac:dyDescent="0.25">
      <c r="D436" s="559" t="s">
        <v>867</v>
      </c>
      <c r="E436" s="558">
        <v>100161</v>
      </c>
      <c r="F436" s="559">
        <v>102516</v>
      </c>
      <c r="G436" s="558" t="s">
        <v>1052</v>
      </c>
      <c r="H436" s="564">
        <v>40015</v>
      </c>
      <c r="I436" s="563">
        <v>1363.05</v>
      </c>
      <c r="J436" s="563">
        <v>-585</v>
      </c>
      <c r="K436" s="563">
        <f t="shared" si="18"/>
        <v>778.05</v>
      </c>
      <c r="L436" s="563">
        <f t="shared" si="19"/>
        <v>855.85500000000002</v>
      </c>
      <c r="M436" s="563">
        <f t="shared" si="20"/>
        <v>1499.355</v>
      </c>
      <c r="N436" s="580"/>
      <c r="O436" s="558"/>
      <c r="P436" s="564"/>
    </row>
    <row r="437" spans="4:16" x14ac:dyDescent="0.25">
      <c r="D437" s="559" t="s">
        <v>867</v>
      </c>
      <c r="E437" s="558">
        <v>100171</v>
      </c>
      <c r="F437" s="559">
        <v>102949</v>
      </c>
      <c r="G437" s="558" t="s">
        <v>1053</v>
      </c>
      <c r="H437" s="564">
        <v>40015</v>
      </c>
      <c r="I437" s="563">
        <v>85.8</v>
      </c>
      <c r="J437" s="563">
        <v>-85.8</v>
      </c>
      <c r="K437" s="582">
        <f t="shared" si="18"/>
        <v>0</v>
      </c>
      <c r="L437" s="563">
        <f t="shared" si="19"/>
        <v>0</v>
      </c>
      <c r="M437" s="563">
        <f t="shared" si="20"/>
        <v>94.38000000000001</v>
      </c>
      <c r="N437" s="580"/>
    </row>
    <row r="438" spans="4:16" x14ac:dyDescent="0.25">
      <c r="D438" s="559" t="s">
        <v>867</v>
      </c>
      <c r="E438" s="558">
        <v>100181</v>
      </c>
      <c r="F438" s="559">
        <v>100910</v>
      </c>
      <c r="G438" s="558" t="s">
        <v>1053</v>
      </c>
      <c r="H438" s="564">
        <v>40015</v>
      </c>
      <c r="I438" s="563">
        <v>2191.8000000000002</v>
      </c>
      <c r="J438" s="563">
        <v>-585</v>
      </c>
      <c r="K438" s="582">
        <f t="shared" si="18"/>
        <v>1606.8000000000002</v>
      </c>
      <c r="L438" s="563">
        <f t="shared" si="19"/>
        <v>1767.4800000000002</v>
      </c>
      <c r="M438" s="563">
        <f t="shared" si="20"/>
        <v>2410.9800000000005</v>
      </c>
      <c r="N438" s="580"/>
    </row>
    <row r="439" spans="4:16" x14ac:dyDescent="0.25">
      <c r="D439" s="559" t="s">
        <v>867</v>
      </c>
      <c r="E439" s="558">
        <v>100191</v>
      </c>
      <c r="F439" s="559">
        <v>102745</v>
      </c>
      <c r="G439" s="558" t="s">
        <v>1053</v>
      </c>
      <c r="H439" s="564">
        <v>40015</v>
      </c>
      <c r="I439" s="563">
        <v>85.8</v>
      </c>
      <c r="J439" s="563">
        <v>-85.8</v>
      </c>
      <c r="K439" s="582">
        <f t="shared" si="18"/>
        <v>0</v>
      </c>
      <c r="L439" s="563">
        <f t="shared" si="19"/>
        <v>0</v>
      </c>
      <c r="M439" s="563">
        <f t="shared" si="20"/>
        <v>94.38000000000001</v>
      </c>
      <c r="N439" s="580"/>
    </row>
    <row r="440" spans="4:16" x14ac:dyDescent="0.25">
      <c r="D440" s="559" t="s">
        <v>867</v>
      </c>
      <c r="E440" s="558">
        <v>100200</v>
      </c>
      <c r="F440" s="559">
        <v>100710</v>
      </c>
      <c r="G440" s="558" t="s">
        <v>1053</v>
      </c>
      <c r="H440" s="564">
        <v>40015</v>
      </c>
      <c r="I440" s="563">
        <v>4141.8</v>
      </c>
      <c r="J440" s="563">
        <v>-585</v>
      </c>
      <c r="K440" s="563">
        <f t="shared" si="18"/>
        <v>3556.8</v>
      </c>
      <c r="L440" s="563">
        <f t="shared" si="19"/>
        <v>3912.4800000000005</v>
      </c>
      <c r="M440" s="563">
        <f t="shared" si="20"/>
        <v>4555.9800000000005</v>
      </c>
      <c r="N440" s="580"/>
      <c r="O440" s="558"/>
      <c r="P440" s="564"/>
    </row>
    <row r="441" spans="4:16" x14ac:dyDescent="0.25">
      <c r="D441" s="559" t="s">
        <v>867</v>
      </c>
      <c r="E441" s="558">
        <v>100201</v>
      </c>
      <c r="F441" s="559">
        <v>101002</v>
      </c>
      <c r="G441" s="558" t="s">
        <v>1053</v>
      </c>
      <c r="H441" s="564">
        <v>40015</v>
      </c>
      <c r="I441" s="563">
        <v>85.8</v>
      </c>
      <c r="J441" s="563">
        <v>-85.8</v>
      </c>
      <c r="K441" s="582">
        <f t="shared" si="18"/>
        <v>0</v>
      </c>
      <c r="L441" s="563">
        <f t="shared" si="19"/>
        <v>0</v>
      </c>
      <c r="M441" s="563">
        <f t="shared" si="20"/>
        <v>94.38000000000001</v>
      </c>
      <c r="N441" s="580"/>
    </row>
    <row r="442" spans="4:16" x14ac:dyDescent="0.25">
      <c r="D442" s="559" t="s">
        <v>867</v>
      </c>
      <c r="E442" s="558">
        <v>100203</v>
      </c>
      <c r="F442" s="559">
        <v>101001</v>
      </c>
      <c r="G442" s="558" t="s">
        <v>952</v>
      </c>
      <c r="H442" s="564">
        <v>40015</v>
      </c>
      <c r="I442" s="563">
        <v>982.8</v>
      </c>
      <c r="J442" s="563">
        <v>-585</v>
      </c>
      <c r="K442" s="582">
        <f t="shared" si="18"/>
        <v>397.79999999999995</v>
      </c>
      <c r="L442" s="563">
        <f t="shared" si="19"/>
        <v>437.58</v>
      </c>
      <c r="M442" s="563">
        <f t="shared" si="20"/>
        <v>1081.08</v>
      </c>
      <c r="N442" s="580"/>
    </row>
    <row r="443" spans="4:16" x14ac:dyDescent="0.25">
      <c r="D443" s="559" t="s">
        <v>867</v>
      </c>
      <c r="E443" s="558">
        <v>100205</v>
      </c>
      <c r="F443" s="559">
        <v>102701</v>
      </c>
      <c r="G443" s="558" t="s">
        <v>952</v>
      </c>
      <c r="H443" s="564">
        <v>40015</v>
      </c>
      <c r="I443" s="563">
        <v>4563</v>
      </c>
      <c r="J443" s="563">
        <v>-585</v>
      </c>
      <c r="K443" s="582">
        <f t="shared" si="18"/>
        <v>3978</v>
      </c>
      <c r="L443" s="563">
        <f t="shared" si="19"/>
        <v>4375.8</v>
      </c>
      <c r="M443" s="563">
        <f t="shared" si="20"/>
        <v>5019.3</v>
      </c>
      <c r="N443" s="580"/>
    </row>
    <row r="444" spans="4:16" x14ac:dyDescent="0.25">
      <c r="D444" s="559" t="s">
        <v>867</v>
      </c>
      <c r="E444" s="558">
        <v>100208</v>
      </c>
      <c r="F444" s="559">
        <v>102813</v>
      </c>
      <c r="G444" s="558" t="s">
        <v>952</v>
      </c>
      <c r="H444" s="564">
        <v>40015</v>
      </c>
      <c r="I444" s="563">
        <v>1388.4</v>
      </c>
      <c r="J444" s="563">
        <v>-585</v>
      </c>
      <c r="K444" s="582">
        <f t="shared" si="18"/>
        <v>803.40000000000009</v>
      </c>
      <c r="L444" s="563">
        <f t="shared" si="19"/>
        <v>883.74000000000012</v>
      </c>
      <c r="M444" s="563">
        <f t="shared" si="20"/>
        <v>1527.2400000000002</v>
      </c>
      <c r="N444" s="580"/>
    </row>
    <row r="445" spans="4:16" x14ac:dyDescent="0.25">
      <c r="D445" s="559" t="s">
        <v>867</v>
      </c>
      <c r="E445" s="558">
        <v>100211</v>
      </c>
      <c r="F445" s="559">
        <v>100700</v>
      </c>
      <c r="G445" s="558" t="s">
        <v>952</v>
      </c>
      <c r="H445" s="564">
        <v>40015</v>
      </c>
      <c r="I445" s="563">
        <v>928.2</v>
      </c>
      <c r="J445" s="563">
        <v>-585</v>
      </c>
      <c r="K445" s="563">
        <f t="shared" si="18"/>
        <v>343.20000000000005</v>
      </c>
      <c r="L445" s="563">
        <f t="shared" si="19"/>
        <v>377.5200000000001</v>
      </c>
      <c r="M445" s="563">
        <f t="shared" si="20"/>
        <v>1021.0200000000001</v>
      </c>
      <c r="N445" s="580"/>
      <c r="O445" s="558"/>
      <c r="P445" s="564"/>
    </row>
    <row r="446" spans="4:16" x14ac:dyDescent="0.25">
      <c r="D446" s="559" t="s">
        <v>867</v>
      </c>
      <c r="E446" s="558">
        <v>100212</v>
      </c>
      <c r="F446" s="559">
        <v>302843</v>
      </c>
      <c r="G446" s="558" t="s">
        <v>954</v>
      </c>
      <c r="H446" s="564">
        <v>40015</v>
      </c>
      <c r="I446" s="563">
        <v>967.2</v>
      </c>
      <c r="J446" s="563">
        <v>-585</v>
      </c>
      <c r="K446" s="582">
        <f t="shared" si="18"/>
        <v>382.20000000000005</v>
      </c>
      <c r="L446" s="563">
        <f t="shared" si="19"/>
        <v>420.42000000000007</v>
      </c>
      <c r="M446" s="563">
        <f t="shared" si="20"/>
        <v>1063.92</v>
      </c>
      <c r="N446" s="580"/>
    </row>
    <row r="447" spans="4:16" x14ac:dyDescent="0.25">
      <c r="D447" s="559" t="s">
        <v>867</v>
      </c>
      <c r="E447" s="558">
        <v>100213</v>
      </c>
      <c r="F447" s="559">
        <v>100701</v>
      </c>
      <c r="G447" s="558" t="s">
        <v>954</v>
      </c>
      <c r="H447" s="564">
        <v>40015</v>
      </c>
      <c r="I447" s="563">
        <v>16.399999999999999</v>
      </c>
      <c r="J447" s="563">
        <v>-16.399999999999999</v>
      </c>
      <c r="K447" s="563">
        <f t="shared" si="18"/>
        <v>0</v>
      </c>
      <c r="L447" s="563">
        <f t="shared" si="19"/>
        <v>0</v>
      </c>
      <c r="M447" s="563">
        <f t="shared" si="20"/>
        <v>18.04</v>
      </c>
      <c r="N447" s="580"/>
      <c r="O447" s="558"/>
      <c r="P447" s="564"/>
    </row>
    <row r="448" spans="4:16" x14ac:dyDescent="0.25">
      <c r="D448" s="559" t="s">
        <v>867</v>
      </c>
      <c r="E448" s="558">
        <v>100214</v>
      </c>
      <c r="F448" s="559">
        <v>101440</v>
      </c>
      <c r="G448" s="558" t="s">
        <v>954</v>
      </c>
      <c r="H448" s="564">
        <v>40015</v>
      </c>
      <c r="I448" s="563">
        <v>1225.4000000000001</v>
      </c>
      <c r="J448" s="563">
        <v>-585</v>
      </c>
      <c r="K448" s="563">
        <f t="shared" si="18"/>
        <v>640.40000000000009</v>
      </c>
      <c r="L448" s="563">
        <f t="shared" si="19"/>
        <v>704.44000000000017</v>
      </c>
      <c r="M448" s="563">
        <f t="shared" si="20"/>
        <v>1347.9400000000003</v>
      </c>
      <c r="N448" s="580"/>
      <c r="O448" s="558"/>
      <c r="P448" s="564"/>
    </row>
    <row r="449" spans="4:16" x14ac:dyDescent="0.25">
      <c r="D449" s="559" t="s">
        <v>867</v>
      </c>
      <c r="E449" s="558">
        <v>100217</v>
      </c>
      <c r="F449" s="559">
        <v>102568</v>
      </c>
      <c r="G449" s="558" t="s">
        <v>954</v>
      </c>
      <c r="H449" s="564">
        <v>40015</v>
      </c>
      <c r="I449" s="563">
        <v>2121.6</v>
      </c>
      <c r="J449" s="563">
        <v>-585</v>
      </c>
      <c r="K449" s="582">
        <f t="shared" si="18"/>
        <v>1536.6</v>
      </c>
      <c r="L449" s="563">
        <f t="shared" si="19"/>
        <v>1690.26</v>
      </c>
      <c r="M449" s="563">
        <f t="shared" si="20"/>
        <v>2333.7600000000002</v>
      </c>
      <c r="N449" s="580"/>
    </row>
    <row r="450" spans="4:16" x14ac:dyDescent="0.25">
      <c r="D450" s="559" t="s">
        <v>867</v>
      </c>
      <c r="E450" s="558">
        <v>100218</v>
      </c>
      <c r="F450" s="559">
        <v>101692</v>
      </c>
      <c r="G450" s="558" t="s">
        <v>954</v>
      </c>
      <c r="H450" s="564">
        <v>40015</v>
      </c>
      <c r="I450" s="563">
        <v>1989</v>
      </c>
      <c r="J450" s="563">
        <v>-585</v>
      </c>
      <c r="K450" s="563">
        <f t="shared" si="18"/>
        <v>1404</v>
      </c>
      <c r="L450" s="563">
        <f t="shared" si="19"/>
        <v>1544.4</v>
      </c>
      <c r="M450" s="563">
        <f t="shared" si="20"/>
        <v>2187.9</v>
      </c>
      <c r="N450" s="580"/>
      <c r="O450" s="558"/>
      <c r="P450" s="564"/>
    </row>
    <row r="451" spans="4:16" x14ac:dyDescent="0.25">
      <c r="D451" s="559" t="s">
        <v>867</v>
      </c>
      <c r="E451" s="558">
        <v>100219</v>
      </c>
      <c r="F451" s="559">
        <v>101975</v>
      </c>
      <c r="G451" s="558" t="s">
        <v>1054</v>
      </c>
      <c r="H451" s="564">
        <v>40015</v>
      </c>
      <c r="I451" s="563">
        <v>1220.7</v>
      </c>
      <c r="J451" s="563">
        <v>-585</v>
      </c>
      <c r="K451" s="563">
        <f t="shared" si="18"/>
        <v>635.70000000000005</v>
      </c>
      <c r="L451" s="563">
        <f t="shared" si="19"/>
        <v>699.2700000000001</v>
      </c>
      <c r="M451" s="563">
        <f t="shared" si="20"/>
        <v>1342.7700000000002</v>
      </c>
      <c r="N451" s="580"/>
      <c r="O451" s="558"/>
      <c r="P451" s="564"/>
    </row>
    <row r="452" spans="4:16" x14ac:dyDescent="0.25">
      <c r="D452" s="559" t="s">
        <v>867</v>
      </c>
      <c r="E452" s="558">
        <v>100221</v>
      </c>
      <c r="F452" s="559">
        <v>102612</v>
      </c>
      <c r="G452" s="558" t="s">
        <v>1054</v>
      </c>
      <c r="H452" s="564">
        <v>40015</v>
      </c>
      <c r="I452" s="563">
        <v>27.3</v>
      </c>
      <c r="J452" s="563">
        <v>-27.3</v>
      </c>
      <c r="K452" s="563">
        <f t="shared" si="18"/>
        <v>0</v>
      </c>
      <c r="L452" s="563">
        <f t="shared" si="19"/>
        <v>0</v>
      </c>
      <c r="M452" s="563">
        <f t="shared" si="20"/>
        <v>30.030000000000005</v>
      </c>
      <c r="N452" s="580"/>
      <c r="O452" s="558"/>
      <c r="P452" s="564"/>
    </row>
    <row r="453" spans="4:16" x14ac:dyDescent="0.25">
      <c r="D453" s="559" t="s">
        <v>867</v>
      </c>
      <c r="E453" s="558">
        <v>100222</v>
      </c>
      <c r="F453" s="559">
        <v>100288</v>
      </c>
      <c r="G453" s="558" t="s">
        <v>1054</v>
      </c>
      <c r="H453" s="564">
        <v>40015</v>
      </c>
      <c r="I453" s="563">
        <v>1236.3</v>
      </c>
      <c r="J453" s="563">
        <v>-585</v>
      </c>
      <c r="K453" s="582">
        <f t="shared" si="18"/>
        <v>651.29999999999995</v>
      </c>
      <c r="L453" s="563">
        <f t="shared" si="19"/>
        <v>716.43000000000006</v>
      </c>
      <c r="M453" s="563">
        <f t="shared" si="20"/>
        <v>1359.93</v>
      </c>
      <c r="N453" s="580"/>
    </row>
    <row r="454" spans="4:16" x14ac:dyDescent="0.25">
      <c r="D454" s="559" t="s">
        <v>867</v>
      </c>
      <c r="E454" s="558">
        <v>100223</v>
      </c>
      <c r="F454" s="559">
        <v>102791</v>
      </c>
      <c r="G454" s="558" t="s">
        <v>1054</v>
      </c>
      <c r="H454" s="564">
        <v>40015</v>
      </c>
      <c r="I454" s="563">
        <v>1002.3</v>
      </c>
      <c r="J454" s="563">
        <v>-585</v>
      </c>
      <c r="K454" s="582">
        <f t="shared" si="18"/>
        <v>417.29999999999995</v>
      </c>
      <c r="L454" s="563">
        <f t="shared" si="19"/>
        <v>459.03</v>
      </c>
      <c r="M454" s="563">
        <f t="shared" si="20"/>
        <v>1102.53</v>
      </c>
      <c r="N454" s="580"/>
    </row>
    <row r="455" spans="4:16" x14ac:dyDescent="0.25">
      <c r="D455" s="559" t="s">
        <v>867</v>
      </c>
      <c r="E455" s="558">
        <v>100224</v>
      </c>
      <c r="F455" s="559">
        <v>102827</v>
      </c>
      <c r="G455" s="558" t="s">
        <v>1054</v>
      </c>
      <c r="H455" s="564">
        <v>40015</v>
      </c>
      <c r="I455" s="563">
        <v>27.3</v>
      </c>
      <c r="J455" s="563">
        <v>-27.3</v>
      </c>
      <c r="K455" s="563">
        <f t="shared" si="18"/>
        <v>0</v>
      </c>
      <c r="L455" s="563">
        <f t="shared" si="19"/>
        <v>0</v>
      </c>
      <c r="M455" s="563">
        <f t="shared" si="20"/>
        <v>30.030000000000005</v>
      </c>
      <c r="N455" s="580"/>
      <c r="O455" s="558"/>
      <c r="P455" s="564"/>
    </row>
    <row r="456" spans="4:16" x14ac:dyDescent="0.25">
      <c r="D456" s="559" t="s">
        <v>867</v>
      </c>
      <c r="E456" s="558">
        <v>100225</v>
      </c>
      <c r="F456" s="559">
        <v>100904</v>
      </c>
      <c r="G456" s="558" t="s">
        <v>4739</v>
      </c>
      <c r="H456" s="564">
        <v>40015</v>
      </c>
      <c r="I456" s="563">
        <v>15.6</v>
      </c>
      <c r="J456" s="563">
        <v>-15.6</v>
      </c>
      <c r="K456" s="582">
        <f t="shared" si="18"/>
        <v>0</v>
      </c>
      <c r="L456" s="563">
        <f t="shared" si="19"/>
        <v>0</v>
      </c>
      <c r="M456" s="563">
        <f t="shared" si="20"/>
        <v>17.16</v>
      </c>
      <c r="N456" s="580"/>
    </row>
    <row r="457" spans="4:16" x14ac:dyDescent="0.25">
      <c r="D457" s="559" t="s">
        <v>867</v>
      </c>
      <c r="E457" s="558">
        <v>100226</v>
      </c>
      <c r="F457" s="559">
        <v>100903</v>
      </c>
      <c r="G457" s="558" t="s">
        <v>4739</v>
      </c>
      <c r="H457" s="564">
        <v>40015</v>
      </c>
      <c r="I457" s="563">
        <v>1029.5999999999999</v>
      </c>
      <c r="J457" s="563">
        <v>-585</v>
      </c>
      <c r="K457" s="582">
        <f t="shared" si="18"/>
        <v>444.59999999999991</v>
      </c>
      <c r="L457" s="563">
        <f t="shared" si="19"/>
        <v>489.05999999999995</v>
      </c>
      <c r="M457" s="563">
        <f t="shared" si="20"/>
        <v>1132.56</v>
      </c>
      <c r="N457" s="580"/>
    </row>
    <row r="458" spans="4:16" x14ac:dyDescent="0.25">
      <c r="D458" s="559" t="s">
        <v>867</v>
      </c>
      <c r="E458" s="558">
        <v>100227</v>
      </c>
      <c r="F458" s="559">
        <v>100941</v>
      </c>
      <c r="G458" s="558" t="s">
        <v>4739</v>
      </c>
      <c r="H458" s="564">
        <v>40015</v>
      </c>
      <c r="I458" s="563">
        <v>1236.3</v>
      </c>
      <c r="J458" s="563">
        <v>-585</v>
      </c>
      <c r="K458" s="582">
        <f t="shared" si="18"/>
        <v>651.29999999999995</v>
      </c>
      <c r="L458" s="563">
        <f t="shared" si="19"/>
        <v>716.43000000000006</v>
      </c>
      <c r="M458" s="563">
        <f t="shared" si="20"/>
        <v>1359.93</v>
      </c>
      <c r="N458" s="580"/>
    </row>
    <row r="459" spans="4:16" x14ac:dyDescent="0.25">
      <c r="D459" s="559" t="s">
        <v>867</v>
      </c>
      <c r="E459" s="558">
        <v>100228</v>
      </c>
      <c r="F459" s="559">
        <v>101049</v>
      </c>
      <c r="G459" s="558" t="s">
        <v>4739</v>
      </c>
      <c r="H459" s="564">
        <v>40015</v>
      </c>
      <c r="I459" s="563">
        <v>1236.3</v>
      </c>
      <c r="J459" s="563">
        <v>-585</v>
      </c>
      <c r="K459" s="582">
        <f t="shared" si="18"/>
        <v>651.29999999999995</v>
      </c>
      <c r="L459" s="563">
        <f t="shared" si="19"/>
        <v>716.43000000000006</v>
      </c>
      <c r="M459" s="563">
        <f t="shared" si="20"/>
        <v>1359.93</v>
      </c>
      <c r="N459" s="580"/>
    </row>
    <row r="460" spans="4:16" x14ac:dyDescent="0.25">
      <c r="D460" s="559" t="s">
        <v>867</v>
      </c>
      <c r="E460" s="558">
        <v>100230</v>
      </c>
      <c r="F460" s="559">
        <v>101340</v>
      </c>
      <c r="G460" s="558" t="s">
        <v>4739</v>
      </c>
      <c r="H460" s="564">
        <v>40015</v>
      </c>
      <c r="I460" s="563">
        <v>2858.7</v>
      </c>
      <c r="J460" s="563">
        <v>-585</v>
      </c>
      <c r="K460" s="563">
        <f t="shared" si="18"/>
        <v>2273.6999999999998</v>
      </c>
      <c r="L460" s="563">
        <f t="shared" si="19"/>
        <v>2501.0700000000002</v>
      </c>
      <c r="M460" s="563">
        <f t="shared" si="20"/>
        <v>3144.57</v>
      </c>
      <c r="N460" s="580"/>
      <c r="O460" s="558"/>
      <c r="P460" s="564"/>
    </row>
    <row r="461" spans="4:16" x14ac:dyDescent="0.25">
      <c r="D461" s="559" t="s">
        <v>867</v>
      </c>
      <c r="E461" s="558">
        <v>100231</v>
      </c>
      <c r="F461" s="559">
        <v>100050</v>
      </c>
      <c r="G461" s="558" t="s">
        <v>4740</v>
      </c>
      <c r="H461" s="564">
        <v>40015</v>
      </c>
      <c r="I461" s="563">
        <v>2975.7</v>
      </c>
      <c r="J461" s="563">
        <v>-585</v>
      </c>
      <c r="K461" s="563">
        <f t="shared" si="18"/>
        <v>2390.6999999999998</v>
      </c>
      <c r="L461" s="563">
        <f t="shared" si="19"/>
        <v>2629.77</v>
      </c>
      <c r="M461" s="563">
        <f t="shared" si="20"/>
        <v>3273.27</v>
      </c>
      <c r="N461" s="580"/>
      <c r="O461" s="558"/>
      <c r="P461" s="564"/>
    </row>
    <row r="462" spans="4:16" x14ac:dyDescent="0.25">
      <c r="D462" s="559" t="s">
        <v>867</v>
      </c>
      <c r="E462" s="558">
        <v>100233</v>
      </c>
      <c r="F462" s="559">
        <v>102142</v>
      </c>
      <c r="G462" s="558" t="s">
        <v>4740</v>
      </c>
      <c r="H462" s="564">
        <v>40015</v>
      </c>
      <c r="I462" s="563">
        <v>1267.5</v>
      </c>
      <c r="J462" s="563">
        <v>-585</v>
      </c>
      <c r="K462" s="563">
        <f t="shared" si="18"/>
        <v>682.5</v>
      </c>
      <c r="L462" s="563">
        <f t="shared" si="19"/>
        <v>750.75000000000011</v>
      </c>
      <c r="M462" s="563">
        <f t="shared" si="20"/>
        <v>1394.25</v>
      </c>
      <c r="N462" s="580"/>
      <c r="O462" s="558"/>
      <c r="P462" s="564"/>
    </row>
    <row r="463" spans="4:16" x14ac:dyDescent="0.25">
      <c r="D463" s="559" t="s">
        <v>867</v>
      </c>
      <c r="E463" s="558">
        <v>100234</v>
      </c>
      <c r="F463" s="559">
        <v>102735</v>
      </c>
      <c r="G463" s="558" t="s">
        <v>4740</v>
      </c>
      <c r="H463" s="564">
        <v>40015</v>
      </c>
      <c r="I463" s="563">
        <v>581.1</v>
      </c>
      <c r="J463" s="563">
        <v>-581.1</v>
      </c>
      <c r="K463" s="563">
        <f t="shared" si="18"/>
        <v>0</v>
      </c>
      <c r="L463" s="563">
        <f t="shared" si="19"/>
        <v>0</v>
      </c>
      <c r="M463" s="563">
        <f t="shared" si="20"/>
        <v>639.21</v>
      </c>
      <c r="N463" s="580"/>
      <c r="O463" s="558"/>
      <c r="P463" s="564"/>
    </row>
    <row r="464" spans="4:16" x14ac:dyDescent="0.25">
      <c r="D464" s="559" t="s">
        <v>867</v>
      </c>
      <c r="E464" s="558">
        <v>100235</v>
      </c>
      <c r="F464" s="559">
        <v>101425</v>
      </c>
      <c r="G464" s="558" t="s">
        <v>4740</v>
      </c>
      <c r="H464" s="564">
        <v>40015</v>
      </c>
      <c r="I464" s="563">
        <v>1501.5</v>
      </c>
      <c r="J464" s="563">
        <v>-585</v>
      </c>
      <c r="K464" s="563">
        <f t="shared" si="18"/>
        <v>916.5</v>
      </c>
      <c r="L464" s="563">
        <f t="shared" si="19"/>
        <v>1008.1500000000001</v>
      </c>
      <c r="M464" s="563">
        <f t="shared" si="20"/>
        <v>1651.65</v>
      </c>
      <c r="N464" s="580"/>
      <c r="O464" s="558"/>
      <c r="P464" s="564"/>
    </row>
    <row r="465" spans="4:16" x14ac:dyDescent="0.25">
      <c r="D465" s="559" t="s">
        <v>867</v>
      </c>
      <c r="E465" s="558">
        <v>100236</v>
      </c>
      <c r="F465" s="559">
        <v>100297</v>
      </c>
      <c r="G465" s="558" t="s">
        <v>4740</v>
      </c>
      <c r="H465" s="564">
        <v>40015</v>
      </c>
      <c r="I465" s="563">
        <v>5877.3</v>
      </c>
      <c r="J465" s="563">
        <v>-585</v>
      </c>
      <c r="K465" s="563">
        <f t="shared" si="18"/>
        <v>5292.3</v>
      </c>
      <c r="L465" s="563">
        <f t="shared" si="19"/>
        <v>5821.5300000000007</v>
      </c>
      <c r="M465" s="563">
        <f t="shared" si="20"/>
        <v>6465.0300000000007</v>
      </c>
      <c r="N465" s="580"/>
      <c r="O465" s="558"/>
      <c r="P465" s="564"/>
    </row>
    <row r="466" spans="4:16" x14ac:dyDescent="0.25">
      <c r="D466" s="559" t="s">
        <v>867</v>
      </c>
      <c r="E466" s="558">
        <v>100237</v>
      </c>
      <c r="F466" s="559">
        <v>101519</v>
      </c>
      <c r="G466" s="558" t="s">
        <v>4741</v>
      </c>
      <c r="H466" s="564">
        <v>40015</v>
      </c>
      <c r="I466" s="563">
        <v>1684.8</v>
      </c>
      <c r="J466" s="563">
        <v>-585</v>
      </c>
      <c r="K466" s="563">
        <f t="shared" si="18"/>
        <v>1099.8</v>
      </c>
      <c r="L466" s="563">
        <f t="shared" si="19"/>
        <v>1209.78</v>
      </c>
      <c r="M466" s="563">
        <f t="shared" si="20"/>
        <v>1853.2800000000002</v>
      </c>
      <c r="N466" s="580"/>
      <c r="O466" s="558"/>
      <c r="P466" s="564"/>
    </row>
    <row r="467" spans="4:16" x14ac:dyDescent="0.25">
      <c r="D467" s="559" t="s">
        <v>867</v>
      </c>
      <c r="E467" s="558">
        <v>100238</v>
      </c>
      <c r="F467" s="559">
        <v>100455</v>
      </c>
      <c r="G467" s="558" t="s">
        <v>4741</v>
      </c>
      <c r="H467" s="564">
        <v>40015</v>
      </c>
      <c r="I467" s="563">
        <v>89.7</v>
      </c>
      <c r="J467" s="563">
        <v>-89.7</v>
      </c>
      <c r="K467" s="582">
        <f t="shared" si="18"/>
        <v>0</v>
      </c>
      <c r="L467" s="563">
        <f t="shared" si="19"/>
        <v>0</v>
      </c>
      <c r="M467" s="563">
        <f t="shared" si="20"/>
        <v>98.670000000000016</v>
      </c>
      <c r="N467" s="580"/>
    </row>
    <row r="468" spans="4:16" x14ac:dyDescent="0.25">
      <c r="D468" s="559" t="s">
        <v>867</v>
      </c>
      <c r="E468" s="558">
        <v>100239</v>
      </c>
      <c r="F468" s="559">
        <v>102894</v>
      </c>
      <c r="G468" s="558" t="s">
        <v>4741</v>
      </c>
      <c r="H468" s="564">
        <v>40015</v>
      </c>
      <c r="I468" s="563">
        <v>4496.7</v>
      </c>
      <c r="J468" s="563">
        <v>-585</v>
      </c>
      <c r="K468" s="582">
        <f t="shared" si="18"/>
        <v>3911.7</v>
      </c>
      <c r="L468" s="563">
        <f t="shared" si="19"/>
        <v>4302.87</v>
      </c>
      <c r="M468" s="563">
        <f t="shared" si="20"/>
        <v>4946.37</v>
      </c>
      <c r="N468" s="580"/>
    </row>
    <row r="469" spans="4:16" x14ac:dyDescent="0.25">
      <c r="D469" s="559" t="s">
        <v>867</v>
      </c>
      <c r="E469" s="558">
        <v>100240</v>
      </c>
      <c r="F469" s="559">
        <v>101640</v>
      </c>
      <c r="G469" s="558" t="s">
        <v>4741</v>
      </c>
      <c r="H469" s="564">
        <v>40015</v>
      </c>
      <c r="I469" s="563">
        <v>3354</v>
      </c>
      <c r="J469" s="563">
        <v>-585</v>
      </c>
      <c r="K469" s="563">
        <f t="shared" si="18"/>
        <v>2769</v>
      </c>
      <c r="L469" s="563">
        <f t="shared" si="19"/>
        <v>3045.9</v>
      </c>
      <c r="M469" s="563">
        <f t="shared" si="20"/>
        <v>3689.4</v>
      </c>
      <c r="N469" s="580"/>
      <c r="O469" s="558"/>
      <c r="P469" s="564"/>
    </row>
    <row r="470" spans="4:16" x14ac:dyDescent="0.25">
      <c r="D470" s="559" t="s">
        <v>867</v>
      </c>
      <c r="E470" s="558">
        <v>100241</v>
      </c>
      <c r="F470" s="559">
        <v>100512</v>
      </c>
      <c r="G470" s="558" t="s">
        <v>4741</v>
      </c>
      <c r="H470" s="564">
        <v>40015</v>
      </c>
      <c r="I470" s="563">
        <v>4145.7</v>
      </c>
      <c r="J470" s="563">
        <v>-585</v>
      </c>
      <c r="K470" s="582">
        <f t="shared" si="18"/>
        <v>3560.7</v>
      </c>
      <c r="L470" s="563">
        <f t="shared" si="19"/>
        <v>3916.77</v>
      </c>
      <c r="M470" s="563">
        <f t="shared" si="20"/>
        <v>4560.2700000000004</v>
      </c>
      <c r="N470" s="580"/>
    </row>
    <row r="471" spans="4:16" x14ac:dyDescent="0.25">
      <c r="D471" s="559" t="s">
        <v>867</v>
      </c>
      <c r="E471" s="558">
        <v>100242</v>
      </c>
      <c r="F471" s="559">
        <v>100087</v>
      </c>
      <c r="G471" s="558" t="s">
        <v>4742</v>
      </c>
      <c r="H471" s="564">
        <v>40015</v>
      </c>
      <c r="I471" s="563">
        <v>4254.8999999999996</v>
      </c>
      <c r="J471" s="563">
        <v>-585</v>
      </c>
      <c r="K471" s="582">
        <f t="shared" si="18"/>
        <v>3669.8999999999996</v>
      </c>
      <c r="L471" s="563">
        <f t="shared" si="19"/>
        <v>4036.89</v>
      </c>
      <c r="M471" s="563">
        <f t="shared" si="20"/>
        <v>4680.3900000000003</v>
      </c>
      <c r="N471" s="580"/>
    </row>
    <row r="472" spans="4:16" x14ac:dyDescent="0.25">
      <c r="D472" s="559" t="s">
        <v>867</v>
      </c>
      <c r="E472" s="558">
        <v>100243</v>
      </c>
      <c r="F472" s="559">
        <v>100022</v>
      </c>
      <c r="G472" s="558" t="s">
        <v>4742</v>
      </c>
      <c r="H472" s="564">
        <v>40015</v>
      </c>
      <c r="I472" s="563">
        <v>2574</v>
      </c>
      <c r="J472" s="563">
        <v>-585</v>
      </c>
      <c r="K472" s="582">
        <f t="shared" si="18"/>
        <v>1989</v>
      </c>
      <c r="L472" s="563">
        <f t="shared" si="19"/>
        <v>2187.9</v>
      </c>
      <c r="M472" s="563">
        <f t="shared" si="20"/>
        <v>2831.4</v>
      </c>
      <c r="N472" s="580"/>
    </row>
    <row r="473" spans="4:16" x14ac:dyDescent="0.25">
      <c r="D473" s="559" t="s">
        <v>867</v>
      </c>
      <c r="E473" s="558">
        <v>100244</v>
      </c>
      <c r="F473" s="559">
        <v>100572</v>
      </c>
      <c r="G473" s="558" t="s">
        <v>4742</v>
      </c>
      <c r="H473" s="564">
        <v>40015</v>
      </c>
      <c r="I473" s="563">
        <v>2340</v>
      </c>
      <c r="J473" s="563">
        <v>-585</v>
      </c>
      <c r="K473" s="563">
        <f t="shared" si="18"/>
        <v>1755</v>
      </c>
      <c r="L473" s="563">
        <f t="shared" si="19"/>
        <v>1930.5000000000002</v>
      </c>
      <c r="M473" s="563">
        <f t="shared" si="20"/>
        <v>2574</v>
      </c>
      <c r="N473" s="580"/>
      <c r="O473" s="558"/>
      <c r="P473" s="564"/>
    </row>
    <row r="474" spans="4:16" x14ac:dyDescent="0.25">
      <c r="D474" s="559" t="s">
        <v>867</v>
      </c>
      <c r="E474" s="558">
        <v>100245</v>
      </c>
      <c r="F474" s="559">
        <v>102669</v>
      </c>
      <c r="G474" s="558" t="s">
        <v>4742</v>
      </c>
      <c r="H474" s="564">
        <v>40015</v>
      </c>
      <c r="I474" s="563">
        <v>3666</v>
      </c>
      <c r="J474" s="563">
        <v>-585</v>
      </c>
      <c r="K474" s="563">
        <f t="shared" si="18"/>
        <v>3081</v>
      </c>
      <c r="L474" s="563">
        <f t="shared" si="19"/>
        <v>3389.1000000000004</v>
      </c>
      <c r="M474" s="563">
        <f t="shared" si="20"/>
        <v>4032.6000000000004</v>
      </c>
      <c r="N474" s="580"/>
      <c r="O474" s="558"/>
      <c r="P474" s="564"/>
    </row>
    <row r="475" spans="4:16" x14ac:dyDescent="0.25">
      <c r="D475" s="559" t="s">
        <v>867</v>
      </c>
      <c r="E475" s="558">
        <v>100246</v>
      </c>
      <c r="F475" s="559">
        <v>102724</v>
      </c>
      <c r="G475" s="558" t="s">
        <v>4742</v>
      </c>
      <c r="H475" s="564">
        <v>40015</v>
      </c>
      <c r="I475" s="563">
        <v>2574</v>
      </c>
      <c r="J475" s="563">
        <v>-585</v>
      </c>
      <c r="K475" s="563">
        <f t="shared" si="18"/>
        <v>1989</v>
      </c>
      <c r="L475" s="563">
        <f t="shared" si="19"/>
        <v>2187.9</v>
      </c>
      <c r="M475" s="563">
        <f t="shared" si="20"/>
        <v>2831.4</v>
      </c>
      <c r="N475" s="580"/>
      <c r="O475" s="558"/>
      <c r="P475" s="564"/>
    </row>
    <row r="476" spans="4:16" x14ac:dyDescent="0.25">
      <c r="D476" s="559" t="s">
        <v>867</v>
      </c>
      <c r="E476" s="558">
        <v>100247</v>
      </c>
      <c r="F476" s="559">
        <v>100703</v>
      </c>
      <c r="G476" s="558" t="s">
        <v>4743</v>
      </c>
      <c r="H476" s="564">
        <v>40015</v>
      </c>
      <c r="I476" s="563">
        <v>3042</v>
      </c>
      <c r="J476" s="563">
        <v>-585</v>
      </c>
      <c r="K476" s="563">
        <f t="shared" si="18"/>
        <v>2457</v>
      </c>
      <c r="L476" s="563">
        <f t="shared" si="19"/>
        <v>2702.7000000000003</v>
      </c>
      <c r="M476" s="563">
        <f t="shared" si="20"/>
        <v>3346.2000000000003</v>
      </c>
      <c r="N476" s="580"/>
      <c r="O476" s="558"/>
      <c r="P476" s="564"/>
    </row>
    <row r="477" spans="4:16" x14ac:dyDescent="0.25">
      <c r="D477" s="559" t="s">
        <v>867</v>
      </c>
      <c r="E477" s="558">
        <v>100248</v>
      </c>
      <c r="F477" s="559">
        <v>100872</v>
      </c>
      <c r="G477" s="558" t="s">
        <v>4743</v>
      </c>
      <c r="H477" s="564">
        <v>40015</v>
      </c>
      <c r="I477" s="563">
        <v>2964</v>
      </c>
      <c r="J477" s="563">
        <v>-585</v>
      </c>
      <c r="K477" s="563">
        <f t="shared" si="18"/>
        <v>2379</v>
      </c>
      <c r="L477" s="563">
        <f t="shared" si="19"/>
        <v>2616.9</v>
      </c>
      <c r="M477" s="563">
        <f t="shared" si="20"/>
        <v>3260.4</v>
      </c>
      <c r="N477" s="580"/>
      <c r="O477" s="558"/>
      <c r="P477" s="564"/>
    </row>
    <row r="478" spans="4:16" x14ac:dyDescent="0.25">
      <c r="D478" s="559" t="s">
        <v>867</v>
      </c>
      <c r="E478" s="558">
        <v>100249</v>
      </c>
      <c r="F478" s="559">
        <v>101447</v>
      </c>
      <c r="G478" s="558" t="s">
        <v>4743</v>
      </c>
      <c r="H478" s="564">
        <v>40015</v>
      </c>
      <c r="I478" s="563">
        <v>3354</v>
      </c>
      <c r="J478" s="563">
        <v>-585</v>
      </c>
      <c r="K478" s="563">
        <f t="shared" si="18"/>
        <v>2769</v>
      </c>
      <c r="L478" s="563">
        <f t="shared" si="19"/>
        <v>3045.9</v>
      </c>
      <c r="M478" s="563">
        <f t="shared" si="20"/>
        <v>3689.4</v>
      </c>
      <c r="N478" s="580"/>
      <c r="O478" s="558"/>
      <c r="P478" s="564"/>
    </row>
    <row r="479" spans="4:16" x14ac:dyDescent="0.25">
      <c r="D479" s="559" t="s">
        <v>867</v>
      </c>
      <c r="E479" s="558">
        <v>100250</v>
      </c>
      <c r="F479" s="559">
        <v>101352</v>
      </c>
      <c r="G479" s="558" t="s">
        <v>4743</v>
      </c>
      <c r="H479" s="564">
        <v>40015</v>
      </c>
      <c r="I479" s="563">
        <v>167.7</v>
      </c>
      <c r="J479" s="563">
        <v>-167.7</v>
      </c>
      <c r="K479" s="563">
        <f t="shared" si="18"/>
        <v>0</v>
      </c>
      <c r="L479" s="563">
        <f t="shared" si="19"/>
        <v>0</v>
      </c>
      <c r="M479" s="563">
        <f t="shared" si="20"/>
        <v>184.47</v>
      </c>
      <c r="N479" s="580"/>
      <c r="O479" s="558"/>
      <c r="P479" s="564"/>
    </row>
    <row r="480" spans="4:16" x14ac:dyDescent="0.25">
      <c r="D480" s="559" t="s">
        <v>867</v>
      </c>
      <c r="E480" s="558">
        <v>100251</v>
      </c>
      <c r="F480" s="559">
        <v>101353</v>
      </c>
      <c r="G480" s="558" t="s">
        <v>4743</v>
      </c>
      <c r="H480" s="564">
        <v>40015</v>
      </c>
      <c r="I480" s="563">
        <v>2862.6</v>
      </c>
      <c r="J480" s="563">
        <v>-585</v>
      </c>
      <c r="K480" s="563">
        <f t="shared" si="18"/>
        <v>2277.6</v>
      </c>
      <c r="L480" s="563">
        <f t="shared" si="19"/>
        <v>2505.36</v>
      </c>
      <c r="M480" s="563">
        <f t="shared" si="20"/>
        <v>3148.86</v>
      </c>
      <c r="N480" s="580"/>
      <c r="O480" s="558"/>
      <c r="P480" s="564"/>
    </row>
    <row r="481" spans="4:16" x14ac:dyDescent="0.25">
      <c r="D481" s="559" t="s">
        <v>867</v>
      </c>
      <c r="E481" s="558">
        <v>100252</v>
      </c>
      <c r="F481" s="559">
        <v>102705</v>
      </c>
      <c r="G481" s="558" t="s">
        <v>4744</v>
      </c>
      <c r="H481" s="564">
        <v>40015</v>
      </c>
      <c r="I481" s="563">
        <v>2314.65</v>
      </c>
      <c r="J481" s="563">
        <v>-585</v>
      </c>
      <c r="K481" s="563">
        <f t="shared" si="18"/>
        <v>1729.65</v>
      </c>
      <c r="L481" s="563">
        <f t="shared" si="19"/>
        <v>1902.6150000000002</v>
      </c>
      <c r="M481" s="563">
        <f t="shared" si="20"/>
        <v>2546.1150000000002</v>
      </c>
      <c r="N481" s="580"/>
      <c r="O481" s="558"/>
      <c r="P481" s="564"/>
    </row>
    <row r="482" spans="4:16" x14ac:dyDescent="0.25">
      <c r="D482" s="559" t="s">
        <v>867</v>
      </c>
      <c r="E482" s="558">
        <v>100253</v>
      </c>
      <c r="F482" s="559">
        <v>102295</v>
      </c>
      <c r="G482" s="558" t="s">
        <v>4744</v>
      </c>
      <c r="H482" s="564">
        <v>40015</v>
      </c>
      <c r="I482" s="563">
        <v>4225.6499999999996</v>
      </c>
      <c r="J482" s="563">
        <v>-585</v>
      </c>
      <c r="K482" s="563">
        <f t="shared" si="18"/>
        <v>3640.6499999999996</v>
      </c>
      <c r="L482" s="563">
        <f t="shared" si="19"/>
        <v>4004.7150000000001</v>
      </c>
      <c r="M482" s="563">
        <f t="shared" si="20"/>
        <v>4648.2150000000001</v>
      </c>
      <c r="N482" s="580"/>
      <c r="O482" s="558"/>
      <c r="P482" s="564"/>
    </row>
    <row r="483" spans="4:16" x14ac:dyDescent="0.25">
      <c r="D483" s="559" t="s">
        <v>867</v>
      </c>
      <c r="E483" s="558">
        <v>100254</v>
      </c>
      <c r="F483" s="559">
        <v>102490</v>
      </c>
      <c r="G483" s="558" t="s">
        <v>4744</v>
      </c>
      <c r="H483" s="564">
        <v>40015</v>
      </c>
      <c r="I483" s="563">
        <v>2665.65</v>
      </c>
      <c r="J483" s="563">
        <v>-585</v>
      </c>
      <c r="K483" s="582">
        <f t="shared" si="18"/>
        <v>2080.65</v>
      </c>
      <c r="L483" s="563">
        <f t="shared" si="19"/>
        <v>2288.7150000000001</v>
      </c>
      <c r="M483" s="563">
        <f t="shared" si="20"/>
        <v>2932.2150000000001</v>
      </c>
      <c r="N483" s="580"/>
    </row>
    <row r="484" spans="4:16" x14ac:dyDescent="0.25">
      <c r="D484" s="559" t="s">
        <v>867</v>
      </c>
      <c r="E484" s="558">
        <v>100255</v>
      </c>
      <c r="F484" s="559">
        <v>102575</v>
      </c>
      <c r="G484" s="558" t="s">
        <v>4744</v>
      </c>
      <c r="H484" s="564">
        <v>40015</v>
      </c>
      <c r="I484" s="563">
        <v>5005.6499999999996</v>
      </c>
      <c r="J484" s="563">
        <v>-585</v>
      </c>
      <c r="K484" s="582">
        <f t="shared" si="18"/>
        <v>4420.6499999999996</v>
      </c>
      <c r="L484" s="563">
        <f t="shared" si="19"/>
        <v>4862.7150000000001</v>
      </c>
      <c r="M484" s="563">
        <f t="shared" si="20"/>
        <v>5506.2150000000001</v>
      </c>
      <c r="N484" s="580"/>
    </row>
    <row r="485" spans="4:16" x14ac:dyDescent="0.25">
      <c r="D485" s="559" t="s">
        <v>867</v>
      </c>
      <c r="E485" s="558">
        <v>100256</v>
      </c>
      <c r="F485" s="559">
        <v>101420</v>
      </c>
      <c r="G485" s="558" t="s">
        <v>4744</v>
      </c>
      <c r="H485" s="564">
        <v>40015</v>
      </c>
      <c r="I485" s="563">
        <v>4420.6499999999996</v>
      </c>
      <c r="J485" s="563">
        <v>-585</v>
      </c>
      <c r="K485" s="563">
        <f t="shared" si="18"/>
        <v>3835.6499999999996</v>
      </c>
      <c r="L485" s="563">
        <f t="shared" si="19"/>
        <v>4219.2150000000001</v>
      </c>
      <c r="M485" s="563">
        <f t="shared" si="20"/>
        <v>4862.7150000000001</v>
      </c>
      <c r="N485" s="580"/>
      <c r="O485" s="558"/>
      <c r="P485" s="564"/>
    </row>
    <row r="486" spans="4:16" x14ac:dyDescent="0.25">
      <c r="D486" s="559" t="s">
        <v>867</v>
      </c>
      <c r="E486" s="558">
        <v>100257</v>
      </c>
      <c r="F486" s="559">
        <v>101421</v>
      </c>
      <c r="G486" s="558" t="s">
        <v>4745</v>
      </c>
      <c r="H486" s="564">
        <v>40015</v>
      </c>
      <c r="I486" s="563">
        <v>169.65</v>
      </c>
      <c r="J486" s="563">
        <v>-169.65</v>
      </c>
      <c r="K486" s="563">
        <f t="shared" si="18"/>
        <v>0</v>
      </c>
      <c r="L486" s="563">
        <f t="shared" si="19"/>
        <v>0</v>
      </c>
      <c r="M486" s="563">
        <f t="shared" si="20"/>
        <v>186.61500000000001</v>
      </c>
      <c r="N486" s="580"/>
      <c r="O486" s="558"/>
      <c r="P486" s="564"/>
    </row>
    <row r="487" spans="4:16" x14ac:dyDescent="0.25">
      <c r="D487" s="559" t="s">
        <v>867</v>
      </c>
      <c r="E487" s="558">
        <v>100258</v>
      </c>
      <c r="F487" s="559">
        <v>102787</v>
      </c>
      <c r="G487" s="558" t="s">
        <v>4745</v>
      </c>
      <c r="H487" s="564">
        <v>40015</v>
      </c>
      <c r="I487" s="563">
        <v>169.65</v>
      </c>
      <c r="J487" s="563">
        <v>-169.65</v>
      </c>
      <c r="K487" s="582">
        <f t="shared" si="18"/>
        <v>0</v>
      </c>
      <c r="L487" s="563">
        <f t="shared" si="19"/>
        <v>0</v>
      </c>
      <c r="M487" s="563">
        <f t="shared" si="20"/>
        <v>186.61500000000001</v>
      </c>
      <c r="N487" s="580"/>
    </row>
    <row r="488" spans="4:16" x14ac:dyDescent="0.25">
      <c r="D488" s="559" t="s">
        <v>867</v>
      </c>
      <c r="E488" s="558">
        <v>100259</v>
      </c>
      <c r="F488" s="559">
        <v>102787</v>
      </c>
      <c r="G488" s="558" t="s">
        <v>4745</v>
      </c>
      <c r="H488" s="564">
        <v>40015</v>
      </c>
      <c r="I488" s="563">
        <v>169.65</v>
      </c>
      <c r="J488" s="563">
        <v>-169.65</v>
      </c>
      <c r="K488" s="582">
        <f t="shared" si="18"/>
        <v>0</v>
      </c>
      <c r="L488" s="563">
        <f t="shared" si="19"/>
        <v>0</v>
      </c>
      <c r="M488" s="563">
        <f t="shared" si="20"/>
        <v>186.61500000000001</v>
      </c>
      <c r="N488" s="580"/>
    </row>
    <row r="489" spans="4:16" x14ac:dyDescent="0.25">
      <c r="D489" s="559" t="s">
        <v>867</v>
      </c>
      <c r="E489" s="558">
        <v>100260</v>
      </c>
      <c r="F489" s="559">
        <v>100766</v>
      </c>
      <c r="G489" s="558" t="s">
        <v>4745</v>
      </c>
      <c r="H489" s="564">
        <v>40015</v>
      </c>
      <c r="I489" s="563">
        <v>2158.65</v>
      </c>
      <c r="J489" s="563">
        <v>-585</v>
      </c>
      <c r="K489" s="563">
        <f t="shared" ref="K489:K552" si="21">+I489+J489</f>
        <v>1573.65</v>
      </c>
      <c r="L489" s="563">
        <f t="shared" ref="L489:L552" si="22">+K489*1.1</f>
        <v>1731.0150000000003</v>
      </c>
      <c r="M489" s="563">
        <f t="shared" ref="M489:M552" si="23">+I489*1.1</f>
        <v>2374.5150000000003</v>
      </c>
      <c r="N489" s="580"/>
      <c r="O489" s="558"/>
      <c r="P489" s="564"/>
    </row>
    <row r="490" spans="4:16" x14ac:dyDescent="0.25">
      <c r="D490" s="559" t="s">
        <v>867</v>
      </c>
      <c r="E490" s="558">
        <v>100261</v>
      </c>
      <c r="F490" s="559">
        <v>100768</v>
      </c>
      <c r="G490" s="558" t="s">
        <v>4745</v>
      </c>
      <c r="H490" s="564">
        <v>40015</v>
      </c>
      <c r="I490" s="563">
        <v>181.35</v>
      </c>
      <c r="J490" s="563">
        <v>-181.35</v>
      </c>
      <c r="K490" s="563">
        <f t="shared" si="21"/>
        <v>0</v>
      </c>
      <c r="L490" s="563">
        <f t="shared" si="22"/>
        <v>0</v>
      </c>
      <c r="M490" s="563">
        <f t="shared" si="23"/>
        <v>199.48500000000001</v>
      </c>
      <c r="N490" s="580"/>
      <c r="O490" s="558"/>
      <c r="P490" s="564"/>
    </row>
    <row r="491" spans="4:16" x14ac:dyDescent="0.25">
      <c r="D491" s="559" t="s">
        <v>867</v>
      </c>
      <c r="E491" s="558">
        <v>100262</v>
      </c>
      <c r="F491" s="559">
        <v>102782</v>
      </c>
      <c r="G491" s="558" t="s">
        <v>4746</v>
      </c>
      <c r="H491" s="564">
        <v>40015</v>
      </c>
      <c r="I491" s="563">
        <v>169.65</v>
      </c>
      <c r="J491" s="563">
        <v>-169.65</v>
      </c>
      <c r="K491" s="563">
        <f t="shared" si="21"/>
        <v>0</v>
      </c>
      <c r="L491" s="563">
        <f t="shared" si="22"/>
        <v>0</v>
      </c>
      <c r="M491" s="563">
        <f t="shared" si="23"/>
        <v>186.61500000000001</v>
      </c>
      <c r="N491" s="580"/>
      <c r="O491" s="558"/>
      <c r="P491" s="564"/>
    </row>
    <row r="492" spans="4:16" x14ac:dyDescent="0.25">
      <c r="D492" s="559" t="s">
        <v>867</v>
      </c>
      <c r="E492" s="558">
        <v>100263</v>
      </c>
      <c r="F492" s="559">
        <v>101150</v>
      </c>
      <c r="G492" s="558" t="s">
        <v>4746</v>
      </c>
      <c r="H492" s="564">
        <v>40015</v>
      </c>
      <c r="I492" s="563">
        <v>169.65</v>
      </c>
      <c r="J492" s="563">
        <v>-169.65</v>
      </c>
      <c r="K492" s="582">
        <f t="shared" si="21"/>
        <v>0</v>
      </c>
      <c r="L492" s="563">
        <f t="shared" si="22"/>
        <v>0</v>
      </c>
      <c r="M492" s="563">
        <f t="shared" si="23"/>
        <v>186.61500000000001</v>
      </c>
      <c r="N492" s="580"/>
    </row>
    <row r="493" spans="4:16" x14ac:dyDescent="0.25">
      <c r="D493" s="559" t="s">
        <v>867</v>
      </c>
      <c r="E493" s="558">
        <v>100264</v>
      </c>
      <c r="F493" s="559">
        <v>101349</v>
      </c>
      <c r="G493" s="558" t="s">
        <v>4746</v>
      </c>
      <c r="H493" s="564">
        <v>40015</v>
      </c>
      <c r="I493" s="563">
        <v>3244.8</v>
      </c>
      <c r="J493" s="563">
        <v>-585</v>
      </c>
      <c r="K493" s="563">
        <f t="shared" si="21"/>
        <v>2659.8</v>
      </c>
      <c r="L493" s="563">
        <f t="shared" si="22"/>
        <v>2925.7800000000007</v>
      </c>
      <c r="M493" s="563">
        <f t="shared" si="23"/>
        <v>3569.2800000000007</v>
      </c>
      <c r="N493" s="580"/>
      <c r="O493" s="558"/>
      <c r="P493" s="564"/>
    </row>
    <row r="494" spans="4:16" x14ac:dyDescent="0.25">
      <c r="D494" s="559" t="s">
        <v>867</v>
      </c>
      <c r="E494" s="558">
        <v>100265</v>
      </c>
      <c r="F494" s="559">
        <v>101344</v>
      </c>
      <c r="G494" s="558" t="s">
        <v>4746</v>
      </c>
      <c r="H494" s="564">
        <v>40015</v>
      </c>
      <c r="I494" s="563">
        <v>663</v>
      </c>
      <c r="J494" s="563">
        <v>-585</v>
      </c>
      <c r="K494" s="563">
        <f t="shared" si="21"/>
        <v>78</v>
      </c>
      <c r="L494" s="563">
        <f t="shared" si="22"/>
        <v>85.800000000000011</v>
      </c>
      <c r="M494" s="563">
        <f t="shared" si="23"/>
        <v>729.30000000000007</v>
      </c>
      <c r="N494" s="580"/>
      <c r="O494" s="558"/>
      <c r="P494" s="564"/>
    </row>
    <row r="495" spans="4:16" x14ac:dyDescent="0.25">
      <c r="D495" s="559" t="s">
        <v>867</v>
      </c>
      <c r="E495" s="558">
        <v>100266</v>
      </c>
      <c r="F495" s="559">
        <v>101143</v>
      </c>
      <c r="G495" s="558" t="s">
        <v>4746</v>
      </c>
      <c r="H495" s="564">
        <v>40015</v>
      </c>
      <c r="I495" s="563">
        <v>2538.9</v>
      </c>
      <c r="J495" s="563">
        <v>-585</v>
      </c>
      <c r="K495" s="582">
        <f t="shared" si="21"/>
        <v>1953.9</v>
      </c>
      <c r="L495" s="563">
        <f t="shared" si="22"/>
        <v>2149.2900000000004</v>
      </c>
      <c r="M495" s="563">
        <f t="shared" si="23"/>
        <v>2792.7900000000004</v>
      </c>
      <c r="N495" s="580"/>
    </row>
    <row r="496" spans="4:16" x14ac:dyDescent="0.25">
      <c r="D496" s="559" t="s">
        <v>867</v>
      </c>
      <c r="E496" s="558">
        <v>100267</v>
      </c>
      <c r="F496" s="559">
        <v>102748</v>
      </c>
      <c r="G496" s="558" t="s">
        <v>4747</v>
      </c>
      <c r="H496" s="564">
        <v>40015</v>
      </c>
      <c r="I496" s="563">
        <v>2148.9</v>
      </c>
      <c r="J496" s="563">
        <v>-585</v>
      </c>
      <c r="K496" s="563">
        <f t="shared" si="21"/>
        <v>1563.9</v>
      </c>
      <c r="L496" s="563">
        <f t="shared" si="22"/>
        <v>1720.2900000000002</v>
      </c>
      <c r="M496" s="563">
        <f t="shared" si="23"/>
        <v>2363.7900000000004</v>
      </c>
      <c r="N496" s="580"/>
      <c r="O496" s="558"/>
      <c r="P496" s="564"/>
    </row>
    <row r="497" spans="4:16" x14ac:dyDescent="0.25">
      <c r="D497" s="559" t="s">
        <v>867</v>
      </c>
      <c r="E497" s="558">
        <v>100268</v>
      </c>
      <c r="F497" s="559">
        <v>102716</v>
      </c>
      <c r="G497" s="558" t="s">
        <v>4747</v>
      </c>
      <c r="H497" s="564">
        <v>40015</v>
      </c>
      <c r="I497" s="563">
        <v>3712.8</v>
      </c>
      <c r="J497" s="563">
        <v>-585</v>
      </c>
      <c r="K497" s="563">
        <f t="shared" si="21"/>
        <v>3127.8</v>
      </c>
      <c r="L497" s="563">
        <f t="shared" si="22"/>
        <v>3440.5800000000004</v>
      </c>
      <c r="M497" s="563">
        <f t="shared" si="23"/>
        <v>4084.0800000000004</v>
      </c>
      <c r="N497" s="580"/>
      <c r="O497" s="558"/>
      <c r="P497" s="564"/>
    </row>
    <row r="498" spans="4:16" x14ac:dyDescent="0.25">
      <c r="D498" s="559" t="s">
        <v>867</v>
      </c>
      <c r="E498" s="558">
        <v>100269</v>
      </c>
      <c r="F498" s="559">
        <v>100639</v>
      </c>
      <c r="G498" s="558" t="s">
        <v>4747</v>
      </c>
      <c r="H498" s="564">
        <v>40015</v>
      </c>
      <c r="I498" s="563">
        <v>2421.9</v>
      </c>
      <c r="J498" s="563">
        <v>-585</v>
      </c>
      <c r="K498" s="563">
        <f t="shared" si="21"/>
        <v>1836.9</v>
      </c>
      <c r="L498" s="563">
        <f t="shared" si="22"/>
        <v>2020.5900000000004</v>
      </c>
      <c r="M498" s="563">
        <f t="shared" si="23"/>
        <v>2664.09</v>
      </c>
      <c r="N498" s="580"/>
      <c r="O498" s="558"/>
      <c r="P498" s="564"/>
    </row>
    <row r="499" spans="4:16" x14ac:dyDescent="0.25">
      <c r="D499" s="559" t="s">
        <v>867</v>
      </c>
      <c r="E499" s="558">
        <v>100270</v>
      </c>
      <c r="F499" s="559">
        <v>100640</v>
      </c>
      <c r="G499" s="558" t="s">
        <v>4747</v>
      </c>
      <c r="H499" s="564">
        <v>40015</v>
      </c>
      <c r="I499" s="563">
        <v>42.9</v>
      </c>
      <c r="J499" s="563">
        <v>-42.9</v>
      </c>
      <c r="K499" s="563">
        <f t="shared" si="21"/>
        <v>0</v>
      </c>
      <c r="L499" s="563">
        <f t="shared" si="22"/>
        <v>0</v>
      </c>
      <c r="M499" s="563">
        <f t="shared" si="23"/>
        <v>47.190000000000005</v>
      </c>
      <c r="N499" s="580"/>
      <c r="O499" s="558"/>
      <c r="P499" s="564"/>
    </row>
    <row r="500" spans="4:16" x14ac:dyDescent="0.25">
      <c r="D500" s="559" t="s">
        <v>867</v>
      </c>
      <c r="E500" s="558">
        <v>100271</v>
      </c>
      <c r="F500" s="559">
        <v>102716</v>
      </c>
      <c r="G500" s="558" t="s">
        <v>4747</v>
      </c>
      <c r="H500" s="564">
        <v>40015</v>
      </c>
      <c r="I500" s="563">
        <v>85.8</v>
      </c>
      <c r="J500" s="563">
        <v>-85.8</v>
      </c>
      <c r="K500" s="563">
        <f t="shared" si="21"/>
        <v>0</v>
      </c>
      <c r="L500" s="563">
        <f t="shared" si="22"/>
        <v>0</v>
      </c>
      <c r="M500" s="563">
        <f t="shared" si="23"/>
        <v>94.38000000000001</v>
      </c>
      <c r="N500" s="580"/>
      <c r="O500" s="558"/>
      <c r="P500" s="564"/>
    </row>
    <row r="501" spans="4:16" x14ac:dyDescent="0.25">
      <c r="D501" s="559" t="s">
        <v>867</v>
      </c>
      <c r="E501" s="558">
        <v>100272</v>
      </c>
      <c r="F501" s="559">
        <v>101226</v>
      </c>
      <c r="G501" s="558" t="s">
        <v>4748</v>
      </c>
      <c r="H501" s="564">
        <v>40015</v>
      </c>
      <c r="I501" s="563">
        <v>2854.8</v>
      </c>
      <c r="J501" s="563">
        <v>-585</v>
      </c>
      <c r="K501" s="563">
        <f t="shared" si="21"/>
        <v>2269.8000000000002</v>
      </c>
      <c r="L501" s="563">
        <f t="shared" si="22"/>
        <v>2496.7800000000002</v>
      </c>
      <c r="M501" s="563">
        <f t="shared" si="23"/>
        <v>3140.2800000000007</v>
      </c>
      <c r="N501" s="580"/>
      <c r="O501" s="558"/>
      <c r="P501" s="564"/>
    </row>
    <row r="502" spans="4:16" x14ac:dyDescent="0.25">
      <c r="D502" s="559" t="s">
        <v>867</v>
      </c>
      <c r="E502" s="558">
        <v>100273</v>
      </c>
      <c r="F502" s="559">
        <v>102752</v>
      </c>
      <c r="G502" s="558" t="s">
        <v>4748</v>
      </c>
      <c r="H502" s="564">
        <v>40015</v>
      </c>
      <c r="I502" s="563">
        <v>4336.8</v>
      </c>
      <c r="J502" s="563">
        <v>-585</v>
      </c>
      <c r="K502" s="582">
        <f t="shared" si="21"/>
        <v>3751.8</v>
      </c>
      <c r="L502" s="563">
        <f t="shared" si="22"/>
        <v>4126.9800000000005</v>
      </c>
      <c r="M502" s="563">
        <f t="shared" si="23"/>
        <v>4770.4800000000005</v>
      </c>
      <c r="N502" s="580"/>
    </row>
    <row r="503" spans="4:16" x14ac:dyDescent="0.25">
      <c r="D503" s="559" t="s">
        <v>867</v>
      </c>
      <c r="E503" s="558">
        <v>100274</v>
      </c>
      <c r="F503" s="559">
        <v>102801</v>
      </c>
      <c r="G503" s="558" t="s">
        <v>4748</v>
      </c>
      <c r="H503" s="564">
        <v>40015</v>
      </c>
      <c r="I503" s="563">
        <v>85.8</v>
      </c>
      <c r="J503" s="563">
        <v>-85.8</v>
      </c>
      <c r="K503" s="563">
        <f t="shared" si="21"/>
        <v>0</v>
      </c>
      <c r="L503" s="563">
        <f t="shared" si="22"/>
        <v>0</v>
      </c>
      <c r="M503" s="563">
        <f t="shared" si="23"/>
        <v>94.38000000000001</v>
      </c>
      <c r="N503" s="580"/>
      <c r="O503" s="558"/>
      <c r="P503" s="564"/>
    </row>
    <row r="504" spans="4:16" x14ac:dyDescent="0.25">
      <c r="D504" s="559" t="s">
        <v>867</v>
      </c>
      <c r="E504" s="558">
        <v>100275</v>
      </c>
      <c r="F504" s="559">
        <v>102660</v>
      </c>
      <c r="G504" s="558" t="s">
        <v>4748</v>
      </c>
      <c r="H504" s="564">
        <v>40015</v>
      </c>
      <c r="I504" s="563">
        <v>42.9</v>
      </c>
      <c r="J504" s="563">
        <v>-42.9</v>
      </c>
      <c r="K504" s="582">
        <f t="shared" si="21"/>
        <v>0</v>
      </c>
      <c r="L504" s="563">
        <f t="shared" si="22"/>
        <v>0</v>
      </c>
      <c r="M504" s="563">
        <f t="shared" si="23"/>
        <v>47.190000000000005</v>
      </c>
      <c r="N504" s="580"/>
    </row>
    <row r="505" spans="4:16" x14ac:dyDescent="0.25">
      <c r="D505" s="559" t="s">
        <v>867</v>
      </c>
      <c r="E505" s="558">
        <v>100276</v>
      </c>
      <c r="F505" s="559">
        <v>102660</v>
      </c>
      <c r="G505" s="558" t="s">
        <v>4748</v>
      </c>
      <c r="H505" s="564">
        <v>40015</v>
      </c>
      <c r="I505" s="563">
        <v>42.9</v>
      </c>
      <c r="J505" s="563">
        <v>-42.9</v>
      </c>
      <c r="K505" s="582">
        <f t="shared" si="21"/>
        <v>0</v>
      </c>
      <c r="L505" s="563">
        <f t="shared" si="22"/>
        <v>0</v>
      </c>
      <c r="M505" s="563">
        <f t="shared" si="23"/>
        <v>47.190000000000005</v>
      </c>
      <c r="N505" s="580"/>
    </row>
    <row r="506" spans="4:16" x14ac:dyDescent="0.25">
      <c r="D506" s="559" t="s">
        <v>867</v>
      </c>
      <c r="E506" s="558">
        <v>100277</v>
      </c>
      <c r="F506" s="559">
        <v>102959</v>
      </c>
      <c r="G506" s="558" t="s">
        <v>4749</v>
      </c>
      <c r="H506" s="564">
        <v>40015</v>
      </c>
      <c r="I506" s="563">
        <v>1532.7</v>
      </c>
      <c r="J506" s="563">
        <v>-585</v>
      </c>
      <c r="K506" s="563">
        <f t="shared" si="21"/>
        <v>947.7</v>
      </c>
      <c r="L506" s="563">
        <f t="shared" si="22"/>
        <v>1042.47</v>
      </c>
      <c r="M506" s="563">
        <f t="shared" si="23"/>
        <v>1685.9700000000003</v>
      </c>
      <c r="N506" s="580"/>
      <c r="O506" s="558"/>
      <c r="P506" s="564"/>
    </row>
    <row r="507" spans="4:16" x14ac:dyDescent="0.25">
      <c r="D507" s="559" t="s">
        <v>867</v>
      </c>
      <c r="E507" s="558">
        <v>100278</v>
      </c>
      <c r="F507" s="559">
        <v>101338</v>
      </c>
      <c r="G507" s="558" t="s">
        <v>4749</v>
      </c>
      <c r="H507" s="564">
        <v>40015</v>
      </c>
      <c r="I507" s="563">
        <v>3716.7</v>
      </c>
      <c r="J507" s="563">
        <v>-585</v>
      </c>
      <c r="K507" s="563">
        <f t="shared" si="21"/>
        <v>3131.7</v>
      </c>
      <c r="L507" s="563">
        <f t="shared" si="22"/>
        <v>3444.87</v>
      </c>
      <c r="M507" s="563">
        <f t="shared" si="23"/>
        <v>4088.3700000000003</v>
      </c>
      <c r="N507" s="580"/>
      <c r="O507" s="558"/>
      <c r="P507" s="564"/>
    </row>
    <row r="508" spans="4:16" x14ac:dyDescent="0.25">
      <c r="D508" s="559" t="s">
        <v>867</v>
      </c>
      <c r="E508" s="558">
        <v>100279</v>
      </c>
      <c r="F508" s="559">
        <v>102288</v>
      </c>
      <c r="G508" s="558" t="s">
        <v>4749</v>
      </c>
      <c r="H508" s="564">
        <v>40015</v>
      </c>
      <c r="I508" s="563">
        <v>187.2</v>
      </c>
      <c r="J508" s="563">
        <v>-187.2</v>
      </c>
      <c r="K508" s="582">
        <f t="shared" si="21"/>
        <v>0</v>
      </c>
      <c r="L508" s="563">
        <f t="shared" si="22"/>
        <v>0</v>
      </c>
      <c r="M508" s="563">
        <f t="shared" si="23"/>
        <v>205.92000000000002</v>
      </c>
      <c r="N508" s="580"/>
    </row>
    <row r="509" spans="4:16" x14ac:dyDescent="0.25">
      <c r="D509" s="559" t="s">
        <v>867</v>
      </c>
      <c r="E509" s="558">
        <v>100280</v>
      </c>
      <c r="F509" s="559">
        <v>101118</v>
      </c>
      <c r="G509" s="558" t="s">
        <v>4749</v>
      </c>
      <c r="H509" s="564">
        <v>40015</v>
      </c>
      <c r="I509" s="563">
        <v>1415.7</v>
      </c>
      <c r="J509" s="563">
        <v>-585</v>
      </c>
      <c r="K509" s="563">
        <f t="shared" si="21"/>
        <v>830.7</v>
      </c>
      <c r="L509" s="563">
        <f t="shared" si="22"/>
        <v>913.7700000000001</v>
      </c>
      <c r="M509" s="563">
        <f t="shared" si="23"/>
        <v>1557.2700000000002</v>
      </c>
      <c r="N509" s="580"/>
      <c r="O509" s="558"/>
      <c r="P509" s="564"/>
    </row>
    <row r="510" spans="4:16" x14ac:dyDescent="0.25">
      <c r="D510" s="559" t="s">
        <v>867</v>
      </c>
      <c r="E510" s="558">
        <v>100281</v>
      </c>
      <c r="F510" s="559">
        <v>102800</v>
      </c>
      <c r="G510" s="558" t="s">
        <v>4749</v>
      </c>
      <c r="H510" s="564">
        <v>40015</v>
      </c>
      <c r="I510" s="563">
        <v>89.7</v>
      </c>
      <c r="J510" s="563">
        <v>-89.7</v>
      </c>
      <c r="K510" s="582">
        <f t="shared" si="21"/>
        <v>0</v>
      </c>
      <c r="L510" s="563">
        <f t="shared" si="22"/>
        <v>0</v>
      </c>
      <c r="M510" s="563">
        <f t="shared" si="23"/>
        <v>98.670000000000016</v>
      </c>
      <c r="N510" s="580"/>
    </row>
    <row r="511" spans="4:16" x14ac:dyDescent="0.25">
      <c r="D511" s="559" t="s">
        <v>867</v>
      </c>
      <c r="E511" s="558">
        <v>100282</v>
      </c>
      <c r="F511" s="559">
        <v>102829</v>
      </c>
      <c r="G511" s="558" t="s">
        <v>4750</v>
      </c>
      <c r="H511" s="564">
        <v>40015</v>
      </c>
      <c r="I511" s="563">
        <v>89.7</v>
      </c>
      <c r="J511" s="563">
        <v>-89.7</v>
      </c>
      <c r="K511" s="563">
        <f t="shared" si="21"/>
        <v>0</v>
      </c>
      <c r="L511" s="563">
        <f t="shared" si="22"/>
        <v>0</v>
      </c>
      <c r="M511" s="563">
        <f t="shared" si="23"/>
        <v>98.670000000000016</v>
      </c>
      <c r="N511" s="580"/>
      <c r="O511" s="558"/>
      <c r="P511" s="564"/>
    </row>
    <row r="512" spans="4:16" x14ac:dyDescent="0.25">
      <c r="D512" s="559" t="s">
        <v>867</v>
      </c>
      <c r="E512" s="558">
        <v>100283</v>
      </c>
      <c r="F512" s="559">
        <v>102976</v>
      </c>
      <c r="G512" s="558" t="s">
        <v>4750</v>
      </c>
      <c r="H512" s="564">
        <v>40015</v>
      </c>
      <c r="I512" s="563">
        <v>85.8</v>
      </c>
      <c r="J512" s="563">
        <v>-85.8</v>
      </c>
      <c r="K512" s="582">
        <f t="shared" si="21"/>
        <v>0</v>
      </c>
      <c r="L512" s="563">
        <f t="shared" si="22"/>
        <v>0</v>
      </c>
      <c r="M512" s="563">
        <f t="shared" si="23"/>
        <v>94.38000000000001</v>
      </c>
      <c r="N512" s="580"/>
    </row>
    <row r="513" spans="4:16" x14ac:dyDescent="0.25">
      <c r="D513" s="559" t="s">
        <v>867</v>
      </c>
      <c r="E513" s="558">
        <v>100285</v>
      </c>
      <c r="F513" s="559">
        <v>102633</v>
      </c>
      <c r="G513" s="558" t="s">
        <v>4750</v>
      </c>
      <c r="H513" s="564">
        <v>40015</v>
      </c>
      <c r="I513" s="563">
        <v>1805.7</v>
      </c>
      <c r="J513" s="563">
        <v>-585</v>
      </c>
      <c r="K513" s="582">
        <f t="shared" si="21"/>
        <v>1220.7</v>
      </c>
      <c r="L513" s="563">
        <f t="shared" si="22"/>
        <v>1342.7700000000002</v>
      </c>
      <c r="M513" s="563">
        <f t="shared" si="23"/>
        <v>1986.2700000000002</v>
      </c>
      <c r="N513" s="580"/>
    </row>
    <row r="514" spans="4:16" x14ac:dyDescent="0.25">
      <c r="D514" s="559" t="s">
        <v>867</v>
      </c>
      <c r="E514" s="558">
        <v>100286</v>
      </c>
      <c r="F514" s="559">
        <v>101672</v>
      </c>
      <c r="G514" s="558" t="s">
        <v>4750</v>
      </c>
      <c r="H514" s="564">
        <v>40015</v>
      </c>
      <c r="I514" s="563">
        <v>1782.3</v>
      </c>
      <c r="J514" s="563">
        <v>-585</v>
      </c>
      <c r="K514" s="563">
        <f t="shared" si="21"/>
        <v>1197.3</v>
      </c>
      <c r="L514" s="563">
        <f t="shared" si="22"/>
        <v>1317.03</v>
      </c>
      <c r="M514" s="563">
        <f t="shared" si="23"/>
        <v>1960.5300000000002</v>
      </c>
      <c r="N514" s="580"/>
      <c r="O514" s="558"/>
      <c r="P514" s="564"/>
    </row>
    <row r="515" spans="4:16" x14ac:dyDescent="0.25">
      <c r="D515" s="559" t="s">
        <v>867</v>
      </c>
      <c r="E515" s="558">
        <v>100287</v>
      </c>
      <c r="F515" s="559">
        <v>102667</v>
      </c>
      <c r="G515" s="558" t="s">
        <v>4750</v>
      </c>
      <c r="H515" s="564">
        <v>40015</v>
      </c>
      <c r="I515" s="563">
        <v>66.3</v>
      </c>
      <c r="J515" s="563">
        <v>-66.3</v>
      </c>
      <c r="K515" s="563">
        <f t="shared" si="21"/>
        <v>0</v>
      </c>
      <c r="L515" s="563">
        <f t="shared" si="22"/>
        <v>0</v>
      </c>
      <c r="M515" s="563">
        <f t="shared" si="23"/>
        <v>72.930000000000007</v>
      </c>
      <c r="N515" s="580"/>
      <c r="O515" s="558"/>
      <c r="P515" s="564"/>
    </row>
    <row r="516" spans="4:16" x14ac:dyDescent="0.25">
      <c r="D516" s="559" t="s">
        <v>867</v>
      </c>
      <c r="E516" s="558">
        <v>100288</v>
      </c>
      <c r="F516" s="559">
        <v>100098</v>
      </c>
      <c r="G516" s="558" t="s">
        <v>4751</v>
      </c>
      <c r="H516" s="564">
        <v>40015</v>
      </c>
      <c r="I516" s="563">
        <v>4473.3</v>
      </c>
      <c r="J516" s="563">
        <v>-585</v>
      </c>
      <c r="K516" s="563">
        <f t="shared" si="21"/>
        <v>3888.3</v>
      </c>
      <c r="L516" s="563">
        <f t="shared" si="22"/>
        <v>4277.13</v>
      </c>
      <c r="M516" s="563">
        <f t="shared" si="23"/>
        <v>4920.630000000001</v>
      </c>
      <c r="N516" s="580"/>
      <c r="O516" s="558"/>
      <c r="P516" s="564"/>
    </row>
    <row r="517" spans="4:16" x14ac:dyDescent="0.25">
      <c r="D517" s="559" t="s">
        <v>867</v>
      </c>
      <c r="E517" s="558">
        <v>100289</v>
      </c>
      <c r="F517" s="559">
        <v>100099</v>
      </c>
      <c r="G517" s="558" t="s">
        <v>4751</v>
      </c>
      <c r="H517" s="564">
        <v>40015</v>
      </c>
      <c r="I517" s="563">
        <v>66.3</v>
      </c>
      <c r="J517" s="563">
        <v>-66.3</v>
      </c>
      <c r="K517" s="563">
        <f t="shared" si="21"/>
        <v>0</v>
      </c>
      <c r="L517" s="563">
        <f t="shared" si="22"/>
        <v>0</v>
      </c>
      <c r="M517" s="563">
        <f t="shared" si="23"/>
        <v>72.930000000000007</v>
      </c>
      <c r="N517" s="580"/>
      <c r="O517" s="558"/>
      <c r="P517" s="564"/>
    </row>
    <row r="518" spans="4:16" x14ac:dyDescent="0.25">
      <c r="D518" s="559" t="s">
        <v>867</v>
      </c>
      <c r="E518" s="558">
        <v>100290</v>
      </c>
      <c r="F518" s="559">
        <v>100358</v>
      </c>
      <c r="G518" s="558" t="s">
        <v>4751</v>
      </c>
      <c r="H518" s="564">
        <v>40015</v>
      </c>
      <c r="I518" s="563">
        <v>2211.3000000000002</v>
      </c>
      <c r="J518" s="563">
        <v>-585</v>
      </c>
      <c r="K518" s="582">
        <f t="shared" si="21"/>
        <v>1626.3000000000002</v>
      </c>
      <c r="L518" s="563">
        <f t="shared" si="22"/>
        <v>1788.9300000000003</v>
      </c>
      <c r="M518" s="563">
        <f t="shared" si="23"/>
        <v>2432.4300000000003</v>
      </c>
      <c r="N518" s="580"/>
    </row>
    <row r="519" spans="4:16" x14ac:dyDescent="0.25">
      <c r="D519" s="559" t="s">
        <v>867</v>
      </c>
      <c r="E519" s="558">
        <v>100291</v>
      </c>
      <c r="F519" s="559">
        <v>100359</v>
      </c>
      <c r="G519" s="558" t="s">
        <v>4751</v>
      </c>
      <c r="H519" s="564">
        <v>40015</v>
      </c>
      <c r="I519" s="563">
        <v>66.3</v>
      </c>
      <c r="J519" s="563">
        <v>-66.3</v>
      </c>
      <c r="K519" s="582">
        <f t="shared" si="21"/>
        <v>0</v>
      </c>
      <c r="L519" s="563">
        <f t="shared" si="22"/>
        <v>0</v>
      </c>
      <c r="M519" s="563">
        <f t="shared" si="23"/>
        <v>72.930000000000007</v>
      </c>
      <c r="N519" s="580"/>
    </row>
    <row r="520" spans="4:16" x14ac:dyDescent="0.25">
      <c r="D520" s="559" t="s">
        <v>867</v>
      </c>
      <c r="E520" s="558">
        <v>100292</v>
      </c>
      <c r="F520" s="559">
        <v>101208</v>
      </c>
      <c r="G520" s="558" t="s">
        <v>4751</v>
      </c>
      <c r="H520" s="564">
        <v>40015</v>
      </c>
      <c r="I520" s="563">
        <v>2757.3</v>
      </c>
      <c r="J520" s="563">
        <v>-585</v>
      </c>
      <c r="K520" s="563">
        <f t="shared" si="21"/>
        <v>2172.3000000000002</v>
      </c>
      <c r="L520" s="563">
        <f t="shared" si="22"/>
        <v>2389.5300000000002</v>
      </c>
      <c r="M520" s="563">
        <f t="shared" si="23"/>
        <v>3033.0300000000007</v>
      </c>
      <c r="N520" s="580"/>
      <c r="O520" s="558"/>
      <c r="P520" s="564"/>
    </row>
    <row r="521" spans="4:16" x14ac:dyDescent="0.25">
      <c r="D521" s="559" t="s">
        <v>867</v>
      </c>
      <c r="E521" s="558">
        <v>100293</v>
      </c>
      <c r="F521" s="559">
        <v>101213</v>
      </c>
      <c r="G521" s="558" t="s">
        <v>4752</v>
      </c>
      <c r="H521" s="564">
        <v>40015</v>
      </c>
      <c r="I521" s="563">
        <v>66.3</v>
      </c>
      <c r="J521" s="563">
        <v>-66.3</v>
      </c>
      <c r="K521" s="563">
        <f t="shared" si="21"/>
        <v>0</v>
      </c>
      <c r="L521" s="563">
        <f t="shared" si="22"/>
        <v>0</v>
      </c>
      <c r="M521" s="563">
        <f t="shared" si="23"/>
        <v>72.930000000000007</v>
      </c>
      <c r="N521" s="580"/>
      <c r="O521" s="558"/>
      <c r="P521" s="564"/>
    </row>
    <row r="522" spans="4:16" x14ac:dyDescent="0.25">
      <c r="D522" s="559" t="s">
        <v>867</v>
      </c>
      <c r="E522" s="558">
        <v>100294</v>
      </c>
      <c r="F522" s="559">
        <v>102391</v>
      </c>
      <c r="G522" s="558" t="s">
        <v>4752</v>
      </c>
      <c r="H522" s="564">
        <v>40015</v>
      </c>
      <c r="I522" s="563">
        <v>2445.3000000000002</v>
      </c>
      <c r="J522" s="563">
        <v>-585</v>
      </c>
      <c r="K522" s="563">
        <f t="shared" si="21"/>
        <v>1860.3000000000002</v>
      </c>
      <c r="L522" s="563">
        <f t="shared" si="22"/>
        <v>2046.3300000000004</v>
      </c>
      <c r="M522" s="563">
        <f t="shared" si="23"/>
        <v>2689.8300000000004</v>
      </c>
      <c r="N522" s="580"/>
      <c r="O522" s="558"/>
      <c r="P522" s="564"/>
    </row>
    <row r="523" spans="4:16" x14ac:dyDescent="0.25">
      <c r="D523" s="559" t="s">
        <v>867</v>
      </c>
      <c r="E523" s="558">
        <v>100296</v>
      </c>
      <c r="F523" s="559">
        <v>100097</v>
      </c>
      <c r="G523" s="558" t="s">
        <v>4752</v>
      </c>
      <c r="H523" s="564">
        <v>40015</v>
      </c>
      <c r="I523" s="563">
        <v>2055.3000000000002</v>
      </c>
      <c r="J523" s="563">
        <v>-585</v>
      </c>
      <c r="K523" s="563">
        <f t="shared" si="21"/>
        <v>1470.3000000000002</v>
      </c>
      <c r="L523" s="563">
        <f t="shared" si="22"/>
        <v>1617.3300000000004</v>
      </c>
      <c r="M523" s="563">
        <f t="shared" si="23"/>
        <v>2260.8300000000004</v>
      </c>
      <c r="N523" s="580"/>
      <c r="O523" s="558"/>
      <c r="P523" s="564"/>
    </row>
    <row r="524" spans="4:16" x14ac:dyDescent="0.25">
      <c r="D524" s="559" t="s">
        <v>867</v>
      </c>
      <c r="E524" s="558">
        <v>100298</v>
      </c>
      <c r="F524" s="559">
        <v>101136</v>
      </c>
      <c r="G524" s="558" t="s">
        <v>4752</v>
      </c>
      <c r="H524" s="564">
        <v>40015</v>
      </c>
      <c r="I524" s="563">
        <v>2172.3000000000002</v>
      </c>
      <c r="J524" s="563">
        <v>-585</v>
      </c>
      <c r="K524" s="563">
        <f t="shared" si="21"/>
        <v>1587.3000000000002</v>
      </c>
      <c r="L524" s="563">
        <f t="shared" si="22"/>
        <v>1746.0300000000004</v>
      </c>
      <c r="M524" s="563">
        <f t="shared" si="23"/>
        <v>2389.5300000000002</v>
      </c>
      <c r="N524" s="580"/>
      <c r="O524" s="558"/>
      <c r="P524" s="564"/>
    </row>
    <row r="525" spans="4:16" x14ac:dyDescent="0.25">
      <c r="D525" s="559" t="s">
        <v>867</v>
      </c>
      <c r="E525" s="558">
        <v>100299</v>
      </c>
      <c r="F525" s="559">
        <v>100081</v>
      </c>
      <c r="G525" s="558" t="s">
        <v>4752</v>
      </c>
      <c r="H525" s="564">
        <v>40015</v>
      </c>
      <c r="I525" s="563">
        <v>3381.3</v>
      </c>
      <c r="J525" s="563">
        <v>-585</v>
      </c>
      <c r="K525" s="563">
        <f t="shared" si="21"/>
        <v>2796.3</v>
      </c>
      <c r="L525" s="563">
        <f t="shared" si="22"/>
        <v>3075.9300000000003</v>
      </c>
      <c r="M525" s="563">
        <f t="shared" si="23"/>
        <v>3719.4300000000003</v>
      </c>
      <c r="N525" s="580"/>
      <c r="O525" s="558"/>
      <c r="P525" s="564"/>
    </row>
    <row r="526" spans="4:16" x14ac:dyDescent="0.25">
      <c r="D526" s="559" t="s">
        <v>867</v>
      </c>
      <c r="E526" s="558">
        <v>100300</v>
      </c>
      <c r="F526" s="559">
        <v>101136</v>
      </c>
      <c r="G526" s="558" t="s">
        <v>871</v>
      </c>
      <c r="H526" s="564">
        <v>40015</v>
      </c>
      <c r="I526" s="563">
        <v>66.3</v>
      </c>
      <c r="J526" s="563">
        <v>-66.3</v>
      </c>
      <c r="K526" s="563">
        <f t="shared" si="21"/>
        <v>0</v>
      </c>
      <c r="L526" s="563">
        <f t="shared" si="22"/>
        <v>0</v>
      </c>
      <c r="M526" s="563">
        <f t="shared" si="23"/>
        <v>72.930000000000007</v>
      </c>
      <c r="N526" s="580"/>
      <c r="O526" s="558"/>
      <c r="P526" s="564"/>
    </row>
    <row r="527" spans="4:16" x14ac:dyDescent="0.25">
      <c r="D527" s="559" t="s">
        <v>867</v>
      </c>
      <c r="E527" s="558">
        <v>100302</v>
      </c>
      <c r="F527" s="559">
        <v>100416</v>
      </c>
      <c r="G527" s="558" t="s">
        <v>871</v>
      </c>
      <c r="H527" s="564">
        <v>40015</v>
      </c>
      <c r="I527" s="563">
        <v>2796.3</v>
      </c>
      <c r="J527" s="563">
        <v>-585</v>
      </c>
      <c r="K527" s="563">
        <f t="shared" si="21"/>
        <v>2211.3000000000002</v>
      </c>
      <c r="L527" s="563">
        <f t="shared" si="22"/>
        <v>2432.4300000000003</v>
      </c>
      <c r="M527" s="563">
        <f t="shared" si="23"/>
        <v>3075.9300000000003</v>
      </c>
      <c r="N527" s="580"/>
      <c r="O527" s="558"/>
      <c r="P527" s="564"/>
    </row>
    <row r="528" spans="4:16" x14ac:dyDescent="0.25">
      <c r="D528" s="559" t="s">
        <v>867</v>
      </c>
      <c r="E528" s="558">
        <v>100303</v>
      </c>
      <c r="F528" s="559">
        <v>101957</v>
      </c>
      <c r="G528" s="558" t="s">
        <v>871</v>
      </c>
      <c r="H528" s="564">
        <v>40015</v>
      </c>
      <c r="I528" s="563">
        <v>66.3</v>
      </c>
      <c r="J528" s="563">
        <v>-66.3</v>
      </c>
      <c r="K528" s="563">
        <f t="shared" si="21"/>
        <v>0</v>
      </c>
      <c r="L528" s="563">
        <f t="shared" si="22"/>
        <v>0</v>
      </c>
      <c r="M528" s="563">
        <f t="shared" si="23"/>
        <v>72.930000000000007</v>
      </c>
      <c r="N528" s="580"/>
      <c r="O528" s="558"/>
      <c r="P528" s="564"/>
    </row>
    <row r="529" spans="4:16" x14ac:dyDescent="0.25">
      <c r="D529" s="559" t="s">
        <v>867</v>
      </c>
      <c r="E529" s="558">
        <v>100304</v>
      </c>
      <c r="F529" s="559">
        <v>102136</v>
      </c>
      <c r="G529" s="558" t="s">
        <v>871</v>
      </c>
      <c r="H529" s="564">
        <v>40015</v>
      </c>
      <c r="I529" s="563">
        <v>1041.3</v>
      </c>
      <c r="J529" s="563">
        <v>-585</v>
      </c>
      <c r="K529" s="582">
        <f t="shared" si="21"/>
        <v>456.29999999999995</v>
      </c>
      <c r="L529" s="563">
        <f t="shared" si="22"/>
        <v>501.93</v>
      </c>
      <c r="M529" s="563">
        <f t="shared" si="23"/>
        <v>1145.43</v>
      </c>
      <c r="N529" s="580"/>
    </row>
    <row r="530" spans="4:16" x14ac:dyDescent="0.25">
      <c r="D530" s="559" t="s">
        <v>867</v>
      </c>
      <c r="E530" s="558">
        <v>100306</v>
      </c>
      <c r="F530" s="559">
        <v>101440</v>
      </c>
      <c r="G530" s="558" t="s">
        <v>872</v>
      </c>
      <c r="H530" s="564">
        <v>40015</v>
      </c>
      <c r="I530" s="563">
        <v>2172.3000000000002</v>
      </c>
      <c r="J530" s="563">
        <v>-585</v>
      </c>
      <c r="K530" s="563">
        <f t="shared" si="21"/>
        <v>1587.3000000000002</v>
      </c>
      <c r="L530" s="563">
        <f t="shared" si="22"/>
        <v>1746.0300000000004</v>
      </c>
      <c r="M530" s="563">
        <f t="shared" si="23"/>
        <v>2389.5300000000002</v>
      </c>
      <c r="N530" s="580"/>
      <c r="O530" s="558"/>
      <c r="P530" s="564"/>
    </row>
    <row r="531" spans="4:16" x14ac:dyDescent="0.25">
      <c r="D531" s="559" t="s">
        <v>867</v>
      </c>
      <c r="E531" s="558">
        <v>100307</v>
      </c>
      <c r="F531" s="559">
        <v>100025</v>
      </c>
      <c r="G531" s="558" t="s">
        <v>872</v>
      </c>
      <c r="H531" s="564">
        <v>40015</v>
      </c>
      <c r="I531" s="563">
        <v>202.8</v>
      </c>
      <c r="J531" s="563">
        <v>-202.8</v>
      </c>
      <c r="K531" s="582">
        <f t="shared" si="21"/>
        <v>0</v>
      </c>
      <c r="L531" s="563">
        <f t="shared" si="22"/>
        <v>0</v>
      </c>
      <c r="M531" s="563">
        <f t="shared" si="23"/>
        <v>223.08000000000004</v>
      </c>
      <c r="N531" s="580"/>
    </row>
    <row r="532" spans="4:16" x14ac:dyDescent="0.25">
      <c r="D532" s="559" t="s">
        <v>867</v>
      </c>
      <c r="E532" s="558">
        <v>100309</v>
      </c>
      <c r="F532" s="559">
        <v>102775</v>
      </c>
      <c r="G532" s="558" t="s">
        <v>872</v>
      </c>
      <c r="H532" s="564">
        <v>40015</v>
      </c>
      <c r="I532" s="563">
        <v>4602</v>
      </c>
      <c r="J532" s="563">
        <v>-585</v>
      </c>
      <c r="K532" s="582">
        <f t="shared" si="21"/>
        <v>4017</v>
      </c>
      <c r="L532" s="563">
        <f t="shared" si="22"/>
        <v>4418.7000000000007</v>
      </c>
      <c r="M532" s="563">
        <f t="shared" si="23"/>
        <v>5062.2000000000007</v>
      </c>
      <c r="N532" s="580"/>
    </row>
    <row r="533" spans="4:16" x14ac:dyDescent="0.25">
      <c r="D533" s="559" t="s">
        <v>867</v>
      </c>
      <c r="E533" s="558">
        <v>100310</v>
      </c>
      <c r="F533" s="559">
        <v>101578</v>
      </c>
      <c r="G533" s="558" t="s">
        <v>872</v>
      </c>
      <c r="H533" s="564">
        <v>40015</v>
      </c>
      <c r="I533" s="563">
        <v>2975.7</v>
      </c>
      <c r="J533" s="563">
        <v>-585</v>
      </c>
      <c r="K533" s="563">
        <f t="shared" si="21"/>
        <v>2390.6999999999998</v>
      </c>
      <c r="L533" s="563">
        <f t="shared" si="22"/>
        <v>2629.77</v>
      </c>
      <c r="M533" s="563">
        <f t="shared" si="23"/>
        <v>3273.27</v>
      </c>
      <c r="N533" s="580"/>
      <c r="O533" s="558"/>
      <c r="P533" s="564"/>
    </row>
    <row r="534" spans="4:16" x14ac:dyDescent="0.25">
      <c r="D534" s="559" t="s">
        <v>867</v>
      </c>
      <c r="E534" s="558">
        <v>100311</v>
      </c>
      <c r="F534" s="559">
        <v>100366</v>
      </c>
      <c r="G534" s="558" t="s">
        <v>872</v>
      </c>
      <c r="H534" s="564">
        <v>40015</v>
      </c>
      <c r="I534" s="563">
        <v>89.7</v>
      </c>
      <c r="J534" s="563">
        <v>-89.7</v>
      </c>
      <c r="K534" s="582">
        <f t="shared" si="21"/>
        <v>0</v>
      </c>
      <c r="L534" s="563">
        <f t="shared" si="22"/>
        <v>0</v>
      </c>
      <c r="M534" s="563">
        <f t="shared" si="23"/>
        <v>98.670000000000016</v>
      </c>
      <c r="N534" s="580"/>
    </row>
    <row r="535" spans="4:16" x14ac:dyDescent="0.25">
      <c r="D535" s="559" t="s">
        <v>867</v>
      </c>
      <c r="E535" s="558">
        <v>100314</v>
      </c>
      <c r="F535" s="559">
        <v>102672</v>
      </c>
      <c r="G535" s="558" t="s">
        <v>4753</v>
      </c>
      <c r="H535" s="564">
        <v>40015</v>
      </c>
      <c r="I535" s="563">
        <v>1025.7</v>
      </c>
      <c r="J535" s="563">
        <v>-585</v>
      </c>
      <c r="K535" s="563">
        <f t="shared" si="21"/>
        <v>440.70000000000005</v>
      </c>
      <c r="L535" s="563">
        <f t="shared" si="22"/>
        <v>484.7700000000001</v>
      </c>
      <c r="M535" s="563">
        <f t="shared" si="23"/>
        <v>1128.2700000000002</v>
      </c>
      <c r="N535" s="580"/>
      <c r="O535" s="558"/>
      <c r="P535" s="564"/>
    </row>
    <row r="536" spans="4:16" x14ac:dyDescent="0.25">
      <c r="D536" s="559" t="s">
        <v>867</v>
      </c>
      <c r="E536" s="558">
        <v>100315</v>
      </c>
      <c r="F536" s="559">
        <v>101690</v>
      </c>
      <c r="G536" s="558" t="s">
        <v>4753</v>
      </c>
      <c r="H536" s="564">
        <v>40015</v>
      </c>
      <c r="I536" s="563">
        <v>62.4</v>
      </c>
      <c r="J536" s="563">
        <v>-62.4</v>
      </c>
      <c r="K536" s="563">
        <f t="shared" si="21"/>
        <v>0</v>
      </c>
      <c r="L536" s="563">
        <f t="shared" si="22"/>
        <v>0</v>
      </c>
      <c r="M536" s="563">
        <f t="shared" si="23"/>
        <v>68.64</v>
      </c>
      <c r="N536" s="580"/>
      <c r="O536" s="558"/>
      <c r="P536" s="564"/>
    </row>
    <row r="537" spans="4:16" x14ac:dyDescent="0.25">
      <c r="D537" s="559" t="s">
        <v>867</v>
      </c>
      <c r="E537" s="558">
        <v>100316</v>
      </c>
      <c r="F537" s="559">
        <v>101691</v>
      </c>
      <c r="G537" s="558" t="s">
        <v>4753</v>
      </c>
      <c r="H537" s="564">
        <v>40015</v>
      </c>
      <c r="I537" s="563">
        <v>787.8</v>
      </c>
      <c r="J537" s="563">
        <v>-585</v>
      </c>
      <c r="K537" s="563">
        <f t="shared" si="21"/>
        <v>202.79999999999995</v>
      </c>
      <c r="L537" s="563">
        <f t="shared" si="22"/>
        <v>223.07999999999996</v>
      </c>
      <c r="M537" s="563">
        <f t="shared" si="23"/>
        <v>866.58</v>
      </c>
      <c r="N537" s="580"/>
      <c r="O537" s="558"/>
      <c r="P537" s="564"/>
    </row>
    <row r="538" spans="4:16" x14ac:dyDescent="0.25">
      <c r="D538" s="559" t="s">
        <v>867</v>
      </c>
      <c r="E538" s="558">
        <v>100317</v>
      </c>
      <c r="F538" s="559">
        <v>101614</v>
      </c>
      <c r="G538" s="558" t="s">
        <v>4753</v>
      </c>
      <c r="H538" s="564">
        <v>40015</v>
      </c>
      <c r="I538" s="563">
        <v>46.8</v>
      </c>
      <c r="J538" s="563">
        <v>-46.8</v>
      </c>
      <c r="K538" s="563">
        <f t="shared" si="21"/>
        <v>0</v>
      </c>
      <c r="L538" s="563">
        <f t="shared" si="22"/>
        <v>0</v>
      </c>
      <c r="M538" s="563">
        <f t="shared" si="23"/>
        <v>51.480000000000004</v>
      </c>
      <c r="N538" s="580"/>
      <c r="O538" s="558"/>
      <c r="P538" s="564"/>
    </row>
    <row r="539" spans="4:16" x14ac:dyDescent="0.25">
      <c r="D539" s="559" t="s">
        <v>867</v>
      </c>
      <c r="E539" s="558">
        <v>100318</v>
      </c>
      <c r="F539" s="559">
        <v>101829</v>
      </c>
      <c r="G539" s="558" t="s">
        <v>4753</v>
      </c>
      <c r="H539" s="564">
        <v>40015</v>
      </c>
      <c r="I539" s="563">
        <v>46.8</v>
      </c>
      <c r="J539" s="563">
        <v>-46.8</v>
      </c>
      <c r="K539" s="582">
        <f t="shared" si="21"/>
        <v>0</v>
      </c>
      <c r="L539" s="563">
        <f t="shared" si="22"/>
        <v>0</v>
      </c>
      <c r="M539" s="563">
        <f t="shared" si="23"/>
        <v>51.480000000000004</v>
      </c>
      <c r="N539" s="580"/>
    </row>
    <row r="540" spans="4:16" x14ac:dyDescent="0.25">
      <c r="D540" s="559" t="s">
        <v>867</v>
      </c>
      <c r="E540" s="558">
        <v>100319</v>
      </c>
      <c r="F540" s="559">
        <v>101615</v>
      </c>
      <c r="G540" s="558" t="s">
        <v>4754</v>
      </c>
      <c r="H540" s="564">
        <v>40015</v>
      </c>
      <c r="I540" s="563">
        <v>46.8</v>
      </c>
      <c r="J540" s="563">
        <v>-46.8</v>
      </c>
      <c r="K540" s="563">
        <f t="shared" si="21"/>
        <v>0</v>
      </c>
      <c r="L540" s="563">
        <f t="shared" si="22"/>
        <v>0</v>
      </c>
      <c r="M540" s="563">
        <f t="shared" si="23"/>
        <v>51.480000000000004</v>
      </c>
      <c r="N540" s="580"/>
      <c r="O540" s="558"/>
      <c r="P540" s="564"/>
    </row>
    <row r="541" spans="4:16" x14ac:dyDescent="0.25">
      <c r="D541" s="559" t="s">
        <v>867</v>
      </c>
      <c r="E541" s="558">
        <v>100320</v>
      </c>
      <c r="F541" s="559">
        <v>102934</v>
      </c>
      <c r="G541" s="558" t="s">
        <v>4754</v>
      </c>
      <c r="H541" s="564">
        <v>40015</v>
      </c>
      <c r="I541" s="563">
        <v>46.8</v>
      </c>
      <c r="J541" s="563">
        <v>-46.8</v>
      </c>
      <c r="K541" s="582">
        <f t="shared" si="21"/>
        <v>0</v>
      </c>
      <c r="L541" s="563">
        <f t="shared" si="22"/>
        <v>0</v>
      </c>
      <c r="M541" s="563">
        <f t="shared" si="23"/>
        <v>51.480000000000004</v>
      </c>
      <c r="N541" s="580"/>
    </row>
    <row r="542" spans="4:16" x14ac:dyDescent="0.25">
      <c r="D542" s="559" t="s">
        <v>867</v>
      </c>
      <c r="E542" s="558">
        <v>100321</v>
      </c>
      <c r="F542" s="559">
        <v>100538</v>
      </c>
      <c r="G542" s="558" t="s">
        <v>4754</v>
      </c>
      <c r="H542" s="564">
        <v>40015</v>
      </c>
      <c r="I542" s="563">
        <v>713.7</v>
      </c>
      <c r="J542" s="563">
        <v>-585</v>
      </c>
      <c r="K542" s="582">
        <f t="shared" si="21"/>
        <v>128.70000000000005</v>
      </c>
      <c r="L542" s="563">
        <f t="shared" si="22"/>
        <v>141.57000000000005</v>
      </c>
      <c r="M542" s="563">
        <f t="shared" si="23"/>
        <v>785.07000000000016</v>
      </c>
      <c r="N542" s="580"/>
    </row>
    <row r="543" spans="4:16" x14ac:dyDescent="0.25">
      <c r="D543" s="559" t="s">
        <v>867</v>
      </c>
      <c r="E543" s="558">
        <v>100322</v>
      </c>
      <c r="F543" s="559">
        <v>100039</v>
      </c>
      <c r="G543" s="558" t="s">
        <v>4754</v>
      </c>
      <c r="H543" s="564">
        <v>40015</v>
      </c>
      <c r="I543" s="563">
        <v>5343</v>
      </c>
      <c r="J543" s="563">
        <v>-585</v>
      </c>
      <c r="K543" s="582">
        <f t="shared" si="21"/>
        <v>4758</v>
      </c>
      <c r="L543" s="563">
        <f t="shared" si="22"/>
        <v>5233.8</v>
      </c>
      <c r="M543" s="563">
        <f t="shared" si="23"/>
        <v>5877.3</v>
      </c>
      <c r="N543" s="580"/>
    </row>
    <row r="544" spans="4:16" x14ac:dyDescent="0.25">
      <c r="D544" s="559" t="s">
        <v>867</v>
      </c>
      <c r="E544" s="558">
        <v>100323</v>
      </c>
      <c r="F544" s="559">
        <v>102973</v>
      </c>
      <c r="G544" s="558" t="s">
        <v>4754</v>
      </c>
      <c r="H544" s="564">
        <v>40015</v>
      </c>
      <c r="I544" s="563">
        <v>89.7</v>
      </c>
      <c r="J544" s="563">
        <v>-89.7</v>
      </c>
      <c r="K544" s="582">
        <f t="shared" si="21"/>
        <v>0</v>
      </c>
      <c r="L544" s="563">
        <f t="shared" si="22"/>
        <v>0</v>
      </c>
      <c r="M544" s="563">
        <f t="shared" si="23"/>
        <v>98.670000000000016</v>
      </c>
      <c r="N544" s="580"/>
    </row>
    <row r="545" spans="4:16" x14ac:dyDescent="0.25">
      <c r="D545" s="559" t="s">
        <v>867</v>
      </c>
      <c r="E545" s="558">
        <v>100324</v>
      </c>
      <c r="F545" s="559">
        <v>102974</v>
      </c>
      <c r="G545" s="558" t="s">
        <v>4755</v>
      </c>
      <c r="H545" s="564">
        <v>40015</v>
      </c>
      <c r="I545" s="563">
        <v>89.7</v>
      </c>
      <c r="J545" s="563">
        <v>-89.7</v>
      </c>
      <c r="K545" s="582">
        <f t="shared" si="21"/>
        <v>0</v>
      </c>
      <c r="L545" s="563">
        <f t="shared" si="22"/>
        <v>0</v>
      </c>
      <c r="M545" s="563">
        <f t="shared" si="23"/>
        <v>98.670000000000016</v>
      </c>
      <c r="N545" s="580"/>
    </row>
    <row r="546" spans="4:16" x14ac:dyDescent="0.25">
      <c r="D546" s="559" t="s">
        <v>867</v>
      </c>
      <c r="E546" s="558">
        <v>100325</v>
      </c>
      <c r="F546" s="559">
        <v>100363</v>
      </c>
      <c r="G546" s="558" t="s">
        <v>4755</v>
      </c>
      <c r="H546" s="564">
        <v>40015</v>
      </c>
      <c r="I546" s="563">
        <v>799.5</v>
      </c>
      <c r="J546" s="563">
        <v>-585</v>
      </c>
      <c r="K546" s="582">
        <f t="shared" si="21"/>
        <v>214.5</v>
      </c>
      <c r="L546" s="563">
        <f t="shared" si="22"/>
        <v>235.95000000000002</v>
      </c>
      <c r="M546" s="563">
        <f t="shared" si="23"/>
        <v>879.45</v>
      </c>
      <c r="N546" s="580"/>
    </row>
    <row r="547" spans="4:16" x14ac:dyDescent="0.25">
      <c r="D547" s="559" t="s">
        <v>867</v>
      </c>
      <c r="E547" s="558">
        <v>100328</v>
      </c>
      <c r="F547" s="559">
        <v>100656</v>
      </c>
      <c r="G547" s="558" t="s">
        <v>4755</v>
      </c>
      <c r="H547" s="564">
        <v>40015</v>
      </c>
      <c r="I547" s="563">
        <v>569.4</v>
      </c>
      <c r="J547" s="563">
        <v>-569.4</v>
      </c>
      <c r="K547" s="563">
        <f t="shared" si="21"/>
        <v>0</v>
      </c>
      <c r="L547" s="563">
        <f t="shared" si="22"/>
        <v>0</v>
      </c>
      <c r="M547" s="563">
        <f t="shared" si="23"/>
        <v>626.34</v>
      </c>
      <c r="N547" s="580"/>
      <c r="O547" s="558"/>
      <c r="P547" s="564"/>
    </row>
    <row r="548" spans="4:16" x14ac:dyDescent="0.25">
      <c r="D548" s="559" t="s">
        <v>867</v>
      </c>
      <c r="E548" s="558">
        <v>100329</v>
      </c>
      <c r="F548" s="559">
        <v>102578</v>
      </c>
      <c r="G548" s="558" t="s">
        <v>4755</v>
      </c>
      <c r="H548" s="564">
        <v>40015</v>
      </c>
      <c r="I548" s="563">
        <v>1142.7</v>
      </c>
      <c r="J548" s="563">
        <v>-585</v>
      </c>
      <c r="K548" s="582">
        <f t="shared" si="21"/>
        <v>557.70000000000005</v>
      </c>
      <c r="L548" s="563">
        <f t="shared" si="22"/>
        <v>613.47000000000014</v>
      </c>
      <c r="M548" s="563">
        <f t="shared" si="23"/>
        <v>1256.9700000000003</v>
      </c>
      <c r="N548" s="580"/>
    </row>
    <row r="549" spans="4:16" x14ac:dyDescent="0.25">
      <c r="D549" s="559" t="s">
        <v>867</v>
      </c>
      <c r="E549" s="558">
        <v>100330</v>
      </c>
      <c r="F549" s="559">
        <v>100720</v>
      </c>
      <c r="G549" s="558" t="s">
        <v>4755</v>
      </c>
      <c r="H549" s="564">
        <v>40015</v>
      </c>
      <c r="I549" s="563">
        <v>42.9</v>
      </c>
      <c r="J549" s="563">
        <v>-42.9</v>
      </c>
      <c r="K549" s="582">
        <f t="shared" si="21"/>
        <v>0</v>
      </c>
      <c r="L549" s="563">
        <f t="shared" si="22"/>
        <v>0</v>
      </c>
      <c r="M549" s="563">
        <f t="shared" si="23"/>
        <v>47.190000000000005</v>
      </c>
      <c r="N549" s="580"/>
    </row>
    <row r="550" spans="4:16" x14ac:dyDescent="0.25">
      <c r="D550" s="559" t="s">
        <v>867</v>
      </c>
      <c r="E550" s="558">
        <v>100331</v>
      </c>
      <c r="F550" s="559">
        <v>102060</v>
      </c>
      <c r="G550" s="558" t="s">
        <v>4756</v>
      </c>
      <c r="H550" s="564">
        <v>40015</v>
      </c>
      <c r="I550" s="563">
        <v>42.9</v>
      </c>
      <c r="J550" s="563">
        <v>-42.9</v>
      </c>
      <c r="K550" s="563">
        <f t="shared" si="21"/>
        <v>0</v>
      </c>
      <c r="L550" s="563">
        <f t="shared" si="22"/>
        <v>0</v>
      </c>
      <c r="M550" s="563">
        <f t="shared" si="23"/>
        <v>47.190000000000005</v>
      </c>
      <c r="N550" s="580"/>
      <c r="O550" s="558"/>
      <c r="P550" s="564"/>
    </row>
    <row r="551" spans="4:16" x14ac:dyDescent="0.25">
      <c r="D551" s="559" t="s">
        <v>867</v>
      </c>
      <c r="E551" s="558">
        <v>100332</v>
      </c>
      <c r="F551" s="559">
        <v>102983</v>
      </c>
      <c r="G551" s="558" t="s">
        <v>4756</v>
      </c>
      <c r="H551" s="564">
        <v>40015</v>
      </c>
      <c r="I551" s="563">
        <v>42.9</v>
      </c>
      <c r="J551" s="563">
        <v>-42.9</v>
      </c>
      <c r="K551" s="582">
        <f t="shared" si="21"/>
        <v>0</v>
      </c>
      <c r="L551" s="563">
        <f t="shared" si="22"/>
        <v>0</v>
      </c>
      <c r="M551" s="563">
        <f t="shared" si="23"/>
        <v>47.190000000000005</v>
      </c>
      <c r="N551" s="580"/>
    </row>
    <row r="552" spans="4:16" x14ac:dyDescent="0.25">
      <c r="D552" s="559" t="s">
        <v>867</v>
      </c>
      <c r="E552" s="558">
        <v>100333</v>
      </c>
      <c r="F552" s="559">
        <v>102623</v>
      </c>
      <c r="G552" s="558" t="s">
        <v>4756</v>
      </c>
      <c r="H552" s="564">
        <v>40015</v>
      </c>
      <c r="I552" s="563">
        <v>42.9</v>
      </c>
      <c r="J552" s="563">
        <v>-42.9</v>
      </c>
      <c r="K552" s="582">
        <f t="shared" si="21"/>
        <v>0</v>
      </c>
      <c r="L552" s="563">
        <f t="shared" si="22"/>
        <v>0</v>
      </c>
      <c r="M552" s="563">
        <f t="shared" si="23"/>
        <v>47.190000000000005</v>
      </c>
      <c r="N552" s="580"/>
    </row>
    <row r="553" spans="4:16" x14ac:dyDescent="0.25">
      <c r="D553" s="559" t="s">
        <v>867</v>
      </c>
      <c r="E553" s="558">
        <v>100334</v>
      </c>
      <c r="F553" s="559">
        <v>102948</v>
      </c>
      <c r="G553" s="558" t="s">
        <v>4756</v>
      </c>
      <c r="H553" s="564">
        <v>40015</v>
      </c>
      <c r="I553" s="563">
        <v>42.9</v>
      </c>
      <c r="J553" s="563">
        <v>-42.9</v>
      </c>
      <c r="K553" s="563">
        <f t="shared" ref="K553:K616" si="24">+I553+J553</f>
        <v>0</v>
      </c>
      <c r="L553" s="563">
        <f t="shared" ref="L553:L616" si="25">+K553*1.1</f>
        <v>0</v>
      </c>
      <c r="M553" s="563">
        <f t="shared" ref="M553:M616" si="26">+I553*1.1</f>
        <v>47.190000000000005</v>
      </c>
      <c r="N553" s="580"/>
      <c r="O553" s="558"/>
      <c r="P553" s="564"/>
    </row>
    <row r="554" spans="4:16" x14ac:dyDescent="0.25">
      <c r="D554" s="559" t="s">
        <v>867</v>
      </c>
      <c r="E554" s="558">
        <v>100335</v>
      </c>
      <c r="F554" s="559">
        <v>101112</v>
      </c>
      <c r="G554" s="558" t="s">
        <v>4756</v>
      </c>
      <c r="H554" s="564">
        <v>40015</v>
      </c>
      <c r="I554" s="563">
        <v>2148.9</v>
      </c>
      <c r="J554" s="563">
        <v>-585</v>
      </c>
      <c r="K554" s="582">
        <f t="shared" si="24"/>
        <v>1563.9</v>
      </c>
      <c r="L554" s="563">
        <f t="shared" si="25"/>
        <v>1720.2900000000002</v>
      </c>
      <c r="M554" s="563">
        <f t="shared" si="26"/>
        <v>2363.7900000000004</v>
      </c>
      <c r="N554" s="580"/>
    </row>
    <row r="555" spans="4:16" x14ac:dyDescent="0.25">
      <c r="D555" s="559" t="s">
        <v>867</v>
      </c>
      <c r="E555" s="558">
        <v>100336</v>
      </c>
      <c r="F555" s="559">
        <v>101003</v>
      </c>
      <c r="G555" s="558" t="s">
        <v>4757</v>
      </c>
      <c r="H555" s="564">
        <v>40015</v>
      </c>
      <c r="I555" s="563">
        <v>1025.7</v>
      </c>
      <c r="J555" s="563">
        <v>-585</v>
      </c>
      <c r="K555" s="582">
        <f t="shared" si="24"/>
        <v>440.70000000000005</v>
      </c>
      <c r="L555" s="563">
        <f t="shared" si="25"/>
        <v>484.7700000000001</v>
      </c>
      <c r="M555" s="563">
        <f t="shared" si="26"/>
        <v>1128.2700000000002</v>
      </c>
      <c r="N555" s="580"/>
    </row>
    <row r="556" spans="4:16" x14ac:dyDescent="0.25">
      <c r="D556" s="559" t="s">
        <v>867</v>
      </c>
      <c r="E556" s="558">
        <v>100337</v>
      </c>
      <c r="F556" s="559">
        <v>101004</v>
      </c>
      <c r="G556" s="558" t="s">
        <v>4757</v>
      </c>
      <c r="H556" s="564">
        <v>40015</v>
      </c>
      <c r="I556" s="563">
        <v>42.9</v>
      </c>
      <c r="J556" s="563">
        <v>-42.9</v>
      </c>
      <c r="K556" s="582">
        <f t="shared" si="24"/>
        <v>0</v>
      </c>
      <c r="L556" s="563">
        <f t="shared" si="25"/>
        <v>0</v>
      </c>
      <c r="M556" s="563">
        <f t="shared" si="26"/>
        <v>47.190000000000005</v>
      </c>
      <c r="N556" s="580"/>
    </row>
    <row r="557" spans="4:16" x14ac:dyDescent="0.25">
      <c r="D557" s="559" t="s">
        <v>867</v>
      </c>
      <c r="E557" s="558">
        <v>100338</v>
      </c>
      <c r="F557" s="559">
        <v>101005</v>
      </c>
      <c r="G557" s="558" t="s">
        <v>4757</v>
      </c>
      <c r="H557" s="564">
        <v>40015</v>
      </c>
      <c r="I557" s="563">
        <v>42.9</v>
      </c>
      <c r="J557" s="563">
        <v>-42.9</v>
      </c>
      <c r="K557" s="582">
        <f t="shared" si="24"/>
        <v>0</v>
      </c>
      <c r="L557" s="563">
        <f t="shared" si="25"/>
        <v>0</v>
      </c>
      <c r="M557" s="563">
        <f t="shared" si="26"/>
        <v>47.190000000000005</v>
      </c>
      <c r="N557" s="580"/>
    </row>
    <row r="558" spans="4:16" x14ac:dyDescent="0.25">
      <c r="D558" s="559" t="s">
        <v>867</v>
      </c>
      <c r="E558" s="558">
        <v>100339</v>
      </c>
      <c r="F558" s="559">
        <v>101381</v>
      </c>
      <c r="G558" s="558" t="s">
        <v>4757</v>
      </c>
      <c r="H558" s="564">
        <v>40015</v>
      </c>
      <c r="I558" s="563">
        <v>752.7</v>
      </c>
      <c r="J558" s="563">
        <v>-585</v>
      </c>
      <c r="K558" s="582">
        <f t="shared" si="24"/>
        <v>167.70000000000005</v>
      </c>
      <c r="L558" s="563">
        <f t="shared" si="25"/>
        <v>184.47000000000006</v>
      </c>
      <c r="M558" s="563">
        <f t="shared" si="26"/>
        <v>827.97000000000014</v>
      </c>
      <c r="N558" s="580"/>
    </row>
    <row r="559" spans="4:16" x14ac:dyDescent="0.25">
      <c r="D559" s="559" t="s">
        <v>867</v>
      </c>
      <c r="E559" s="558">
        <v>100340</v>
      </c>
      <c r="F559" s="559">
        <v>102948</v>
      </c>
      <c r="G559" s="558" t="s">
        <v>4757</v>
      </c>
      <c r="H559" s="564">
        <v>40015</v>
      </c>
      <c r="I559" s="563">
        <v>89.7</v>
      </c>
      <c r="J559" s="563">
        <v>-89.7</v>
      </c>
      <c r="K559" s="563">
        <f t="shared" si="24"/>
        <v>0</v>
      </c>
      <c r="L559" s="563">
        <f t="shared" si="25"/>
        <v>0</v>
      </c>
      <c r="M559" s="563">
        <f t="shared" si="26"/>
        <v>98.670000000000016</v>
      </c>
      <c r="N559" s="580"/>
      <c r="O559" s="558"/>
      <c r="P559" s="564"/>
    </row>
    <row r="560" spans="4:16" x14ac:dyDescent="0.25">
      <c r="D560" s="559" t="s">
        <v>867</v>
      </c>
      <c r="E560" s="558">
        <v>100341</v>
      </c>
      <c r="F560" s="559">
        <v>102932</v>
      </c>
      <c r="G560" s="558" t="s">
        <v>4758</v>
      </c>
      <c r="H560" s="564">
        <v>40015</v>
      </c>
      <c r="I560" s="563">
        <v>85.8</v>
      </c>
      <c r="J560" s="563">
        <v>-85.8</v>
      </c>
      <c r="K560" s="582">
        <f t="shared" si="24"/>
        <v>0</v>
      </c>
      <c r="L560" s="563">
        <f t="shared" si="25"/>
        <v>0</v>
      </c>
      <c r="M560" s="563">
        <f t="shared" si="26"/>
        <v>94.38000000000001</v>
      </c>
      <c r="N560" s="580"/>
    </row>
    <row r="561" spans="4:16" x14ac:dyDescent="0.25">
      <c r="D561" s="559" t="s">
        <v>867</v>
      </c>
      <c r="E561" s="558">
        <v>100342</v>
      </c>
      <c r="F561" s="559">
        <v>101545</v>
      </c>
      <c r="G561" s="558" t="s">
        <v>4758</v>
      </c>
      <c r="H561" s="564">
        <v>40015</v>
      </c>
      <c r="I561" s="563">
        <v>89.7</v>
      </c>
      <c r="J561" s="563">
        <v>-89.7</v>
      </c>
      <c r="K561" s="582">
        <f t="shared" si="24"/>
        <v>0</v>
      </c>
      <c r="L561" s="563">
        <f t="shared" si="25"/>
        <v>0</v>
      </c>
      <c r="M561" s="563">
        <f t="shared" si="26"/>
        <v>98.670000000000016</v>
      </c>
      <c r="N561" s="580"/>
    </row>
    <row r="562" spans="4:16" x14ac:dyDescent="0.25">
      <c r="D562" s="559" t="s">
        <v>867</v>
      </c>
      <c r="E562" s="558">
        <v>100343</v>
      </c>
      <c r="F562" s="559">
        <v>102618</v>
      </c>
      <c r="G562" s="558" t="s">
        <v>4758</v>
      </c>
      <c r="H562" s="564">
        <v>40015</v>
      </c>
      <c r="I562" s="563">
        <v>1259.7</v>
      </c>
      <c r="J562" s="563">
        <v>-585</v>
      </c>
      <c r="K562" s="563">
        <f t="shared" si="24"/>
        <v>674.7</v>
      </c>
      <c r="L562" s="563">
        <f t="shared" si="25"/>
        <v>742.17000000000007</v>
      </c>
      <c r="M562" s="563">
        <f t="shared" si="26"/>
        <v>1385.67</v>
      </c>
      <c r="N562" s="580"/>
      <c r="O562" s="558"/>
      <c r="P562" s="564"/>
    </row>
    <row r="563" spans="4:16" x14ac:dyDescent="0.25">
      <c r="D563" s="559" t="s">
        <v>867</v>
      </c>
      <c r="E563" s="558">
        <v>100349</v>
      </c>
      <c r="F563" s="559">
        <v>102236</v>
      </c>
      <c r="G563" s="558" t="s">
        <v>4758</v>
      </c>
      <c r="H563" s="564">
        <v>40015</v>
      </c>
      <c r="I563" s="563">
        <v>296.39999999999998</v>
      </c>
      <c r="J563" s="563">
        <v>-296.39999999999998</v>
      </c>
      <c r="K563" s="563">
        <f t="shared" si="24"/>
        <v>0</v>
      </c>
      <c r="L563" s="563">
        <f t="shared" si="25"/>
        <v>0</v>
      </c>
      <c r="M563" s="563">
        <f t="shared" si="26"/>
        <v>326.04000000000002</v>
      </c>
      <c r="N563" s="580"/>
      <c r="O563" s="558"/>
      <c r="P563" s="564"/>
    </row>
    <row r="564" spans="4:16" x14ac:dyDescent="0.25">
      <c r="D564" s="559" t="s">
        <v>867</v>
      </c>
      <c r="E564" s="558">
        <v>100350</v>
      </c>
      <c r="F564" s="559">
        <v>102615</v>
      </c>
      <c r="G564" s="558" t="s">
        <v>4758</v>
      </c>
      <c r="H564" s="564">
        <v>40015</v>
      </c>
      <c r="I564" s="563">
        <v>62.4</v>
      </c>
      <c r="J564" s="563">
        <v>-62.4</v>
      </c>
      <c r="K564" s="582">
        <f t="shared" si="24"/>
        <v>0</v>
      </c>
      <c r="L564" s="563">
        <f t="shared" si="25"/>
        <v>0</v>
      </c>
      <c r="M564" s="563">
        <f t="shared" si="26"/>
        <v>68.64</v>
      </c>
      <c r="N564" s="580"/>
    </row>
    <row r="565" spans="4:16" x14ac:dyDescent="0.25">
      <c r="D565" s="559" t="s">
        <v>867</v>
      </c>
      <c r="E565" s="558">
        <v>100351</v>
      </c>
      <c r="F565" s="559">
        <v>301830</v>
      </c>
      <c r="G565" s="558" t="s">
        <v>4759</v>
      </c>
      <c r="H565" s="564">
        <v>40015</v>
      </c>
      <c r="I565" s="563">
        <v>920.4</v>
      </c>
      <c r="J565" s="563">
        <v>-585</v>
      </c>
      <c r="K565" s="582">
        <f t="shared" si="24"/>
        <v>335.4</v>
      </c>
      <c r="L565" s="563">
        <f t="shared" si="25"/>
        <v>368.94</v>
      </c>
      <c r="M565" s="563">
        <f t="shared" si="26"/>
        <v>1012.44</v>
      </c>
      <c r="N565" s="580"/>
    </row>
    <row r="566" spans="4:16" x14ac:dyDescent="0.25">
      <c r="D566" s="559" t="s">
        <v>867</v>
      </c>
      <c r="E566" s="558">
        <v>100352</v>
      </c>
      <c r="F566" s="559">
        <v>102979</v>
      </c>
      <c r="G566" s="558" t="s">
        <v>4759</v>
      </c>
      <c r="H566" s="564">
        <v>40015</v>
      </c>
      <c r="I566" s="563">
        <v>62.4</v>
      </c>
      <c r="J566" s="563">
        <v>-62.4</v>
      </c>
      <c r="K566" s="582">
        <f t="shared" si="24"/>
        <v>0</v>
      </c>
      <c r="L566" s="563">
        <f t="shared" si="25"/>
        <v>0</v>
      </c>
      <c r="M566" s="563">
        <f t="shared" si="26"/>
        <v>68.64</v>
      </c>
      <c r="N566" s="580"/>
    </row>
    <row r="567" spans="4:16" x14ac:dyDescent="0.25">
      <c r="D567" s="559" t="s">
        <v>867</v>
      </c>
      <c r="E567" s="558">
        <v>100353</v>
      </c>
      <c r="F567" s="559">
        <v>102931</v>
      </c>
      <c r="G567" s="558" t="s">
        <v>4759</v>
      </c>
      <c r="H567" s="564">
        <v>40015</v>
      </c>
      <c r="I567" s="563">
        <v>62.4</v>
      </c>
      <c r="J567" s="563">
        <v>-62.4</v>
      </c>
      <c r="K567" s="582">
        <f t="shared" si="24"/>
        <v>0</v>
      </c>
      <c r="L567" s="563">
        <f t="shared" si="25"/>
        <v>0</v>
      </c>
      <c r="M567" s="563">
        <f t="shared" si="26"/>
        <v>68.64</v>
      </c>
      <c r="N567" s="580"/>
    </row>
    <row r="568" spans="4:16" x14ac:dyDescent="0.25">
      <c r="D568" s="559" t="s">
        <v>867</v>
      </c>
      <c r="E568" s="558">
        <v>100354</v>
      </c>
      <c r="F568" s="559">
        <v>100016</v>
      </c>
      <c r="G568" s="558" t="s">
        <v>4759</v>
      </c>
      <c r="H568" s="564">
        <v>40015</v>
      </c>
      <c r="I568" s="563">
        <v>31.2</v>
      </c>
      <c r="J568" s="563">
        <v>-31.2</v>
      </c>
      <c r="K568" s="563">
        <f t="shared" si="24"/>
        <v>0</v>
      </c>
      <c r="L568" s="563">
        <f t="shared" si="25"/>
        <v>0</v>
      </c>
      <c r="M568" s="563">
        <f t="shared" si="26"/>
        <v>34.32</v>
      </c>
      <c r="N568" s="580"/>
      <c r="O568" s="558"/>
      <c r="P568" s="564"/>
    </row>
    <row r="569" spans="4:16" x14ac:dyDescent="0.25">
      <c r="D569" s="559" t="s">
        <v>867</v>
      </c>
      <c r="E569" s="558">
        <v>100355</v>
      </c>
      <c r="F569" s="559">
        <v>100017</v>
      </c>
      <c r="G569" s="558" t="s">
        <v>4759</v>
      </c>
      <c r="H569" s="564">
        <v>40015</v>
      </c>
      <c r="I569" s="563">
        <v>694.2</v>
      </c>
      <c r="J569" s="563">
        <v>-585</v>
      </c>
      <c r="K569" s="563">
        <f t="shared" si="24"/>
        <v>109.20000000000005</v>
      </c>
      <c r="L569" s="563">
        <f t="shared" si="25"/>
        <v>120.12000000000006</v>
      </c>
      <c r="M569" s="563">
        <f t="shared" si="26"/>
        <v>763.62000000000012</v>
      </c>
      <c r="N569" s="580"/>
      <c r="O569" s="558"/>
      <c r="P569" s="564"/>
    </row>
    <row r="570" spans="4:16" x14ac:dyDescent="0.25">
      <c r="D570" s="559" t="s">
        <v>867</v>
      </c>
      <c r="E570" s="558">
        <v>100357</v>
      </c>
      <c r="F570" s="559">
        <v>100929</v>
      </c>
      <c r="G570" s="558" t="s">
        <v>2076</v>
      </c>
      <c r="H570" s="564">
        <v>40015</v>
      </c>
      <c r="I570" s="563">
        <v>175.5</v>
      </c>
      <c r="J570" s="563">
        <v>-175.5</v>
      </c>
      <c r="K570" s="582">
        <f t="shared" si="24"/>
        <v>0</v>
      </c>
      <c r="L570" s="563">
        <f t="shared" si="25"/>
        <v>0</v>
      </c>
      <c r="M570" s="563">
        <f t="shared" si="26"/>
        <v>193.05</v>
      </c>
      <c r="N570" s="580"/>
    </row>
    <row r="571" spans="4:16" x14ac:dyDescent="0.25">
      <c r="D571" s="559" t="s">
        <v>867</v>
      </c>
      <c r="E571" s="558">
        <v>100358</v>
      </c>
      <c r="F571" s="559">
        <v>100930</v>
      </c>
      <c r="G571" s="558" t="s">
        <v>2076</v>
      </c>
      <c r="H571" s="564">
        <v>40015</v>
      </c>
      <c r="I571" s="563">
        <v>682.5</v>
      </c>
      <c r="J571" s="563">
        <v>-585</v>
      </c>
      <c r="K571" s="582">
        <f t="shared" si="24"/>
        <v>97.5</v>
      </c>
      <c r="L571" s="563">
        <f t="shared" si="25"/>
        <v>107.25000000000001</v>
      </c>
      <c r="M571" s="563">
        <f t="shared" si="26"/>
        <v>750.75000000000011</v>
      </c>
      <c r="N571" s="580"/>
    </row>
    <row r="572" spans="4:16" x14ac:dyDescent="0.25">
      <c r="D572" s="559" t="s">
        <v>867</v>
      </c>
      <c r="E572" s="558">
        <v>100359</v>
      </c>
      <c r="F572" s="559">
        <v>100665</v>
      </c>
      <c r="G572" s="558" t="s">
        <v>2076</v>
      </c>
      <c r="H572" s="564">
        <v>40015</v>
      </c>
      <c r="I572" s="563">
        <v>694.2</v>
      </c>
      <c r="J572" s="563">
        <v>-585</v>
      </c>
      <c r="K572" s="582">
        <f t="shared" si="24"/>
        <v>109.20000000000005</v>
      </c>
      <c r="L572" s="563">
        <f t="shared" si="25"/>
        <v>120.12000000000006</v>
      </c>
      <c r="M572" s="563">
        <f t="shared" si="26"/>
        <v>763.62000000000012</v>
      </c>
      <c r="N572" s="580"/>
    </row>
    <row r="573" spans="4:16" x14ac:dyDescent="0.25">
      <c r="D573" s="559" t="s">
        <v>867</v>
      </c>
      <c r="E573" s="558">
        <v>100360</v>
      </c>
      <c r="F573" s="559">
        <v>100667</v>
      </c>
      <c r="G573" s="558" t="s">
        <v>2076</v>
      </c>
      <c r="H573" s="564">
        <v>40015</v>
      </c>
      <c r="I573" s="563">
        <v>27.3</v>
      </c>
      <c r="J573" s="563">
        <v>-27.3</v>
      </c>
      <c r="K573" s="582">
        <f t="shared" si="24"/>
        <v>0</v>
      </c>
      <c r="L573" s="563">
        <f t="shared" si="25"/>
        <v>0</v>
      </c>
      <c r="M573" s="563">
        <f t="shared" si="26"/>
        <v>30.030000000000005</v>
      </c>
      <c r="N573" s="580"/>
    </row>
    <row r="574" spans="4:16" x14ac:dyDescent="0.25">
      <c r="D574" s="559" t="s">
        <v>867</v>
      </c>
      <c r="E574" s="558">
        <v>100361</v>
      </c>
      <c r="F574" s="559">
        <v>100998</v>
      </c>
      <c r="G574" s="558" t="s">
        <v>2076</v>
      </c>
      <c r="H574" s="564">
        <v>40015</v>
      </c>
      <c r="I574" s="563">
        <v>15.6</v>
      </c>
      <c r="J574" s="563">
        <v>-15.6</v>
      </c>
      <c r="K574" s="582">
        <f t="shared" si="24"/>
        <v>0</v>
      </c>
      <c r="L574" s="563">
        <f t="shared" si="25"/>
        <v>0</v>
      </c>
      <c r="M574" s="563">
        <f t="shared" si="26"/>
        <v>17.16</v>
      </c>
      <c r="N574" s="580"/>
    </row>
    <row r="575" spans="4:16" x14ac:dyDescent="0.25">
      <c r="D575" s="559" t="s">
        <v>867</v>
      </c>
      <c r="E575" s="558">
        <v>100362</v>
      </c>
      <c r="F575" s="559">
        <v>100486</v>
      </c>
      <c r="G575" s="558" t="s">
        <v>4760</v>
      </c>
      <c r="H575" s="564">
        <v>40015</v>
      </c>
      <c r="I575" s="563">
        <v>881.4</v>
      </c>
      <c r="J575" s="563">
        <v>-585</v>
      </c>
      <c r="K575" s="563">
        <f t="shared" si="24"/>
        <v>296.39999999999998</v>
      </c>
      <c r="L575" s="563">
        <f t="shared" si="25"/>
        <v>326.04000000000002</v>
      </c>
      <c r="M575" s="563">
        <f t="shared" si="26"/>
        <v>969.54000000000008</v>
      </c>
      <c r="N575" s="580"/>
      <c r="O575" s="558"/>
      <c r="P575" s="564"/>
    </row>
    <row r="576" spans="4:16" x14ac:dyDescent="0.25">
      <c r="D576" s="559" t="s">
        <v>867</v>
      </c>
      <c r="E576" s="558">
        <v>100363</v>
      </c>
      <c r="F576" s="559">
        <v>100487</v>
      </c>
      <c r="G576" s="558" t="s">
        <v>4760</v>
      </c>
      <c r="H576" s="564">
        <v>40015</v>
      </c>
      <c r="I576" s="563">
        <v>23.4</v>
      </c>
      <c r="J576" s="563">
        <v>-23.4</v>
      </c>
      <c r="K576" s="563">
        <f t="shared" si="24"/>
        <v>0</v>
      </c>
      <c r="L576" s="563">
        <f t="shared" si="25"/>
        <v>0</v>
      </c>
      <c r="M576" s="563">
        <f t="shared" si="26"/>
        <v>25.740000000000002</v>
      </c>
      <c r="N576" s="580"/>
      <c r="O576" s="558"/>
      <c r="P576" s="564"/>
    </row>
    <row r="577" spans="4:16" x14ac:dyDescent="0.25">
      <c r="D577" s="559" t="s">
        <v>867</v>
      </c>
      <c r="E577" s="558">
        <v>100365</v>
      </c>
      <c r="F577" s="559">
        <v>102962</v>
      </c>
      <c r="G577" s="558" t="s">
        <v>4760</v>
      </c>
      <c r="H577" s="564">
        <v>40015</v>
      </c>
      <c r="I577" s="563">
        <v>23.4</v>
      </c>
      <c r="J577" s="563">
        <v>-23.4</v>
      </c>
      <c r="K577" s="582">
        <f t="shared" si="24"/>
        <v>0</v>
      </c>
      <c r="L577" s="563">
        <f t="shared" si="25"/>
        <v>0</v>
      </c>
      <c r="M577" s="563">
        <f t="shared" si="26"/>
        <v>25.740000000000002</v>
      </c>
      <c r="N577" s="580"/>
    </row>
    <row r="578" spans="4:16" x14ac:dyDescent="0.25">
      <c r="D578" s="559" t="s">
        <v>867</v>
      </c>
      <c r="E578" s="558">
        <v>100366</v>
      </c>
      <c r="F578" s="559">
        <v>100001</v>
      </c>
      <c r="G578" s="558" t="s">
        <v>4760</v>
      </c>
      <c r="H578" s="564">
        <v>40015</v>
      </c>
      <c r="I578" s="563">
        <v>347.1</v>
      </c>
      <c r="J578" s="563">
        <v>-347.1</v>
      </c>
      <c r="K578" s="563">
        <f t="shared" si="24"/>
        <v>0</v>
      </c>
      <c r="L578" s="563">
        <f t="shared" si="25"/>
        <v>0</v>
      </c>
      <c r="M578" s="563">
        <f t="shared" si="26"/>
        <v>381.81000000000006</v>
      </c>
      <c r="N578" s="580"/>
      <c r="O578" s="558"/>
      <c r="P578" s="564"/>
    </row>
    <row r="579" spans="4:16" x14ac:dyDescent="0.25">
      <c r="D579" s="559" t="s">
        <v>867</v>
      </c>
      <c r="E579" s="558">
        <v>100367</v>
      </c>
      <c r="F579" s="559">
        <v>100488</v>
      </c>
      <c r="G579" s="558" t="s">
        <v>4760</v>
      </c>
      <c r="H579" s="564">
        <v>40015</v>
      </c>
      <c r="I579" s="563">
        <v>23.4</v>
      </c>
      <c r="J579" s="563">
        <v>-23.4</v>
      </c>
      <c r="K579" s="563">
        <f t="shared" si="24"/>
        <v>0</v>
      </c>
      <c r="L579" s="563">
        <f t="shared" si="25"/>
        <v>0</v>
      </c>
      <c r="M579" s="563">
        <f t="shared" si="26"/>
        <v>25.740000000000002</v>
      </c>
      <c r="N579" s="580"/>
      <c r="O579" s="558"/>
      <c r="P579" s="564"/>
    </row>
    <row r="580" spans="4:16" x14ac:dyDescent="0.25">
      <c r="D580" s="559" t="s">
        <v>867</v>
      </c>
      <c r="E580" s="558">
        <v>100368</v>
      </c>
      <c r="F580" s="559">
        <v>100012</v>
      </c>
      <c r="G580" s="558" t="s">
        <v>4761</v>
      </c>
      <c r="H580" s="564">
        <v>40015</v>
      </c>
      <c r="I580" s="563">
        <v>1349.4</v>
      </c>
      <c r="J580" s="563">
        <v>-585</v>
      </c>
      <c r="K580" s="563">
        <f t="shared" si="24"/>
        <v>764.40000000000009</v>
      </c>
      <c r="L580" s="563">
        <f t="shared" si="25"/>
        <v>840.84000000000015</v>
      </c>
      <c r="M580" s="563">
        <f t="shared" si="26"/>
        <v>1484.3400000000001</v>
      </c>
      <c r="N580" s="580"/>
      <c r="O580" s="558"/>
      <c r="P580" s="564"/>
    </row>
    <row r="581" spans="4:16" x14ac:dyDescent="0.25">
      <c r="D581" s="559" t="s">
        <v>867</v>
      </c>
      <c r="E581" s="558">
        <v>100369</v>
      </c>
      <c r="F581" s="559">
        <v>101118</v>
      </c>
      <c r="G581" s="558" t="s">
        <v>4761</v>
      </c>
      <c r="H581" s="564">
        <v>40015</v>
      </c>
      <c r="I581" s="563">
        <v>1349.4</v>
      </c>
      <c r="J581" s="563">
        <v>-585</v>
      </c>
      <c r="K581" s="563">
        <f t="shared" si="24"/>
        <v>764.40000000000009</v>
      </c>
      <c r="L581" s="563">
        <f t="shared" si="25"/>
        <v>840.84000000000015</v>
      </c>
      <c r="M581" s="563">
        <f t="shared" si="26"/>
        <v>1484.3400000000001</v>
      </c>
      <c r="N581" s="580"/>
      <c r="O581" s="558"/>
      <c r="P581" s="564"/>
    </row>
    <row r="582" spans="4:16" x14ac:dyDescent="0.25">
      <c r="D582" s="559" t="s">
        <v>867</v>
      </c>
      <c r="E582" s="558">
        <v>100370</v>
      </c>
      <c r="F582" s="559">
        <v>101156</v>
      </c>
      <c r="G582" s="558" t="s">
        <v>4761</v>
      </c>
      <c r="H582" s="564">
        <v>40015</v>
      </c>
      <c r="I582" s="563">
        <v>565.5</v>
      </c>
      <c r="J582" s="563">
        <v>-565.5</v>
      </c>
      <c r="K582" s="582">
        <f t="shared" si="24"/>
        <v>0</v>
      </c>
      <c r="L582" s="563">
        <f t="shared" si="25"/>
        <v>0</v>
      </c>
      <c r="M582" s="563">
        <f t="shared" si="26"/>
        <v>622.05000000000007</v>
      </c>
      <c r="N582" s="580"/>
    </row>
    <row r="583" spans="4:16" x14ac:dyDescent="0.25">
      <c r="D583" s="559" t="s">
        <v>867</v>
      </c>
      <c r="E583" s="558">
        <v>100373</v>
      </c>
      <c r="F583" s="559">
        <v>102559</v>
      </c>
      <c r="G583" s="558" t="s">
        <v>4761</v>
      </c>
      <c r="H583" s="564">
        <v>40015</v>
      </c>
      <c r="I583" s="563">
        <v>1774.5</v>
      </c>
      <c r="J583" s="563">
        <v>-585</v>
      </c>
      <c r="K583" s="582">
        <f t="shared" si="24"/>
        <v>1189.5</v>
      </c>
      <c r="L583" s="563">
        <f t="shared" si="25"/>
        <v>1308.45</v>
      </c>
      <c r="M583" s="563">
        <f t="shared" si="26"/>
        <v>1951.95</v>
      </c>
      <c r="N583" s="580"/>
    </row>
    <row r="584" spans="4:16" x14ac:dyDescent="0.25">
      <c r="D584" s="559" t="s">
        <v>867</v>
      </c>
      <c r="E584" s="558">
        <v>100374</v>
      </c>
      <c r="F584" s="559">
        <v>101112</v>
      </c>
      <c r="G584" s="558" t="s">
        <v>4761</v>
      </c>
      <c r="H584" s="564">
        <v>40015</v>
      </c>
      <c r="I584" s="563">
        <v>1696.5</v>
      </c>
      <c r="J584" s="563">
        <v>-585</v>
      </c>
      <c r="K584" s="582">
        <f t="shared" si="24"/>
        <v>1111.5</v>
      </c>
      <c r="L584" s="563">
        <f t="shared" si="25"/>
        <v>1222.6500000000001</v>
      </c>
      <c r="M584" s="563">
        <f t="shared" si="26"/>
        <v>1866.15</v>
      </c>
      <c r="N584" s="580"/>
    </row>
    <row r="585" spans="4:16" x14ac:dyDescent="0.25">
      <c r="D585" s="559" t="s">
        <v>867</v>
      </c>
      <c r="E585" s="558">
        <v>100375</v>
      </c>
      <c r="F585" s="559">
        <v>101582</v>
      </c>
      <c r="G585" s="558" t="s">
        <v>4762</v>
      </c>
      <c r="H585" s="564">
        <v>40015</v>
      </c>
      <c r="I585" s="563">
        <v>2379</v>
      </c>
      <c r="J585" s="563">
        <v>-585</v>
      </c>
      <c r="K585" s="582">
        <f t="shared" si="24"/>
        <v>1794</v>
      </c>
      <c r="L585" s="563">
        <f t="shared" si="25"/>
        <v>1973.4</v>
      </c>
      <c r="M585" s="563">
        <f t="shared" si="26"/>
        <v>2616.9</v>
      </c>
      <c r="N585" s="580"/>
    </row>
    <row r="586" spans="4:16" x14ac:dyDescent="0.25">
      <c r="D586" s="559" t="s">
        <v>867</v>
      </c>
      <c r="E586" s="558">
        <v>100376</v>
      </c>
      <c r="F586" s="559">
        <v>100776</v>
      </c>
      <c r="G586" s="558" t="s">
        <v>4762</v>
      </c>
      <c r="H586" s="564">
        <v>40015</v>
      </c>
      <c r="I586" s="563">
        <v>2008.5</v>
      </c>
      <c r="J586" s="563">
        <v>-585</v>
      </c>
      <c r="K586" s="563">
        <f t="shared" si="24"/>
        <v>1423.5</v>
      </c>
      <c r="L586" s="563">
        <f t="shared" si="25"/>
        <v>1565.8500000000001</v>
      </c>
      <c r="M586" s="563">
        <f t="shared" si="26"/>
        <v>2209.3500000000004</v>
      </c>
      <c r="N586" s="580"/>
      <c r="O586" s="558"/>
      <c r="P586" s="564"/>
    </row>
    <row r="587" spans="4:16" x14ac:dyDescent="0.25">
      <c r="D587" s="559" t="s">
        <v>867</v>
      </c>
      <c r="E587" s="558">
        <v>100377</v>
      </c>
      <c r="F587" s="559">
        <v>101582</v>
      </c>
      <c r="G587" s="558" t="s">
        <v>4762</v>
      </c>
      <c r="H587" s="564">
        <v>40015</v>
      </c>
      <c r="I587" s="563">
        <v>19.5</v>
      </c>
      <c r="J587" s="563">
        <v>-19.5</v>
      </c>
      <c r="K587" s="582">
        <f t="shared" si="24"/>
        <v>0</v>
      </c>
      <c r="L587" s="563">
        <f t="shared" si="25"/>
        <v>0</v>
      </c>
      <c r="M587" s="563">
        <f t="shared" si="26"/>
        <v>21.450000000000003</v>
      </c>
      <c r="N587" s="580"/>
    </row>
    <row r="588" spans="4:16" x14ac:dyDescent="0.25">
      <c r="D588" s="559" t="s">
        <v>867</v>
      </c>
      <c r="E588" s="558">
        <v>100378</v>
      </c>
      <c r="F588" s="559">
        <v>102346</v>
      </c>
      <c r="G588" s="558" t="s">
        <v>4762</v>
      </c>
      <c r="H588" s="564">
        <v>40015</v>
      </c>
      <c r="I588" s="563">
        <v>23.4</v>
      </c>
      <c r="J588" s="563">
        <v>-23.4</v>
      </c>
      <c r="K588" s="582">
        <f t="shared" si="24"/>
        <v>0</v>
      </c>
      <c r="L588" s="563">
        <f t="shared" si="25"/>
        <v>0</v>
      </c>
      <c r="M588" s="563">
        <f t="shared" si="26"/>
        <v>25.740000000000002</v>
      </c>
      <c r="N588" s="580"/>
    </row>
    <row r="589" spans="4:16" x14ac:dyDescent="0.25">
      <c r="D589" s="559" t="s">
        <v>867</v>
      </c>
      <c r="E589" s="558">
        <v>100379</v>
      </c>
      <c r="F589" s="559">
        <v>102951</v>
      </c>
      <c r="G589" s="558" t="s">
        <v>4762</v>
      </c>
      <c r="H589" s="564">
        <v>40015</v>
      </c>
      <c r="I589" s="563">
        <v>31.2</v>
      </c>
      <c r="J589" s="563">
        <v>-31.2</v>
      </c>
      <c r="K589" s="582">
        <f t="shared" si="24"/>
        <v>0</v>
      </c>
      <c r="L589" s="563">
        <f t="shared" si="25"/>
        <v>0</v>
      </c>
      <c r="M589" s="563">
        <f t="shared" si="26"/>
        <v>34.32</v>
      </c>
      <c r="N589" s="580"/>
    </row>
    <row r="590" spans="4:16" x14ac:dyDescent="0.25">
      <c r="D590" s="559" t="s">
        <v>867</v>
      </c>
      <c r="E590" s="558">
        <v>100380</v>
      </c>
      <c r="F590" s="559">
        <v>101166</v>
      </c>
      <c r="G590" s="558" t="s">
        <v>4763</v>
      </c>
      <c r="H590" s="564">
        <v>40015</v>
      </c>
      <c r="I590" s="563">
        <v>11.7</v>
      </c>
      <c r="J590" s="563">
        <v>-11.7</v>
      </c>
      <c r="K590" s="563">
        <f t="shared" si="24"/>
        <v>0</v>
      </c>
      <c r="L590" s="563">
        <f t="shared" si="25"/>
        <v>0</v>
      </c>
      <c r="M590" s="563">
        <f t="shared" si="26"/>
        <v>12.870000000000001</v>
      </c>
      <c r="N590" s="580"/>
      <c r="O590" s="558"/>
      <c r="P590" s="564"/>
    </row>
    <row r="591" spans="4:16" x14ac:dyDescent="0.25">
      <c r="D591" s="559" t="s">
        <v>867</v>
      </c>
      <c r="E591" s="558">
        <v>100381</v>
      </c>
      <c r="F591" s="559">
        <v>100647</v>
      </c>
      <c r="G591" s="558" t="s">
        <v>4763</v>
      </c>
      <c r="H591" s="564">
        <v>40015</v>
      </c>
      <c r="I591" s="563">
        <v>19.5</v>
      </c>
      <c r="J591" s="563">
        <v>-19.5</v>
      </c>
      <c r="K591" s="563">
        <f t="shared" si="24"/>
        <v>0</v>
      </c>
      <c r="L591" s="563">
        <f t="shared" si="25"/>
        <v>0</v>
      </c>
      <c r="M591" s="563">
        <f t="shared" si="26"/>
        <v>21.450000000000003</v>
      </c>
      <c r="N591" s="580"/>
      <c r="O591" s="558"/>
      <c r="P591" s="564"/>
    </row>
    <row r="592" spans="4:16" x14ac:dyDescent="0.25">
      <c r="D592" s="559" t="s">
        <v>867</v>
      </c>
      <c r="E592" s="558">
        <v>100382</v>
      </c>
      <c r="F592" s="559">
        <v>101168</v>
      </c>
      <c r="G592" s="558" t="s">
        <v>4763</v>
      </c>
      <c r="H592" s="564">
        <v>40015</v>
      </c>
      <c r="I592" s="563">
        <v>752.7</v>
      </c>
      <c r="J592" s="563">
        <v>-585</v>
      </c>
      <c r="K592" s="563">
        <f t="shared" si="24"/>
        <v>167.70000000000005</v>
      </c>
      <c r="L592" s="563">
        <f t="shared" si="25"/>
        <v>184.47000000000006</v>
      </c>
      <c r="M592" s="563">
        <f t="shared" si="26"/>
        <v>827.97000000000014</v>
      </c>
      <c r="N592" s="580"/>
      <c r="O592" s="558"/>
      <c r="P592" s="564"/>
    </row>
    <row r="593" spans="4:16" x14ac:dyDescent="0.25">
      <c r="D593" s="559" t="s">
        <v>867</v>
      </c>
      <c r="E593" s="558">
        <v>100383</v>
      </c>
      <c r="F593" s="559">
        <v>100648</v>
      </c>
      <c r="G593" s="558" t="s">
        <v>4763</v>
      </c>
      <c r="H593" s="564">
        <v>40015</v>
      </c>
      <c r="I593" s="563">
        <v>772.2</v>
      </c>
      <c r="J593" s="563">
        <v>-585</v>
      </c>
      <c r="K593" s="582">
        <f t="shared" si="24"/>
        <v>187.20000000000005</v>
      </c>
      <c r="L593" s="563">
        <f t="shared" si="25"/>
        <v>205.92000000000007</v>
      </c>
      <c r="M593" s="563">
        <f t="shared" si="26"/>
        <v>849.42000000000007</v>
      </c>
      <c r="N593" s="580"/>
    </row>
    <row r="594" spans="4:16" x14ac:dyDescent="0.25">
      <c r="D594" s="559" t="s">
        <v>867</v>
      </c>
      <c r="E594" s="558">
        <v>100384</v>
      </c>
      <c r="F594" s="559">
        <v>101707</v>
      </c>
      <c r="G594" s="558" t="s">
        <v>4763</v>
      </c>
      <c r="H594" s="564">
        <v>40015</v>
      </c>
      <c r="I594" s="563">
        <v>879.45</v>
      </c>
      <c r="J594" s="563">
        <v>-585</v>
      </c>
      <c r="K594" s="582">
        <f t="shared" si="24"/>
        <v>294.45000000000005</v>
      </c>
      <c r="L594" s="563">
        <f t="shared" si="25"/>
        <v>323.8950000000001</v>
      </c>
      <c r="M594" s="563">
        <f t="shared" si="26"/>
        <v>967.3950000000001</v>
      </c>
      <c r="N594" s="580"/>
    </row>
    <row r="595" spans="4:16" x14ac:dyDescent="0.25">
      <c r="D595" s="559" t="s">
        <v>867</v>
      </c>
      <c r="E595" s="558">
        <v>100385</v>
      </c>
      <c r="F595" s="559">
        <v>100282</v>
      </c>
      <c r="G595" s="558" t="s">
        <v>4764</v>
      </c>
      <c r="H595" s="564">
        <v>40015</v>
      </c>
      <c r="I595" s="563">
        <v>719.55</v>
      </c>
      <c r="J595" s="563">
        <v>-585</v>
      </c>
      <c r="K595" s="563">
        <f t="shared" si="24"/>
        <v>134.54999999999995</v>
      </c>
      <c r="L595" s="563">
        <f t="shared" si="25"/>
        <v>148.00499999999997</v>
      </c>
      <c r="M595" s="563">
        <f t="shared" si="26"/>
        <v>791.505</v>
      </c>
      <c r="N595" s="580"/>
      <c r="O595" s="558"/>
      <c r="P595" s="564"/>
    </row>
    <row r="596" spans="4:16" x14ac:dyDescent="0.25">
      <c r="D596" s="559" t="s">
        <v>867</v>
      </c>
      <c r="E596" s="558">
        <v>100386</v>
      </c>
      <c r="F596" s="559">
        <v>102728</v>
      </c>
      <c r="G596" s="558" t="s">
        <v>4764</v>
      </c>
      <c r="H596" s="564">
        <v>40015</v>
      </c>
      <c r="I596" s="563">
        <v>5967</v>
      </c>
      <c r="J596" s="563">
        <v>-585</v>
      </c>
      <c r="K596" s="582">
        <f t="shared" si="24"/>
        <v>5382</v>
      </c>
      <c r="L596" s="563">
        <f t="shared" si="25"/>
        <v>5920.2000000000007</v>
      </c>
      <c r="M596" s="563">
        <f t="shared" si="26"/>
        <v>6563.7000000000007</v>
      </c>
      <c r="N596" s="580"/>
    </row>
    <row r="597" spans="4:16" x14ac:dyDescent="0.25">
      <c r="D597" s="559" t="s">
        <v>867</v>
      </c>
      <c r="E597" s="558">
        <v>100387</v>
      </c>
      <c r="F597" s="559">
        <v>101757</v>
      </c>
      <c r="G597" s="558" t="s">
        <v>4764</v>
      </c>
      <c r="H597" s="564">
        <v>40015</v>
      </c>
      <c r="I597" s="563">
        <v>2379</v>
      </c>
      <c r="J597" s="563">
        <v>-585</v>
      </c>
      <c r="K597" s="563">
        <f t="shared" si="24"/>
        <v>1794</v>
      </c>
      <c r="L597" s="563">
        <f t="shared" si="25"/>
        <v>1973.4</v>
      </c>
      <c r="M597" s="563">
        <f t="shared" si="26"/>
        <v>2616.9</v>
      </c>
      <c r="N597" s="580"/>
      <c r="O597" s="558"/>
      <c r="P597" s="564"/>
    </row>
    <row r="598" spans="4:16" x14ac:dyDescent="0.25">
      <c r="D598" s="559" t="s">
        <v>867</v>
      </c>
      <c r="E598" s="558">
        <v>100388</v>
      </c>
      <c r="F598" s="559">
        <v>100299</v>
      </c>
      <c r="G598" s="558" t="s">
        <v>4764</v>
      </c>
      <c r="H598" s="564">
        <v>40015</v>
      </c>
      <c r="I598" s="563">
        <v>120.9</v>
      </c>
      <c r="J598" s="563">
        <v>-120.9</v>
      </c>
      <c r="K598" s="582">
        <f t="shared" si="24"/>
        <v>0</v>
      </c>
      <c r="L598" s="563">
        <f t="shared" si="25"/>
        <v>0</v>
      </c>
      <c r="M598" s="563">
        <f t="shared" si="26"/>
        <v>132.99</v>
      </c>
      <c r="N598" s="580"/>
    </row>
    <row r="599" spans="4:16" x14ac:dyDescent="0.25">
      <c r="D599" s="559" t="s">
        <v>867</v>
      </c>
      <c r="E599" s="558">
        <v>100390</v>
      </c>
      <c r="F599" s="559">
        <v>101135</v>
      </c>
      <c r="G599" s="558" t="s">
        <v>4764</v>
      </c>
      <c r="H599" s="564">
        <v>40015</v>
      </c>
      <c r="I599" s="563">
        <v>702</v>
      </c>
      <c r="J599" s="563">
        <v>-585</v>
      </c>
      <c r="K599" s="582">
        <f t="shared" si="24"/>
        <v>117</v>
      </c>
      <c r="L599" s="563">
        <f t="shared" si="25"/>
        <v>128.70000000000002</v>
      </c>
      <c r="M599" s="563">
        <f t="shared" si="26"/>
        <v>772.2</v>
      </c>
      <c r="N599" s="580"/>
    </row>
    <row r="600" spans="4:16" x14ac:dyDescent="0.25">
      <c r="D600" s="559" t="s">
        <v>867</v>
      </c>
      <c r="E600" s="558">
        <v>100391</v>
      </c>
      <c r="F600" s="559">
        <v>102729</v>
      </c>
      <c r="G600" s="558" t="s">
        <v>4765</v>
      </c>
      <c r="H600" s="564">
        <v>40015</v>
      </c>
      <c r="I600" s="563">
        <v>152.1</v>
      </c>
      <c r="J600" s="563">
        <v>-152.1</v>
      </c>
      <c r="K600" s="563">
        <f t="shared" si="24"/>
        <v>0</v>
      </c>
      <c r="L600" s="563">
        <f t="shared" si="25"/>
        <v>0</v>
      </c>
      <c r="M600" s="563">
        <f t="shared" si="26"/>
        <v>167.31</v>
      </c>
      <c r="N600" s="580"/>
      <c r="O600" s="558"/>
      <c r="P600" s="564"/>
    </row>
    <row r="601" spans="4:16" x14ac:dyDescent="0.25">
      <c r="D601" s="559" t="s">
        <v>867</v>
      </c>
      <c r="E601" s="558">
        <v>100392</v>
      </c>
      <c r="F601" s="559">
        <v>102729</v>
      </c>
      <c r="G601" s="558" t="s">
        <v>4765</v>
      </c>
      <c r="H601" s="564">
        <v>40015</v>
      </c>
      <c r="I601" s="563">
        <v>4559.1000000000004</v>
      </c>
      <c r="J601" s="563">
        <v>-585</v>
      </c>
      <c r="K601" s="563">
        <f t="shared" si="24"/>
        <v>3974.1000000000004</v>
      </c>
      <c r="L601" s="563">
        <f t="shared" si="25"/>
        <v>4371.5100000000011</v>
      </c>
      <c r="M601" s="563">
        <f t="shared" si="26"/>
        <v>5015.0100000000011</v>
      </c>
      <c r="N601" s="580"/>
      <c r="O601" s="558"/>
      <c r="P601" s="564"/>
    </row>
    <row r="602" spans="4:16" x14ac:dyDescent="0.25">
      <c r="D602" s="559" t="s">
        <v>867</v>
      </c>
      <c r="E602" s="558">
        <v>100393</v>
      </c>
      <c r="F602" s="559">
        <v>102768</v>
      </c>
      <c r="G602" s="558" t="s">
        <v>4765</v>
      </c>
      <c r="H602" s="564">
        <v>40015</v>
      </c>
      <c r="I602" s="563">
        <v>2258.1</v>
      </c>
      <c r="J602" s="563">
        <v>-585</v>
      </c>
      <c r="K602" s="563">
        <f t="shared" si="24"/>
        <v>1673.1</v>
      </c>
      <c r="L602" s="563">
        <f t="shared" si="25"/>
        <v>1840.41</v>
      </c>
      <c r="M602" s="563">
        <f t="shared" si="26"/>
        <v>2483.9100000000003</v>
      </c>
      <c r="N602" s="580"/>
      <c r="O602" s="558"/>
      <c r="P602" s="564"/>
    </row>
    <row r="603" spans="4:16" x14ac:dyDescent="0.25">
      <c r="D603" s="559" t="s">
        <v>867</v>
      </c>
      <c r="E603" s="558">
        <v>100394</v>
      </c>
      <c r="F603" s="559">
        <v>102968</v>
      </c>
      <c r="G603" s="558" t="s">
        <v>4765</v>
      </c>
      <c r="H603" s="564">
        <v>40015</v>
      </c>
      <c r="I603" s="563">
        <v>6665.1</v>
      </c>
      <c r="J603" s="563">
        <v>-585</v>
      </c>
      <c r="K603" s="563">
        <f t="shared" si="24"/>
        <v>6080.1</v>
      </c>
      <c r="L603" s="563">
        <f t="shared" si="25"/>
        <v>6688.1100000000006</v>
      </c>
      <c r="M603" s="563">
        <f t="shared" si="26"/>
        <v>7331.6100000000006</v>
      </c>
      <c r="N603" s="580"/>
      <c r="O603" s="558"/>
      <c r="P603" s="564"/>
    </row>
    <row r="604" spans="4:16" x14ac:dyDescent="0.25">
      <c r="D604" s="559" t="s">
        <v>867</v>
      </c>
      <c r="E604" s="558">
        <v>100395</v>
      </c>
      <c r="F604" s="559">
        <v>102649</v>
      </c>
      <c r="G604" s="558" t="s">
        <v>4765</v>
      </c>
      <c r="H604" s="564">
        <v>40015</v>
      </c>
      <c r="I604" s="563">
        <v>432.9</v>
      </c>
      <c r="J604" s="563">
        <v>-432.9</v>
      </c>
      <c r="K604" s="582">
        <f t="shared" si="24"/>
        <v>0</v>
      </c>
      <c r="L604" s="563">
        <f t="shared" si="25"/>
        <v>0</v>
      </c>
      <c r="M604" s="563">
        <f t="shared" si="26"/>
        <v>476.19</v>
      </c>
      <c r="N604" s="580"/>
    </row>
    <row r="605" spans="4:16" x14ac:dyDescent="0.25">
      <c r="D605" s="559" t="s">
        <v>867</v>
      </c>
      <c r="E605" s="558">
        <v>100396</v>
      </c>
      <c r="F605" s="559">
        <v>102766</v>
      </c>
      <c r="G605" s="558" t="s">
        <v>4766</v>
      </c>
      <c r="H605" s="564">
        <v>40015</v>
      </c>
      <c r="I605" s="563">
        <v>3744</v>
      </c>
      <c r="J605" s="563">
        <v>-585</v>
      </c>
      <c r="K605" s="582">
        <f t="shared" si="24"/>
        <v>3159</v>
      </c>
      <c r="L605" s="563">
        <f t="shared" si="25"/>
        <v>3474.9</v>
      </c>
      <c r="M605" s="563">
        <f t="shared" si="26"/>
        <v>4118.4000000000005</v>
      </c>
      <c r="N605" s="580"/>
    </row>
    <row r="606" spans="4:16" x14ac:dyDescent="0.25">
      <c r="D606" s="559" t="s">
        <v>867</v>
      </c>
      <c r="E606" s="558">
        <v>100397</v>
      </c>
      <c r="F606" s="559">
        <v>100459</v>
      </c>
      <c r="G606" s="558" t="s">
        <v>4766</v>
      </c>
      <c r="H606" s="564">
        <v>40015</v>
      </c>
      <c r="I606" s="563">
        <v>2925</v>
      </c>
      <c r="J606" s="563">
        <v>-585</v>
      </c>
      <c r="K606" s="563">
        <f t="shared" si="24"/>
        <v>2340</v>
      </c>
      <c r="L606" s="563">
        <f t="shared" si="25"/>
        <v>2574</v>
      </c>
      <c r="M606" s="563">
        <f t="shared" si="26"/>
        <v>3217.5000000000005</v>
      </c>
      <c r="N606" s="580"/>
      <c r="O606" s="558"/>
      <c r="P606" s="564"/>
    </row>
    <row r="607" spans="4:16" x14ac:dyDescent="0.25">
      <c r="D607" s="559" t="s">
        <v>867</v>
      </c>
      <c r="E607" s="558">
        <v>100412</v>
      </c>
      <c r="F607" s="559">
        <v>102896</v>
      </c>
      <c r="G607" s="558" t="s">
        <v>4766</v>
      </c>
      <c r="H607" s="564">
        <v>40015</v>
      </c>
      <c r="I607" s="563">
        <v>156</v>
      </c>
      <c r="J607" s="563">
        <v>-156</v>
      </c>
      <c r="K607" s="582">
        <f t="shared" si="24"/>
        <v>0</v>
      </c>
      <c r="L607" s="563">
        <f t="shared" si="25"/>
        <v>0</v>
      </c>
      <c r="M607" s="563">
        <f t="shared" si="26"/>
        <v>171.60000000000002</v>
      </c>
      <c r="N607" s="580"/>
    </row>
    <row r="608" spans="4:16" x14ac:dyDescent="0.25">
      <c r="D608" s="559" t="s">
        <v>867</v>
      </c>
      <c r="E608" s="558">
        <v>100413</v>
      </c>
      <c r="F608" s="559">
        <v>102896</v>
      </c>
      <c r="G608" s="558" t="s">
        <v>4766</v>
      </c>
      <c r="H608" s="564">
        <v>40015</v>
      </c>
      <c r="I608" s="563">
        <v>156</v>
      </c>
      <c r="J608" s="563">
        <v>-156</v>
      </c>
      <c r="K608" s="582">
        <f t="shared" si="24"/>
        <v>0</v>
      </c>
      <c r="L608" s="563">
        <f t="shared" si="25"/>
        <v>0</v>
      </c>
      <c r="M608" s="563">
        <f t="shared" si="26"/>
        <v>171.60000000000002</v>
      </c>
      <c r="N608" s="580"/>
    </row>
    <row r="609" spans="4:16" x14ac:dyDescent="0.25">
      <c r="D609" s="559" t="s">
        <v>867</v>
      </c>
      <c r="E609" s="558">
        <v>100414</v>
      </c>
      <c r="F609" s="559">
        <v>102061</v>
      </c>
      <c r="G609" s="558" t="s">
        <v>4766</v>
      </c>
      <c r="H609" s="564">
        <v>40015</v>
      </c>
      <c r="I609" s="563">
        <v>2145</v>
      </c>
      <c r="J609" s="563">
        <v>-585</v>
      </c>
      <c r="K609" s="582">
        <f t="shared" si="24"/>
        <v>1560</v>
      </c>
      <c r="L609" s="563">
        <f t="shared" si="25"/>
        <v>1716.0000000000002</v>
      </c>
      <c r="M609" s="563">
        <f t="shared" si="26"/>
        <v>2359.5</v>
      </c>
      <c r="N609" s="580"/>
    </row>
    <row r="610" spans="4:16" x14ac:dyDescent="0.25">
      <c r="D610" s="559" t="s">
        <v>867</v>
      </c>
      <c r="E610" s="558">
        <v>100415</v>
      </c>
      <c r="F610" s="559">
        <v>102711</v>
      </c>
      <c r="G610" s="558" t="s">
        <v>4767</v>
      </c>
      <c r="H610" s="564">
        <v>40015</v>
      </c>
      <c r="I610" s="563">
        <v>3042</v>
      </c>
      <c r="J610" s="563">
        <v>-585</v>
      </c>
      <c r="K610" s="582">
        <f t="shared" si="24"/>
        <v>2457</v>
      </c>
      <c r="L610" s="563">
        <f t="shared" si="25"/>
        <v>2702.7000000000003</v>
      </c>
      <c r="M610" s="563">
        <f t="shared" si="26"/>
        <v>3346.2000000000003</v>
      </c>
      <c r="N610" s="580"/>
    </row>
    <row r="611" spans="4:16" x14ac:dyDescent="0.25">
      <c r="D611" s="559" t="s">
        <v>867</v>
      </c>
      <c r="E611" s="558">
        <v>100416</v>
      </c>
      <c r="F611" s="559">
        <v>100889</v>
      </c>
      <c r="G611" s="558" t="s">
        <v>4767</v>
      </c>
      <c r="H611" s="564">
        <v>40015</v>
      </c>
      <c r="I611" s="563">
        <v>2106</v>
      </c>
      <c r="J611" s="563">
        <v>-585</v>
      </c>
      <c r="K611" s="563">
        <f t="shared" si="24"/>
        <v>1521</v>
      </c>
      <c r="L611" s="563">
        <f t="shared" si="25"/>
        <v>1673.1000000000001</v>
      </c>
      <c r="M611" s="563">
        <f t="shared" si="26"/>
        <v>2316.6000000000004</v>
      </c>
      <c r="N611" s="580"/>
      <c r="O611" s="558"/>
      <c r="P611" s="564"/>
    </row>
    <row r="612" spans="4:16" x14ac:dyDescent="0.25">
      <c r="D612" s="559" t="s">
        <v>867</v>
      </c>
      <c r="E612" s="558">
        <v>100417</v>
      </c>
      <c r="F612" s="559">
        <v>102964</v>
      </c>
      <c r="G612" s="558" t="s">
        <v>4767</v>
      </c>
      <c r="H612" s="564">
        <v>40015</v>
      </c>
      <c r="I612" s="563">
        <v>1755</v>
      </c>
      <c r="J612" s="563">
        <v>-585</v>
      </c>
      <c r="K612" s="563">
        <f t="shared" si="24"/>
        <v>1170</v>
      </c>
      <c r="L612" s="563">
        <f t="shared" si="25"/>
        <v>1287</v>
      </c>
      <c r="M612" s="563">
        <f t="shared" si="26"/>
        <v>1930.5000000000002</v>
      </c>
      <c r="N612" s="580"/>
      <c r="O612" s="558"/>
      <c r="P612" s="564"/>
    </row>
    <row r="613" spans="4:16" x14ac:dyDescent="0.25">
      <c r="D613" s="559" t="s">
        <v>867</v>
      </c>
      <c r="E613" s="558">
        <v>100418</v>
      </c>
      <c r="F613" s="559">
        <v>300179</v>
      </c>
      <c r="G613" s="558" t="s">
        <v>4767</v>
      </c>
      <c r="H613" s="564">
        <v>40015</v>
      </c>
      <c r="I613" s="563">
        <v>3705</v>
      </c>
      <c r="J613" s="563">
        <v>-585</v>
      </c>
      <c r="K613" s="582">
        <f t="shared" si="24"/>
        <v>3120</v>
      </c>
      <c r="L613" s="563">
        <f t="shared" si="25"/>
        <v>3432.0000000000005</v>
      </c>
      <c r="M613" s="563">
        <f t="shared" si="26"/>
        <v>4075.5000000000005</v>
      </c>
      <c r="N613" s="580"/>
    </row>
    <row r="614" spans="4:16" x14ac:dyDescent="0.25">
      <c r="D614" s="559" t="s">
        <v>867</v>
      </c>
      <c r="E614" s="558">
        <v>100419</v>
      </c>
      <c r="F614" s="559">
        <v>100875</v>
      </c>
      <c r="G614" s="558" t="s">
        <v>4767</v>
      </c>
      <c r="H614" s="564">
        <v>40015</v>
      </c>
      <c r="I614" s="563">
        <v>3939</v>
      </c>
      <c r="J614" s="563">
        <v>-585</v>
      </c>
      <c r="K614" s="563">
        <f t="shared" si="24"/>
        <v>3354</v>
      </c>
      <c r="L614" s="563">
        <f t="shared" si="25"/>
        <v>3689.4</v>
      </c>
      <c r="M614" s="563">
        <f t="shared" si="26"/>
        <v>4332.9000000000005</v>
      </c>
      <c r="N614" s="580"/>
      <c r="O614" s="558"/>
      <c r="P614" s="564"/>
    </row>
    <row r="615" spans="4:16" x14ac:dyDescent="0.25">
      <c r="D615" s="559" t="s">
        <v>867</v>
      </c>
      <c r="E615" s="558">
        <v>100420</v>
      </c>
      <c r="F615" s="559">
        <v>101643</v>
      </c>
      <c r="G615" s="558" t="s">
        <v>4768</v>
      </c>
      <c r="H615" s="564">
        <v>40015</v>
      </c>
      <c r="I615" s="563">
        <v>156</v>
      </c>
      <c r="J615" s="563">
        <v>-156</v>
      </c>
      <c r="K615" s="563">
        <f t="shared" si="24"/>
        <v>0</v>
      </c>
      <c r="L615" s="563">
        <f t="shared" si="25"/>
        <v>0</v>
      </c>
      <c r="M615" s="563">
        <f t="shared" si="26"/>
        <v>171.60000000000002</v>
      </c>
      <c r="N615" s="580"/>
      <c r="O615" s="558"/>
      <c r="P615" s="564"/>
    </row>
    <row r="616" spans="4:16" x14ac:dyDescent="0.25">
      <c r="D616" s="559" t="s">
        <v>867</v>
      </c>
      <c r="E616" s="558">
        <v>100421</v>
      </c>
      <c r="F616" s="559">
        <v>101644</v>
      </c>
      <c r="G616" s="558" t="s">
        <v>4768</v>
      </c>
      <c r="H616" s="564">
        <v>40015</v>
      </c>
      <c r="I616" s="563">
        <v>3900</v>
      </c>
      <c r="J616" s="563">
        <v>-585</v>
      </c>
      <c r="K616" s="563">
        <f t="shared" si="24"/>
        <v>3315</v>
      </c>
      <c r="L616" s="563">
        <f t="shared" si="25"/>
        <v>3646.5000000000005</v>
      </c>
      <c r="M616" s="563">
        <f t="shared" si="26"/>
        <v>4290</v>
      </c>
      <c r="N616" s="580"/>
      <c r="O616" s="558"/>
      <c r="P616" s="564"/>
    </row>
    <row r="617" spans="4:16" x14ac:dyDescent="0.25">
      <c r="D617" s="559" t="s">
        <v>867</v>
      </c>
      <c r="E617" s="558">
        <v>100422</v>
      </c>
      <c r="F617" s="559">
        <v>101678</v>
      </c>
      <c r="G617" s="558" t="s">
        <v>4768</v>
      </c>
      <c r="H617" s="564">
        <v>40015</v>
      </c>
      <c r="I617" s="563">
        <v>4875</v>
      </c>
      <c r="J617" s="563">
        <v>-585</v>
      </c>
      <c r="K617" s="563">
        <f t="shared" ref="K617:K680" si="27">+I617+J617</f>
        <v>4290</v>
      </c>
      <c r="L617" s="563">
        <f t="shared" ref="L617:L680" si="28">+K617*1.1</f>
        <v>4719</v>
      </c>
      <c r="M617" s="563">
        <f t="shared" ref="M617:M680" si="29">+I617*1.1</f>
        <v>5362.5</v>
      </c>
      <c r="N617" s="580"/>
      <c r="O617" s="558"/>
      <c r="P617" s="564"/>
    </row>
    <row r="618" spans="4:16" x14ac:dyDescent="0.25">
      <c r="D618" s="559" t="s">
        <v>867</v>
      </c>
      <c r="E618" s="558">
        <v>100423</v>
      </c>
      <c r="F618" s="559">
        <v>100345</v>
      </c>
      <c r="G618" s="558" t="s">
        <v>4768</v>
      </c>
      <c r="H618" s="564">
        <v>40015</v>
      </c>
      <c r="I618" s="563">
        <v>4212</v>
      </c>
      <c r="J618" s="563">
        <v>-585</v>
      </c>
      <c r="K618" s="582">
        <f t="shared" si="27"/>
        <v>3627</v>
      </c>
      <c r="L618" s="563">
        <f t="shared" si="28"/>
        <v>3989.7000000000003</v>
      </c>
      <c r="M618" s="563">
        <f t="shared" si="29"/>
        <v>4633.2000000000007</v>
      </c>
      <c r="N618" s="580"/>
    </row>
    <row r="619" spans="4:16" x14ac:dyDescent="0.25">
      <c r="D619" s="559" t="s">
        <v>867</v>
      </c>
      <c r="E619" s="558">
        <v>100424</v>
      </c>
      <c r="F619" s="559">
        <v>101697</v>
      </c>
      <c r="G619" s="558" t="s">
        <v>4768</v>
      </c>
      <c r="H619" s="564">
        <v>40015</v>
      </c>
      <c r="I619" s="563">
        <v>3510</v>
      </c>
      <c r="J619" s="563">
        <v>-585</v>
      </c>
      <c r="K619" s="563">
        <f t="shared" si="27"/>
        <v>2925</v>
      </c>
      <c r="L619" s="563">
        <f t="shared" si="28"/>
        <v>3217.5000000000005</v>
      </c>
      <c r="M619" s="563">
        <f t="shared" si="29"/>
        <v>3861.0000000000005</v>
      </c>
      <c r="N619" s="580"/>
      <c r="O619" s="558"/>
      <c r="P619" s="564"/>
    </row>
    <row r="620" spans="4:16" x14ac:dyDescent="0.25">
      <c r="D620" s="559" t="s">
        <v>867</v>
      </c>
      <c r="E620" s="558">
        <v>100425</v>
      </c>
      <c r="F620" s="559">
        <v>100708</v>
      </c>
      <c r="G620" s="558" t="s">
        <v>4769</v>
      </c>
      <c r="H620" s="564">
        <v>40015</v>
      </c>
      <c r="I620" s="563">
        <v>2418</v>
      </c>
      <c r="J620" s="563">
        <v>-585</v>
      </c>
      <c r="K620" s="563">
        <f t="shared" si="27"/>
        <v>1833</v>
      </c>
      <c r="L620" s="563">
        <f t="shared" si="28"/>
        <v>2016.3000000000002</v>
      </c>
      <c r="M620" s="563">
        <f t="shared" si="29"/>
        <v>2659.8</v>
      </c>
      <c r="N620" s="580"/>
      <c r="O620" s="558"/>
      <c r="P620" s="564"/>
    </row>
    <row r="621" spans="4:16" x14ac:dyDescent="0.25">
      <c r="D621" s="559" t="s">
        <v>867</v>
      </c>
      <c r="E621" s="558">
        <v>100426</v>
      </c>
      <c r="F621" s="559">
        <v>102935</v>
      </c>
      <c r="G621" s="558" t="s">
        <v>4769</v>
      </c>
      <c r="H621" s="564">
        <v>40015</v>
      </c>
      <c r="I621" s="563">
        <v>4212</v>
      </c>
      <c r="J621" s="563">
        <v>-585</v>
      </c>
      <c r="K621" s="563">
        <f t="shared" si="27"/>
        <v>3627</v>
      </c>
      <c r="L621" s="563">
        <f t="shared" si="28"/>
        <v>3989.7000000000003</v>
      </c>
      <c r="M621" s="563">
        <f t="shared" si="29"/>
        <v>4633.2000000000007</v>
      </c>
      <c r="N621" s="580"/>
      <c r="O621" s="558"/>
      <c r="P621" s="564"/>
    </row>
    <row r="622" spans="4:16" x14ac:dyDescent="0.25">
      <c r="D622" s="559" t="s">
        <v>867</v>
      </c>
      <c r="E622" s="558">
        <v>100427</v>
      </c>
      <c r="F622" s="559">
        <v>102131</v>
      </c>
      <c r="G622" s="558" t="s">
        <v>4769</v>
      </c>
      <c r="H622" s="564">
        <v>40015</v>
      </c>
      <c r="I622" s="563">
        <v>156</v>
      </c>
      <c r="J622" s="563">
        <v>-156</v>
      </c>
      <c r="K622" s="582">
        <f t="shared" si="27"/>
        <v>0</v>
      </c>
      <c r="L622" s="563">
        <f t="shared" si="28"/>
        <v>0</v>
      </c>
      <c r="M622" s="563">
        <f t="shared" si="29"/>
        <v>171.60000000000002</v>
      </c>
      <c r="N622" s="580"/>
    </row>
    <row r="623" spans="4:16" x14ac:dyDescent="0.25">
      <c r="D623" s="559" t="s">
        <v>867</v>
      </c>
      <c r="E623" s="558">
        <v>100428</v>
      </c>
      <c r="F623" s="559">
        <v>102289</v>
      </c>
      <c r="G623" s="558" t="s">
        <v>4769</v>
      </c>
      <c r="H623" s="564">
        <v>40015</v>
      </c>
      <c r="I623" s="563">
        <v>3315</v>
      </c>
      <c r="J623" s="563">
        <v>-585</v>
      </c>
      <c r="K623" s="582">
        <f t="shared" si="27"/>
        <v>2730</v>
      </c>
      <c r="L623" s="563">
        <f t="shared" si="28"/>
        <v>3003.0000000000005</v>
      </c>
      <c r="M623" s="563">
        <f t="shared" si="29"/>
        <v>3646.5000000000005</v>
      </c>
      <c r="N623" s="580"/>
    </row>
    <row r="624" spans="4:16" x14ac:dyDescent="0.25">
      <c r="D624" s="559" t="s">
        <v>867</v>
      </c>
      <c r="E624" s="558">
        <v>100429</v>
      </c>
      <c r="F624" s="559">
        <v>100260</v>
      </c>
      <c r="G624" s="558" t="s">
        <v>4769</v>
      </c>
      <c r="H624" s="564">
        <v>40015</v>
      </c>
      <c r="I624" s="563">
        <v>2535</v>
      </c>
      <c r="J624" s="563">
        <v>-585</v>
      </c>
      <c r="K624" s="563">
        <f t="shared" si="27"/>
        <v>1950</v>
      </c>
      <c r="L624" s="563">
        <f t="shared" si="28"/>
        <v>2145</v>
      </c>
      <c r="M624" s="563">
        <f t="shared" si="29"/>
        <v>2788.5</v>
      </c>
      <c r="N624" s="580"/>
      <c r="O624" s="558"/>
      <c r="P624" s="564"/>
    </row>
    <row r="625" spans="4:16" x14ac:dyDescent="0.25">
      <c r="D625" s="559" t="s">
        <v>867</v>
      </c>
      <c r="E625" s="558">
        <v>100430</v>
      </c>
      <c r="F625" s="559">
        <v>100834</v>
      </c>
      <c r="G625" s="558" t="s">
        <v>4770</v>
      </c>
      <c r="H625" s="564">
        <v>40015</v>
      </c>
      <c r="I625" s="563">
        <v>2691</v>
      </c>
      <c r="J625" s="563">
        <v>-585</v>
      </c>
      <c r="K625" s="582">
        <f t="shared" si="27"/>
        <v>2106</v>
      </c>
      <c r="L625" s="563">
        <f t="shared" si="28"/>
        <v>2316.6000000000004</v>
      </c>
      <c r="M625" s="563">
        <f t="shared" si="29"/>
        <v>2960.1000000000004</v>
      </c>
      <c r="N625" s="580"/>
    </row>
    <row r="626" spans="4:16" x14ac:dyDescent="0.25">
      <c r="D626" s="559" t="s">
        <v>867</v>
      </c>
      <c r="E626" s="558">
        <v>100431</v>
      </c>
      <c r="F626" s="559">
        <v>100551</v>
      </c>
      <c r="G626" s="558" t="s">
        <v>4770</v>
      </c>
      <c r="H626" s="564">
        <v>40015</v>
      </c>
      <c r="I626" s="563">
        <v>195</v>
      </c>
      <c r="J626" s="563">
        <v>-195</v>
      </c>
      <c r="K626" s="582">
        <f t="shared" si="27"/>
        <v>0</v>
      </c>
      <c r="L626" s="563">
        <f t="shared" si="28"/>
        <v>0</v>
      </c>
      <c r="M626" s="563">
        <f t="shared" si="29"/>
        <v>214.50000000000003</v>
      </c>
      <c r="N626" s="580"/>
    </row>
    <row r="627" spans="4:16" x14ac:dyDescent="0.25">
      <c r="D627" s="559" t="s">
        <v>867</v>
      </c>
      <c r="E627" s="558">
        <v>100432</v>
      </c>
      <c r="F627" s="559">
        <v>102898</v>
      </c>
      <c r="G627" s="558" t="s">
        <v>4770</v>
      </c>
      <c r="H627" s="564">
        <v>40015</v>
      </c>
      <c r="I627" s="563">
        <v>156</v>
      </c>
      <c r="J627" s="563">
        <v>-156</v>
      </c>
      <c r="K627" s="582">
        <f t="shared" si="27"/>
        <v>0</v>
      </c>
      <c r="L627" s="563">
        <f t="shared" si="28"/>
        <v>0</v>
      </c>
      <c r="M627" s="563">
        <f t="shared" si="29"/>
        <v>171.60000000000002</v>
      </c>
      <c r="N627" s="580"/>
    </row>
    <row r="628" spans="4:16" x14ac:dyDescent="0.25">
      <c r="D628" s="559" t="s">
        <v>867</v>
      </c>
      <c r="E628" s="558">
        <v>100433</v>
      </c>
      <c r="F628" s="559">
        <v>102770</v>
      </c>
      <c r="G628" s="558" t="s">
        <v>4770</v>
      </c>
      <c r="H628" s="564">
        <v>40015</v>
      </c>
      <c r="I628" s="563">
        <v>156</v>
      </c>
      <c r="J628" s="563">
        <v>-156</v>
      </c>
      <c r="K628" s="582">
        <f t="shared" si="27"/>
        <v>0</v>
      </c>
      <c r="L628" s="563">
        <f t="shared" si="28"/>
        <v>0</v>
      </c>
      <c r="M628" s="563">
        <f t="shared" si="29"/>
        <v>171.60000000000002</v>
      </c>
      <c r="N628" s="580"/>
    </row>
    <row r="629" spans="4:16" x14ac:dyDescent="0.25">
      <c r="D629" s="559" t="s">
        <v>867</v>
      </c>
      <c r="E629" s="558">
        <v>100435</v>
      </c>
      <c r="F629" s="559">
        <v>101341</v>
      </c>
      <c r="G629" s="558" t="s">
        <v>4770</v>
      </c>
      <c r="H629" s="564">
        <v>40015</v>
      </c>
      <c r="I629" s="563">
        <v>3666</v>
      </c>
      <c r="J629" s="563">
        <v>-585</v>
      </c>
      <c r="K629" s="563">
        <f t="shared" si="27"/>
        <v>3081</v>
      </c>
      <c r="L629" s="563">
        <f t="shared" si="28"/>
        <v>3389.1000000000004</v>
      </c>
      <c r="M629" s="563">
        <f t="shared" si="29"/>
        <v>4032.6000000000004</v>
      </c>
      <c r="N629" s="580"/>
      <c r="O629" s="558"/>
      <c r="P629" s="564"/>
    </row>
    <row r="630" spans="4:16" x14ac:dyDescent="0.25">
      <c r="D630" s="559" t="s">
        <v>867</v>
      </c>
      <c r="E630" s="558">
        <v>100436</v>
      </c>
      <c r="F630" s="559">
        <v>101138</v>
      </c>
      <c r="G630" s="558" t="s">
        <v>4771</v>
      </c>
      <c r="H630" s="564">
        <v>40015</v>
      </c>
      <c r="I630" s="563">
        <v>1677</v>
      </c>
      <c r="J630" s="563">
        <v>-585</v>
      </c>
      <c r="K630" s="582">
        <f t="shared" si="27"/>
        <v>1092</v>
      </c>
      <c r="L630" s="563">
        <f t="shared" si="28"/>
        <v>1201.2</v>
      </c>
      <c r="M630" s="563">
        <f t="shared" si="29"/>
        <v>1844.7</v>
      </c>
      <c r="N630" s="580"/>
    </row>
    <row r="631" spans="4:16" x14ac:dyDescent="0.25">
      <c r="D631" s="559" t="s">
        <v>867</v>
      </c>
      <c r="E631" s="558">
        <v>100437</v>
      </c>
      <c r="F631" s="559">
        <v>100121</v>
      </c>
      <c r="G631" s="558" t="s">
        <v>4771</v>
      </c>
      <c r="H631" s="564">
        <v>40015</v>
      </c>
      <c r="I631" s="563">
        <v>3549</v>
      </c>
      <c r="J631" s="563">
        <v>-585</v>
      </c>
      <c r="K631" s="563">
        <f t="shared" si="27"/>
        <v>2964</v>
      </c>
      <c r="L631" s="563">
        <f t="shared" si="28"/>
        <v>3260.4</v>
      </c>
      <c r="M631" s="563">
        <f t="shared" si="29"/>
        <v>3903.9</v>
      </c>
      <c r="N631" s="580"/>
      <c r="O631" s="558"/>
      <c r="P631" s="564"/>
    </row>
    <row r="632" spans="4:16" x14ac:dyDescent="0.25">
      <c r="D632" s="559" t="s">
        <v>867</v>
      </c>
      <c r="E632" s="558">
        <v>100438</v>
      </c>
      <c r="F632" s="559">
        <v>102770</v>
      </c>
      <c r="G632" s="558" t="s">
        <v>4771</v>
      </c>
      <c r="H632" s="564">
        <v>40015</v>
      </c>
      <c r="I632" s="563">
        <v>4407</v>
      </c>
      <c r="J632" s="563">
        <v>-585</v>
      </c>
      <c r="K632" s="582">
        <f t="shared" si="27"/>
        <v>3822</v>
      </c>
      <c r="L632" s="563">
        <f t="shared" si="28"/>
        <v>4204.2000000000007</v>
      </c>
      <c r="M632" s="563">
        <f t="shared" si="29"/>
        <v>4847.7000000000007</v>
      </c>
      <c r="N632" s="580"/>
    </row>
    <row r="633" spans="4:16" x14ac:dyDescent="0.25">
      <c r="D633" s="559" t="s">
        <v>867</v>
      </c>
      <c r="E633" s="558">
        <v>100439</v>
      </c>
      <c r="F633" s="559">
        <v>102960</v>
      </c>
      <c r="G633" s="558" t="s">
        <v>4771</v>
      </c>
      <c r="H633" s="564">
        <v>40015</v>
      </c>
      <c r="I633" s="563">
        <v>2379</v>
      </c>
      <c r="J633" s="563">
        <v>-585</v>
      </c>
      <c r="K633" s="582">
        <f t="shared" si="27"/>
        <v>1794</v>
      </c>
      <c r="L633" s="563">
        <f t="shared" si="28"/>
        <v>1973.4</v>
      </c>
      <c r="M633" s="563">
        <f t="shared" si="29"/>
        <v>2616.9</v>
      </c>
      <c r="N633" s="580"/>
    </row>
    <row r="634" spans="4:16" x14ac:dyDescent="0.25">
      <c r="D634" s="559" t="s">
        <v>867</v>
      </c>
      <c r="E634" s="558">
        <v>100440</v>
      </c>
      <c r="F634" s="559">
        <v>102825</v>
      </c>
      <c r="G634" s="558" t="s">
        <v>4771</v>
      </c>
      <c r="H634" s="564">
        <v>40015</v>
      </c>
      <c r="I634" s="563">
        <v>1677</v>
      </c>
      <c r="J634" s="563">
        <v>-585</v>
      </c>
      <c r="K634" s="563">
        <f t="shared" si="27"/>
        <v>1092</v>
      </c>
      <c r="L634" s="563">
        <f t="shared" si="28"/>
        <v>1201.2</v>
      </c>
      <c r="M634" s="563">
        <f t="shared" si="29"/>
        <v>1844.7</v>
      </c>
      <c r="N634" s="580"/>
      <c r="O634" s="558"/>
      <c r="P634" s="564"/>
    </row>
    <row r="635" spans="4:16" x14ac:dyDescent="0.25">
      <c r="D635" s="559" t="s">
        <v>867</v>
      </c>
      <c r="E635" s="558">
        <v>100441</v>
      </c>
      <c r="F635" s="559">
        <v>102057</v>
      </c>
      <c r="G635" s="558" t="s">
        <v>4772</v>
      </c>
      <c r="H635" s="564">
        <v>40015</v>
      </c>
      <c r="I635" s="563">
        <v>2028</v>
      </c>
      <c r="J635" s="563">
        <v>-585</v>
      </c>
      <c r="K635" s="582">
        <f t="shared" si="27"/>
        <v>1443</v>
      </c>
      <c r="L635" s="563">
        <f t="shared" si="28"/>
        <v>1587.3000000000002</v>
      </c>
      <c r="M635" s="563">
        <f t="shared" si="29"/>
        <v>2230.8000000000002</v>
      </c>
      <c r="N635" s="580"/>
    </row>
    <row r="636" spans="4:16" x14ac:dyDescent="0.25">
      <c r="D636" s="559" t="s">
        <v>867</v>
      </c>
      <c r="E636" s="558">
        <v>100442</v>
      </c>
      <c r="F636" s="559">
        <v>101227</v>
      </c>
      <c r="G636" s="558" t="s">
        <v>4772</v>
      </c>
      <c r="H636" s="564">
        <v>40015</v>
      </c>
      <c r="I636" s="563">
        <v>2379</v>
      </c>
      <c r="J636" s="563">
        <v>-585</v>
      </c>
      <c r="K636" s="582">
        <f t="shared" si="27"/>
        <v>1794</v>
      </c>
      <c r="L636" s="563">
        <f t="shared" si="28"/>
        <v>1973.4</v>
      </c>
      <c r="M636" s="563">
        <f t="shared" si="29"/>
        <v>2616.9</v>
      </c>
      <c r="N636" s="580"/>
    </row>
    <row r="637" spans="4:16" x14ac:dyDescent="0.25">
      <c r="D637" s="559" t="s">
        <v>867</v>
      </c>
      <c r="E637" s="558">
        <v>100443</v>
      </c>
      <c r="F637" s="559">
        <v>102712</v>
      </c>
      <c r="G637" s="558" t="s">
        <v>4772</v>
      </c>
      <c r="H637" s="564">
        <v>40015</v>
      </c>
      <c r="I637" s="563">
        <v>3198</v>
      </c>
      <c r="J637" s="563">
        <v>-585</v>
      </c>
      <c r="K637" s="563">
        <f t="shared" si="27"/>
        <v>2613</v>
      </c>
      <c r="L637" s="563">
        <f t="shared" si="28"/>
        <v>2874.3</v>
      </c>
      <c r="M637" s="563">
        <f t="shared" si="29"/>
        <v>3517.8</v>
      </c>
      <c r="N637" s="580"/>
      <c r="O637" s="558"/>
      <c r="P637" s="564"/>
    </row>
    <row r="638" spans="4:16" x14ac:dyDescent="0.25">
      <c r="D638" s="559" t="s">
        <v>867</v>
      </c>
      <c r="E638" s="558">
        <v>100444</v>
      </c>
      <c r="F638" s="559">
        <v>100724</v>
      </c>
      <c r="G638" s="558" t="s">
        <v>4772</v>
      </c>
      <c r="H638" s="564">
        <v>40015</v>
      </c>
      <c r="I638" s="563">
        <v>1677</v>
      </c>
      <c r="J638" s="563">
        <v>-585</v>
      </c>
      <c r="K638" s="582">
        <f t="shared" si="27"/>
        <v>1092</v>
      </c>
      <c r="L638" s="563">
        <f t="shared" si="28"/>
        <v>1201.2</v>
      </c>
      <c r="M638" s="563">
        <f t="shared" si="29"/>
        <v>1844.7</v>
      </c>
      <c r="N638" s="580"/>
    </row>
    <row r="639" spans="4:16" x14ac:dyDescent="0.25">
      <c r="D639" s="559" t="s">
        <v>867</v>
      </c>
      <c r="E639" s="558">
        <v>100445</v>
      </c>
      <c r="F639" s="559">
        <v>100986</v>
      </c>
      <c r="G639" s="558" t="s">
        <v>4772</v>
      </c>
      <c r="H639" s="564">
        <v>40015</v>
      </c>
      <c r="I639" s="563">
        <v>2691</v>
      </c>
      <c r="J639" s="563">
        <v>-585</v>
      </c>
      <c r="K639" s="563">
        <f t="shared" si="27"/>
        <v>2106</v>
      </c>
      <c r="L639" s="563">
        <f t="shared" si="28"/>
        <v>2316.6000000000004</v>
      </c>
      <c r="M639" s="563">
        <f t="shared" si="29"/>
        <v>2960.1000000000004</v>
      </c>
      <c r="N639" s="580"/>
      <c r="O639" s="558"/>
      <c r="P639" s="564"/>
    </row>
    <row r="640" spans="4:16" x14ac:dyDescent="0.25">
      <c r="D640" s="559" t="s">
        <v>867</v>
      </c>
      <c r="E640" s="558">
        <v>100446</v>
      </c>
      <c r="F640" s="559">
        <v>102786</v>
      </c>
      <c r="G640" s="558" t="s">
        <v>4773</v>
      </c>
      <c r="H640" s="564">
        <v>40015</v>
      </c>
      <c r="I640" s="563">
        <v>4368</v>
      </c>
      <c r="J640" s="563">
        <v>-585</v>
      </c>
      <c r="K640" s="563">
        <f t="shared" si="27"/>
        <v>3783</v>
      </c>
      <c r="L640" s="563">
        <f t="shared" si="28"/>
        <v>4161.3</v>
      </c>
      <c r="M640" s="563">
        <f t="shared" si="29"/>
        <v>4804.8</v>
      </c>
      <c r="N640" s="580"/>
      <c r="O640" s="558"/>
      <c r="P640" s="564"/>
    </row>
    <row r="641" spans="4:16" x14ac:dyDescent="0.25">
      <c r="D641" s="559" t="s">
        <v>867</v>
      </c>
      <c r="E641" s="558">
        <v>100447</v>
      </c>
      <c r="F641" s="559">
        <v>100447</v>
      </c>
      <c r="G641" s="558" t="s">
        <v>4773</v>
      </c>
      <c r="H641" s="564">
        <v>40015</v>
      </c>
      <c r="I641" s="563">
        <v>1989</v>
      </c>
      <c r="J641" s="563">
        <v>-585</v>
      </c>
      <c r="K641" s="582">
        <f t="shared" si="27"/>
        <v>1404</v>
      </c>
      <c r="L641" s="563">
        <f t="shared" si="28"/>
        <v>1544.4</v>
      </c>
      <c r="M641" s="563">
        <f t="shared" si="29"/>
        <v>2187.9</v>
      </c>
      <c r="N641" s="580"/>
    </row>
    <row r="642" spans="4:16" x14ac:dyDescent="0.25">
      <c r="D642" s="559" t="s">
        <v>867</v>
      </c>
      <c r="E642" s="558">
        <v>100448</v>
      </c>
      <c r="F642" s="559">
        <v>100682</v>
      </c>
      <c r="G642" s="558" t="s">
        <v>4773</v>
      </c>
      <c r="H642" s="564">
        <v>40015</v>
      </c>
      <c r="I642" s="563">
        <v>2028</v>
      </c>
      <c r="J642" s="563">
        <v>-585</v>
      </c>
      <c r="K642" s="563">
        <f t="shared" si="27"/>
        <v>1443</v>
      </c>
      <c r="L642" s="563">
        <f t="shared" si="28"/>
        <v>1587.3000000000002</v>
      </c>
      <c r="M642" s="563">
        <f t="shared" si="29"/>
        <v>2230.8000000000002</v>
      </c>
      <c r="N642" s="580"/>
      <c r="O642" s="558"/>
      <c r="P642" s="564"/>
    </row>
    <row r="643" spans="4:16" x14ac:dyDescent="0.25">
      <c r="D643" s="559" t="s">
        <v>867</v>
      </c>
      <c r="E643" s="558">
        <v>100449</v>
      </c>
      <c r="F643" s="559">
        <v>102740</v>
      </c>
      <c r="G643" s="558" t="s">
        <v>4773</v>
      </c>
      <c r="H643" s="564">
        <v>40015</v>
      </c>
      <c r="I643" s="563">
        <v>5889</v>
      </c>
      <c r="J643" s="563">
        <v>-585</v>
      </c>
      <c r="K643" s="582">
        <f t="shared" si="27"/>
        <v>5304</v>
      </c>
      <c r="L643" s="563">
        <f t="shared" si="28"/>
        <v>5834.4000000000005</v>
      </c>
      <c r="M643" s="563">
        <f t="shared" si="29"/>
        <v>6477.9000000000005</v>
      </c>
      <c r="N643" s="580"/>
    </row>
    <row r="644" spans="4:16" x14ac:dyDescent="0.25">
      <c r="D644" s="559" t="s">
        <v>867</v>
      </c>
      <c r="E644" s="558">
        <v>100450</v>
      </c>
      <c r="F644" s="559">
        <v>100725</v>
      </c>
      <c r="G644" s="558" t="s">
        <v>4773</v>
      </c>
      <c r="H644" s="564">
        <v>40015</v>
      </c>
      <c r="I644" s="563">
        <v>1794</v>
      </c>
      <c r="J644" s="563">
        <v>-585</v>
      </c>
      <c r="K644" s="582">
        <f t="shared" si="27"/>
        <v>1209</v>
      </c>
      <c r="L644" s="563">
        <f t="shared" si="28"/>
        <v>1329.9</v>
      </c>
      <c r="M644" s="563">
        <f t="shared" si="29"/>
        <v>1973.4</v>
      </c>
      <c r="N644" s="580"/>
    </row>
    <row r="645" spans="4:16" x14ac:dyDescent="0.25">
      <c r="D645" s="559" t="s">
        <v>867</v>
      </c>
      <c r="E645" s="558">
        <v>100451</v>
      </c>
      <c r="F645" s="559">
        <v>100451</v>
      </c>
      <c r="G645" s="558" t="s">
        <v>4774</v>
      </c>
      <c r="H645" s="564">
        <v>40015</v>
      </c>
      <c r="I645" s="563">
        <v>2730</v>
      </c>
      <c r="J645" s="563">
        <v>-585</v>
      </c>
      <c r="K645" s="563">
        <f t="shared" si="27"/>
        <v>2145</v>
      </c>
      <c r="L645" s="563">
        <f t="shared" si="28"/>
        <v>2359.5</v>
      </c>
      <c r="M645" s="563">
        <f t="shared" si="29"/>
        <v>3003.0000000000005</v>
      </c>
      <c r="N645" s="580"/>
      <c r="O645" s="558"/>
      <c r="P645" s="564"/>
    </row>
    <row r="646" spans="4:16" x14ac:dyDescent="0.25">
      <c r="D646" s="559" t="s">
        <v>867</v>
      </c>
      <c r="E646" s="558">
        <v>100452</v>
      </c>
      <c r="F646" s="559">
        <v>102670</v>
      </c>
      <c r="G646" s="558" t="s">
        <v>4774</v>
      </c>
      <c r="H646" s="564">
        <v>40015</v>
      </c>
      <c r="I646" s="563">
        <v>156</v>
      </c>
      <c r="J646" s="563">
        <v>-156</v>
      </c>
      <c r="K646" s="563">
        <f t="shared" si="27"/>
        <v>0</v>
      </c>
      <c r="L646" s="563">
        <f t="shared" si="28"/>
        <v>0</v>
      </c>
      <c r="M646" s="563">
        <f t="shared" si="29"/>
        <v>171.60000000000002</v>
      </c>
      <c r="N646" s="580"/>
      <c r="O646" s="558"/>
      <c r="P646" s="564"/>
    </row>
    <row r="647" spans="4:16" x14ac:dyDescent="0.25">
      <c r="D647" s="559" t="s">
        <v>867</v>
      </c>
      <c r="E647" s="558">
        <v>100454</v>
      </c>
      <c r="F647" s="559">
        <v>102670</v>
      </c>
      <c r="G647" s="558" t="s">
        <v>4774</v>
      </c>
      <c r="H647" s="564">
        <v>40015</v>
      </c>
      <c r="I647" s="563">
        <v>5226</v>
      </c>
      <c r="J647" s="563">
        <v>-585</v>
      </c>
      <c r="K647" s="563">
        <f t="shared" si="27"/>
        <v>4641</v>
      </c>
      <c r="L647" s="563">
        <f t="shared" si="28"/>
        <v>5105.1000000000004</v>
      </c>
      <c r="M647" s="563">
        <f t="shared" si="29"/>
        <v>5748.6</v>
      </c>
      <c r="N647" s="580"/>
      <c r="O647" s="558"/>
      <c r="P647" s="564"/>
    </row>
    <row r="648" spans="4:16" x14ac:dyDescent="0.25">
      <c r="D648" s="559" t="s">
        <v>867</v>
      </c>
      <c r="E648" s="558">
        <v>100455</v>
      </c>
      <c r="F648" s="559">
        <v>101714</v>
      </c>
      <c r="G648" s="558" t="s">
        <v>4774</v>
      </c>
      <c r="H648" s="564">
        <v>40015</v>
      </c>
      <c r="I648" s="563">
        <v>1326</v>
      </c>
      <c r="J648" s="563">
        <v>-585</v>
      </c>
      <c r="K648" s="582">
        <f t="shared" si="27"/>
        <v>741</v>
      </c>
      <c r="L648" s="563">
        <f t="shared" si="28"/>
        <v>815.1</v>
      </c>
      <c r="M648" s="563">
        <f t="shared" si="29"/>
        <v>1458.6000000000001</v>
      </c>
      <c r="N648" s="580"/>
    </row>
    <row r="649" spans="4:16" x14ac:dyDescent="0.25">
      <c r="D649" s="559" t="s">
        <v>867</v>
      </c>
      <c r="E649" s="558">
        <v>100456</v>
      </c>
      <c r="F649" s="559">
        <v>101598</v>
      </c>
      <c r="G649" s="558" t="s">
        <v>4774</v>
      </c>
      <c r="H649" s="564">
        <v>40015</v>
      </c>
      <c r="I649" s="563">
        <v>273</v>
      </c>
      <c r="J649" s="563">
        <v>-273</v>
      </c>
      <c r="K649" s="563">
        <f t="shared" si="27"/>
        <v>0</v>
      </c>
      <c r="L649" s="563">
        <f t="shared" si="28"/>
        <v>0</v>
      </c>
      <c r="M649" s="563">
        <f t="shared" si="29"/>
        <v>300.3</v>
      </c>
      <c r="N649" s="580"/>
      <c r="O649" s="558"/>
      <c r="P649" s="564"/>
    </row>
    <row r="650" spans="4:16" x14ac:dyDescent="0.25">
      <c r="D650" s="559" t="s">
        <v>867</v>
      </c>
      <c r="E650" s="558">
        <v>100457</v>
      </c>
      <c r="F650" s="559">
        <v>101599</v>
      </c>
      <c r="G650" s="558" t="s">
        <v>4775</v>
      </c>
      <c r="H650" s="564">
        <v>40015</v>
      </c>
      <c r="I650" s="563">
        <v>1868.1</v>
      </c>
      <c r="J650" s="563">
        <v>-585</v>
      </c>
      <c r="K650" s="563">
        <f t="shared" si="27"/>
        <v>1283.0999999999999</v>
      </c>
      <c r="L650" s="563">
        <f t="shared" si="28"/>
        <v>1411.41</v>
      </c>
      <c r="M650" s="563">
        <f t="shared" si="29"/>
        <v>2054.91</v>
      </c>
      <c r="N650" s="580"/>
      <c r="O650" s="558"/>
      <c r="P650" s="564"/>
    </row>
    <row r="651" spans="4:16" x14ac:dyDescent="0.25">
      <c r="D651" s="559" t="s">
        <v>867</v>
      </c>
      <c r="E651" s="558">
        <v>100461</v>
      </c>
      <c r="F651" s="559">
        <v>101560</v>
      </c>
      <c r="G651" s="558" t="s">
        <v>4775</v>
      </c>
      <c r="H651" s="564">
        <v>40015</v>
      </c>
      <c r="I651" s="563">
        <v>1755</v>
      </c>
      <c r="J651" s="563">
        <v>-585</v>
      </c>
      <c r="K651" s="582">
        <f t="shared" si="27"/>
        <v>1170</v>
      </c>
      <c r="L651" s="563">
        <f t="shared" si="28"/>
        <v>1287</v>
      </c>
      <c r="M651" s="563">
        <f t="shared" si="29"/>
        <v>1930.5000000000002</v>
      </c>
      <c r="N651" s="580"/>
    </row>
    <row r="652" spans="4:16" x14ac:dyDescent="0.25">
      <c r="D652" s="559" t="s">
        <v>867</v>
      </c>
      <c r="E652" s="558">
        <v>100462</v>
      </c>
      <c r="F652" s="559">
        <v>101449</v>
      </c>
      <c r="G652" s="558" t="s">
        <v>4775</v>
      </c>
      <c r="H652" s="564">
        <v>40015</v>
      </c>
      <c r="I652" s="563">
        <v>2106</v>
      </c>
      <c r="J652" s="563">
        <v>-585</v>
      </c>
      <c r="K652" s="563">
        <f t="shared" si="27"/>
        <v>1521</v>
      </c>
      <c r="L652" s="563">
        <f t="shared" si="28"/>
        <v>1673.1000000000001</v>
      </c>
      <c r="M652" s="563">
        <f t="shared" si="29"/>
        <v>2316.6000000000004</v>
      </c>
      <c r="N652" s="580"/>
      <c r="O652" s="558"/>
      <c r="P652" s="564"/>
    </row>
    <row r="653" spans="4:16" x14ac:dyDescent="0.25">
      <c r="D653" s="559" t="s">
        <v>867</v>
      </c>
      <c r="E653" s="558">
        <v>100463</v>
      </c>
      <c r="F653" s="559">
        <v>102924</v>
      </c>
      <c r="G653" s="558" t="s">
        <v>4775</v>
      </c>
      <c r="H653" s="564">
        <v>40015</v>
      </c>
      <c r="I653" s="563">
        <v>46.8</v>
      </c>
      <c r="J653" s="563">
        <v>-46.8</v>
      </c>
      <c r="K653" s="582">
        <f t="shared" si="27"/>
        <v>0</v>
      </c>
      <c r="L653" s="563">
        <f t="shared" si="28"/>
        <v>0</v>
      </c>
      <c r="M653" s="563">
        <f t="shared" si="29"/>
        <v>51.480000000000004</v>
      </c>
      <c r="N653" s="580"/>
    </row>
    <row r="654" spans="4:16" x14ac:dyDescent="0.25">
      <c r="D654" s="559" t="s">
        <v>867</v>
      </c>
      <c r="E654" s="558">
        <v>100464</v>
      </c>
      <c r="F654" s="559">
        <v>101574</v>
      </c>
      <c r="G654" s="558" t="s">
        <v>4775</v>
      </c>
      <c r="H654" s="564">
        <v>40015</v>
      </c>
      <c r="I654" s="563">
        <v>670.8</v>
      </c>
      <c r="J654" s="563">
        <v>-585</v>
      </c>
      <c r="K654" s="563">
        <f t="shared" si="27"/>
        <v>85.799999999999955</v>
      </c>
      <c r="L654" s="563">
        <f t="shared" si="28"/>
        <v>94.379999999999953</v>
      </c>
      <c r="M654" s="563">
        <f t="shared" si="29"/>
        <v>737.88</v>
      </c>
      <c r="N654" s="580"/>
      <c r="O654" s="558"/>
      <c r="P654" s="564"/>
    </row>
    <row r="655" spans="4:16" x14ac:dyDescent="0.25">
      <c r="D655" s="559" t="s">
        <v>867</v>
      </c>
      <c r="E655" s="558">
        <v>100465</v>
      </c>
      <c r="F655" s="559">
        <v>100634</v>
      </c>
      <c r="G655" s="558" t="s">
        <v>4776</v>
      </c>
      <c r="H655" s="564">
        <v>40015</v>
      </c>
      <c r="I655" s="563">
        <v>89.7</v>
      </c>
      <c r="J655" s="563">
        <v>-89.7</v>
      </c>
      <c r="K655" s="582">
        <f t="shared" si="27"/>
        <v>0</v>
      </c>
      <c r="L655" s="563">
        <f t="shared" si="28"/>
        <v>0</v>
      </c>
      <c r="M655" s="563">
        <f t="shared" si="29"/>
        <v>98.670000000000016</v>
      </c>
      <c r="N655" s="580"/>
    </row>
    <row r="656" spans="4:16" x14ac:dyDescent="0.25">
      <c r="D656" s="559" t="s">
        <v>867</v>
      </c>
      <c r="E656" s="558">
        <v>100466</v>
      </c>
      <c r="F656" s="559">
        <v>102325</v>
      </c>
      <c r="G656" s="558" t="s">
        <v>4776</v>
      </c>
      <c r="H656" s="564">
        <v>40015</v>
      </c>
      <c r="I656" s="563">
        <v>3131.7</v>
      </c>
      <c r="J656" s="563">
        <v>-585</v>
      </c>
      <c r="K656" s="582">
        <f t="shared" si="27"/>
        <v>2546.6999999999998</v>
      </c>
      <c r="L656" s="563">
        <f t="shared" si="28"/>
        <v>2801.37</v>
      </c>
      <c r="M656" s="563">
        <f t="shared" si="29"/>
        <v>3444.87</v>
      </c>
      <c r="N656" s="580"/>
    </row>
    <row r="657" spans="4:16" x14ac:dyDescent="0.25">
      <c r="D657" s="559" t="s">
        <v>867</v>
      </c>
      <c r="E657" s="558">
        <v>100468</v>
      </c>
      <c r="F657" s="559">
        <v>101024</v>
      </c>
      <c r="G657" s="558" t="s">
        <v>4776</v>
      </c>
      <c r="H657" s="564">
        <v>40015</v>
      </c>
      <c r="I657" s="563">
        <v>140.4</v>
      </c>
      <c r="J657" s="563">
        <v>-140.4</v>
      </c>
      <c r="K657" s="563">
        <f t="shared" si="27"/>
        <v>0</v>
      </c>
      <c r="L657" s="563">
        <f t="shared" si="28"/>
        <v>0</v>
      </c>
      <c r="M657" s="563">
        <f t="shared" si="29"/>
        <v>154.44000000000003</v>
      </c>
      <c r="N657" s="580"/>
      <c r="O657" s="558"/>
      <c r="P657" s="564"/>
    </row>
    <row r="658" spans="4:16" x14ac:dyDescent="0.25">
      <c r="D658" s="559" t="s">
        <v>867</v>
      </c>
      <c r="E658" s="558">
        <v>100469</v>
      </c>
      <c r="F658" s="559">
        <v>101023</v>
      </c>
      <c r="G658" s="558" t="s">
        <v>4776</v>
      </c>
      <c r="H658" s="564">
        <v>40015</v>
      </c>
      <c r="I658" s="563">
        <v>140.4</v>
      </c>
      <c r="J658" s="563">
        <v>-140.4</v>
      </c>
      <c r="K658" s="563">
        <f t="shared" si="27"/>
        <v>0</v>
      </c>
      <c r="L658" s="563">
        <f t="shared" si="28"/>
        <v>0</v>
      </c>
      <c r="M658" s="563">
        <f t="shared" si="29"/>
        <v>154.44000000000003</v>
      </c>
      <c r="N658" s="580"/>
      <c r="O658" s="558"/>
      <c r="P658" s="564"/>
    </row>
    <row r="659" spans="4:16" x14ac:dyDescent="0.25">
      <c r="D659" s="559" t="s">
        <v>867</v>
      </c>
      <c r="E659" s="558">
        <v>100470</v>
      </c>
      <c r="F659" s="559">
        <v>101022</v>
      </c>
      <c r="G659" s="558" t="s">
        <v>4776</v>
      </c>
      <c r="H659" s="564">
        <v>40015</v>
      </c>
      <c r="I659" s="563">
        <v>120.9</v>
      </c>
      <c r="J659" s="563">
        <v>-120.9</v>
      </c>
      <c r="K659" s="563">
        <f t="shared" si="27"/>
        <v>0</v>
      </c>
      <c r="L659" s="563">
        <f t="shared" si="28"/>
        <v>0</v>
      </c>
      <c r="M659" s="563">
        <f t="shared" si="29"/>
        <v>132.99</v>
      </c>
      <c r="N659" s="580"/>
      <c r="O659" s="558"/>
      <c r="P659" s="564"/>
    </row>
    <row r="660" spans="4:16" x14ac:dyDescent="0.25">
      <c r="D660" s="559" t="s">
        <v>867</v>
      </c>
      <c r="E660" s="558">
        <v>100471</v>
      </c>
      <c r="F660" s="559">
        <v>101298</v>
      </c>
      <c r="G660" s="558" t="s">
        <v>4777</v>
      </c>
      <c r="H660" s="564">
        <v>40015</v>
      </c>
      <c r="I660" s="563">
        <v>58.5</v>
      </c>
      <c r="J660" s="563">
        <v>-58.5</v>
      </c>
      <c r="K660" s="563">
        <f t="shared" si="27"/>
        <v>0</v>
      </c>
      <c r="L660" s="563">
        <f t="shared" si="28"/>
        <v>0</v>
      </c>
      <c r="M660" s="563">
        <f t="shared" si="29"/>
        <v>64.350000000000009</v>
      </c>
      <c r="N660" s="580"/>
      <c r="O660" s="558"/>
      <c r="P660" s="564"/>
    </row>
    <row r="661" spans="4:16" x14ac:dyDescent="0.25">
      <c r="D661" s="559" t="s">
        <v>867</v>
      </c>
      <c r="E661" s="558">
        <v>100472</v>
      </c>
      <c r="F661" s="559">
        <v>101021</v>
      </c>
      <c r="G661" s="558" t="s">
        <v>4777</v>
      </c>
      <c r="H661" s="564">
        <v>40015</v>
      </c>
      <c r="I661" s="563">
        <v>58.5</v>
      </c>
      <c r="J661" s="563">
        <v>-58.5</v>
      </c>
      <c r="K661" s="563">
        <f t="shared" si="27"/>
        <v>0</v>
      </c>
      <c r="L661" s="563">
        <f t="shared" si="28"/>
        <v>0</v>
      </c>
      <c r="M661" s="563">
        <f t="shared" si="29"/>
        <v>64.350000000000009</v>
      </c>
      <c r="N661" s="580"/>
      <c r="O661" s="558"/>
      <c r="P661" s="564"/>
    </row>
    <row r="662" spans="4:16" x14ac:dyDescent="0.25">
      <c r="D662" s="559" t="s">
        <v>867</v>
      </c>
      <c r="E662" s="558">
        <v>100473</v>
      </c>
      <c r="F662" s="559">
        <v>100497</v>
      </c>
      <c r="G662" s="558" t="s">
        <v>4777</v>
      </c>
      <c r="H662" s="564">
        <v>40015</v>
      </c>
      <c r="I662" s="563">
        <v>2886</v>
      </c>
      <c r="J662" s="563">
        <v>-585</v>
      </c>
      <c r="K662" s="563">
        <f t="shared" si="27"/>
        <v>2301</v>
      </c>
      <c r="L662" s="563">
        <f t="shared" si="28"/>
        <v>2531.1000000000004</v>
      </c>
      <c r="M662" s="563">
        <f t="shared" si="29"/>
        <v>3174.6000000000004</v>
      </c>
      <c r="N662" s="580"/>
      <c r="O662" s="558"/>
      <c r="P662" s="564"/>
    </row>
    <row r="663" spans="4:16" x14ac:dyDescent="0.25">
      <c r="D663" s="559" t="s">
        <v>867</v>
      </c>
      <c r="E663" s="558">
        <v>100474</v>
      </c>
      <c r="F663" s="559">
        <v>101299</v>
      </c>
      <c r="G663" s="558" t="s">
        <v>4777</v>
      </c>
      <c r="H663" s="564">
        <v>40015</v>
      </c>
      <c r="I663" s="563">
        <v>3237</v>
      </c>
      <c r="J663" s="563">
        <v>-585</v>
      </c>
      <c r="K663" s="563">
        <f t="shared" si="27"/>
        <v>2652</v>
      </c>
      <c r="L663" s="563">
        <f t="shared" si="28"/>
        <v>2917.2000000000003</v>
      </c>
      <c r="M663" s="563">
        <f t="shared" si="29"/>
        <v>3560.7000000000003</v>
      </c>
      <c r="N663" s="580"/>
      <c r="O663" s="558"/>
      <c r="P663" s="564"/>
    </row>
    <row r="664" spans="4:16" x14ac:dyDescent="0.25">
      <c r="D664" s="559" t="s">
        <v>867</v>
      </c>
      <c r="E664" s="558">
        <v>100475</v>
      </c>
      <c r="F664" s="559">
        <v>100686</v>
      </c>
      <c r="G664" s="558" t="s">
        <v>4777</v>
      </c>
      <c r="H664" s="564">
        <v>40015</v>
      </c>
      <c r="I664" s="563">
        <v>3837.6</v>
      </c>
      <c r="J664" s="563">
        <v>-585</v>
      </c>
      <c r="K664" s="563">
        <f t="shared" si="27"/>
        <v>3252.6</v>
      </c>
      <c r="L664" s="563">
        <f t="shared" si="28"/>
        <v>3577.86</v>
      </c>
      <c r="M664" s="563">
        <f t="shared" si="29"/>
        <v>4221.3600000000006</v>
      </c>
      <c r="N664" s="580"/>
      <c r="O664" s="558"/>
      <c r="P664" s="564"/>
    </row>
    <row r="665" spans="4:16" x14ac:dyDescent="0.25">
      <c r="D665" s="559" t="s">
        <v>867</v>
      </c>
      <c r="E665" s="558">
        <v>100476</v>
      </c>
      <c r="F665" s="559">
        <v>102764</v>
      </c>
      <c r="G665" s="558" t="s">
        <v>4778</v>
      </c>
      <c r="H665" s="564">
        <v>40015</v>
      </c>
      <c r="I665" s="563">
        <v>425.1</v>
      </c>
      <c r="J665" s="563">
        <v>-425.1</v>
      </c>
      <c r="K665" s="582">
        <f t="shared" si="27"/>
        <v>0</v>
      </c>
      <c r="L665" s="563">
        <f t="shared" si="28"/>
        <v>0</v>
      </c>
      <c r="M665" s="563">
        <f t="shared" si="29"/>
        <v>467.61000000000007</v>
      </c>
      <c r="N665" s="580"/>
    </row>
    <row r="666" spans="4:16" x14ac:dyDescent="0.25">
      <c r="D666" s="559" t="s">
        <v>867</v>
      </c>
      <c r="E666" s="558">
        <v>100477</v>
      </c>
      <c r="F666" s="559">
        <v>100943</v>
      </c>
      <c r="G666" s="558" t="s">
        <v>4778</v>
      </c>
      <c r="H666" s="564">
        <v>40015</v>
      </c>
      <c r="I666" s="563">
        <v>526.5</v>
      </c>
      <c r="J666" s="563">
        <v>-526.5</v>
      </c>
      <c r="K666" s="582">
        <f t="shared" si="27"/>
        <v>0</v>
      </c>
      <c r="L666" s="563">
        <f t="shared" si="28"/>
        <v>0</v>
      </c>
      <c r="M666" s="563">
        <f t="shared" si="29"/>
        <v>579.15000000000009</v>
      </c>
      <c r="N666" s="580"/>
    </row>
    <row r="667" spans="4:16" x14ac:dyDescent="0.25">
      <c r="D667" s="559" t="s">
        <v>867</v>
      </c>
      <c r="E667" s="558">
        <v>100478</v>
      </c>
      <c r="F667" s="559">
        <v>100687</v>
      </c>
      <c r="G667" s="558" t="s">
        <v>4778</v>
      </c>
      <c r="H667" s="564">
        <v>40015</v>
      </c>
      <c r="I667" s="563">
        <v>58.5</v>
      </c>
      <c r="J667" s="563">
        <v>-58.5</v>
      </c>
      <c r="K667" s="563">
        <f t="shared" si="27"/>
        <v>0</v>
      </c>
      <c r="L667" s="563">
        <f t="shared" si="28"/>
        <v>0</v>
      </c>
      <c r="M667" s="563">
        <f t="shared" si="29"/>
        <v>64.350000000000009</v>
      </c>
      <c r="N667" s="580"/>
      <c r="O667" s="558"/>
      <c r="P667" s="564"/>
    </row>
    <row r="668" spans="4:16" x14ac:dyDescent="0.25">
      <c r="D668" s="559" t="s">
        <v>867</v>
      </c>
      <c r="E668" s="558">
        <v>100479</v>
      </c>
      <c r="F668" s="559">
        <v>100534</v>
      </c>
      <c r="G668" s="558" t="s">
        <v>4778</v>
      </c>
      <c r="H668" s="564">
        <v>40015</v>
      </c>
      <c r="I668" s="563">
        <v>117</v>
      </c>
      <c r="J668" s="563">
        <v>-117</v>
      </c>
      <c r="K668" s="582">
        <f t="shared" si="27"/>
        <v>0</v>
      </c>
      <c r="L668" s="563">
        <f t="shared" si="28"/>
        <v>0</v>
      </c>
      <c r="M668" s="563">
        <f t="shared" si="29"/>
        <v>128.70000000000002</v>
      </c>
      <c r="N668" s="580"/>
    </row>
    <row r="669" spans="4:16" x14ac:dyDescent="0.25">
      <c r="D669" s="559" t="s">
        <v>867</v>
      </c>
      <c r="E669" s="558">
        <v>100480</v>
      </c>
      <c r="F669" s="559">
        <v>100688</v>
      </c>
      <c r="G669" s="558" t="s">
        <v>4778</v>
      </c>
      <c r="H669" s="564">
        <v>40015</v>
      </c>
      <c r="I669" s="563">
        <v>58.5</v>
      </c>
      <c r="J669" s="563">
        <v>-58.5</v>
      </c>
      <c r="K669" s="563">
        <f t="shared" si="27"/>
        <v>0</v>
      </c>
      <c r="L669" s="563">
        <f t="shared" si="28"/>
        <v>0</v>
      </c>
      <c r="M669" s="563">
        <f t="shared" si="29"/>
        <v>64.350000000000009</v>
      </c>
      <c r="N669" s="580"/>
      <c r="O669" s="558"/>
      <c r="P669" s="564"/>
    </row>
    <row r="670" spans="4:16" x14ac:dyDescent="0.25">
      <c r="D670" s="559" t="s">
        <v>867</v>
      </c>
      <c r="E670" s="558">
        <v>100481</v>
      </c>
      <c r="F670" s="559">
        <v>101296</v>
      </c>
      <c r="G670" s="558" t="s">
        <v>4779</v>
      </c>
      <c r="H670" s="564">
        <v>40015</v>
      </c>
      <c r="I670" s="563">
        <v>1501.5</v>
      </c>
      <c r="J670" s="563">
        <v>-585</v>
      </c>
      <c r="K670" s="563">
        <f t="shared" si="27"/>
        <v>916.5</v>
      </c>
      <c r="L670" s="563">
        <f t="shared" si="28"/>
        <v>1008.1500000000001</v>
      </c>
      <c r="M670" s="563">
        <f t="shared" si="29"/>
        <v>1651.65</v>
      </c>
      <c r="N670" s="580"/>
      <c r="O670" s="558"/>
      <c r="P670" s="564"/>
    </row>
    <row r="671" spans="4:16" x14ac:dyDescent="0.25">
      <c r="D671" s="559" t="s">
        <v>867</v>
      </c>
      <c r="E671" s="558">
        <v>100482</v>
      </c>
      <c r="F671" s="559">
        <v>100535</v>
      </c>
      <c r="G671" s="558" t="s">
        <v>4779</v>
      </c>
      <c r="H671" s="564">
        <v>40015</v>
      </c>
      <c r="I671" s="563">
        <v>975</v>
      </c>
      <c r="J671" s="563">
        <v>-585</v>
      </c>
      <c r="K671" s="582">
        <f t="shared" si="27"/>
        <v>390</v>
      </c>
      <c r="L671" s="563">
        <f t="shared" si="28"/>
        <v>429.00000000000006</v>
      </c>
      <c r="M671" s="563">
        <f t="shared" si="29"/>
        <v>1072.5</v>
      </c>
      <c r="N671" s="580"/>
    </row>
    <row r="672" spans="4:16" x14ac:dyDescent="0.25">
      <c r="D672" s="559" t="s">
        <v>867</v>
      </c>
      <c r="E672" s="558">
        <v>100485</v>
      </c>
      <c r="F672" s="559">
        <v>100886</v>
      </c>
      <c r="G672" s="558" t="s">
        <v>4779</v>
      </c>
      <c r="H672" s="564">
        <v>40015</v>
      </c>
      <c r="I672" s="563">
        <v>2340</v>
      </c>
      <c r="J672" s="563">
        <v>-585</v>
      </c>
      <c r="K672" s="563">
        <f t="shared" si="27"/>
        <v>1755</v>
      </c>
      <c r="L672" s="563">
        <f t="shared" si="28"/>
        <v>1930.5000000000002</v>
      </c>
      <c r="M672" s="563">
        <f t="shared" si="29"/>
        <v>2574</v>
      </c>
      <c r="N672" s="580"/>
      <c r="O672" s="558"/>
      <c r="P672" s="564"/>
    </row>
    <row r="673" spans="4:16" x14ac:dyDescent="0.25">
      <c r="D673" s="559" t="s">
        <v>867</v>
      </c>
      <c r="E673" s="558">
        <v>100486</v>
      </c>
      <c r="F673" s="559">
        <v>101346</v>
      </c>
      <c r="G673" s="558" t="s">
        <v>4779</v>
      </c>
      <c r="H673" s="564">
        <v>40015</v>
      </c>
      <c r="I673" s="563">
        <v>1521</v>
      </c>
      <c r="J673" s="563">
        <v>-585</v>
      </c>
      <c r="K673" s="563">
        <f t="shared" si="27"/>
        <v>936</v>
      </c>
      <c r="L673" s="563">
        <f t="shared" si="28"/>
        <v>1029.6000000000001</v>
      </c>
      <c r="M673" s="563">
        <f t="shared" si="29"/>
        <v>1673.1000000000001</v>
      </c>
      <c r="N673" s="580"/>
      <c r="O673" s="558"/>
      <c r="P673" s="564"/>
    </row>
    <row r="674" spans="4:16" x14ac:dyDescent="0.25">
      <c r="D674" s="559" t="s">
        <v>867</v>
      </c>
      <c r="E674" s="558">
        <v>100487</v>
      </c>
      <c r="F674" s="559">
        <v>100793</v>
      </c>
      <c r="G674" s="558" t="s">
        <v>4779</v>
      </c>
      <c r="H674" s="564">
        <v>40015</v>
      </c>
      <c r="I674" s="563">
        <v>1170</v>
      </c>
      <c r="J674" s="563">
        <v>-585</v>
      </c>
      <c r="K674" s="582">
        <f t="shared" si="27"/>
        <v>585</v>
      </c>
      <c r="L674" s="563">
        <f t="shared" si="28"/>
        <v>643.5</v>
      </c>
      <c r="M674" s="563">
        <f t="shared" si="29"/>
        <v>1287</v>
      </c>
      <c r="N674" s="580"/>
    </row>
    <row r="675" spans="4:16" x14ac:dyDescent="0.25">
      <c r="D675" s="559" t="s">
        <v>867</v>
      </c>
      <c r="E675" s="558">
        <v>100488</v>
      </c>
      <c r="F675" s="559">
        <v>101698</v>
      </c>
      <c r="G675" s="558" t="s">
        <v>4780</v>
      </c>
      <c r="H675" s="564">
        <v>40015</v>
      </c>
      <c r="I675" s="563">
        <v>1443</v>
      </c>
      <c r="J675" s="563">
        <v>-585</v>
      </c>
      <c r="K675" s="563">
        <f t="shared" si="27"/>
        <v>858</v>
      </c>
      <c r="L675" s="563">
        <f t="shared" si="28"/>
        <v>943.80000000000007</v>
      </c>
      <c r="M675" s="563">
        <f t="shared" si="29"/>
        <v>1587.3000000000002</v>
      </c>
      <c r="N675" s="580"/>
      <c r="O675" s="558"/>
      <c r="P675" s="564"/>
    </row>
    <row r="676" spans="4:16" x14ac:dyDescent="0.25">
      <c r="D676" s="559" t="s">
        <v>867</v>
      </c>
      <c r="E676" s="558">
        <v>100489</v>
      </c>
      <c r="F676" s="559">
        <v>102925</v>
      </c>
      <c r="G676" s="558" t="s">
        <v>4780</v>
      </c>
      <c r="H676" s="564">
        <v>40015</v>
      </c>
      <c r="I676" s="563">
        <v>1185.5999999999999</v>
      </c>
      <c r="J676" s="563">
        <v>-585</v>
      </c>
      <c r="K676" s="563">
        <f t="shared" si="27"/>
        <v>600.59999999999991</v>
      </c>
      <c r="L676" s="563">
        <f t="shared" si="28"/>
        <v>660.66</v>
      </c>
      <c r="M676" s="563">
        <f t="shared" si="29"/>
        <v>1304.1600000000001</v>
      </c>
      <c r="N676" s="580"/>
      <c r="O676" s="558"/>
      <c r="P676" s="564"/>
    </row>
    <row r="677" spans="4:16" x14ac:dyDescent="0.25">
      <c r="D677" s="559" t="s">
        <v>867</v>
      </c>
      <c r="E677" s="558">
        <v>100490</v>
      </c>
      <c r="F677" s="559">
        <v>102232</v>
      </c>
      <c r="G677" s="558" t="s">
        <v>4780</v>
      </c>
      <c r="H677" s="564">
        <v>40015</v>
      </c>
      <c r="I677" s="563">
        <v>436.8</v>
      </c>
      <c r="J677" s="563">
        <v>-436.8</v>
      </c>
      <c r="K677" s="563">
        <f t="shared" si="27"/>
        <v>0</v>
      </c>
      <c r="L677" s="563">
        <f t="shared" si="28"/>
        <v>0</v>
      </c>
      <c r="M677" s="563">
        <f t="shared" si="29"/>
        <v>480.48000000000008</v>
      </c>
      <c r="N677" s="580"/>
      <c r="O677" s="558"/>
      <c r="P677" s="564"/>
    </row>
    <row r="678" spans="4:16" x14ac:dyDescent="0.25">
      <c r="D678" s="559" t="s">
        <v>867</v>
      </c>
      <c r="E678" s="558">
        <v>100491</v>
      </c>
      <c r="F678" s="559">
        <v>100051</v>
      </c>
      <c r="G678" s="558" t="s">
        <v>4780</v>
      </c>
      <c r="H678" s="564">
        <v>40015</v>
      </c>
      <c r="I678" s="563">
        <v>222.3</v>
      </c>
      <c r="J678" s="563">
        <v>-222.3</v>
      </c>
      <c r="K678" s="563">
        <f t="shared" si="27"/>
        <v>0</v>
      </c>
      <c r="L678" s="563">
        <f t="shared" si="28"/>
        <v>0</v>
      </c>
      <c r="M678" s="563">
        <f t="shared" si="29"/>
        <v>244.53000000000003</v>
      </c>
      <c r="N678" s="580"/>
      <c r="O678" s="558"/>
      <c r="P678" s="564"/>
    </row>
    <row r="679" spans="4:16" x14ac:dyDescent="0.25">
      <c r="D679" s="559" t="s">
        <v>867</v>
      </c>
      <c r="E679" s="558">
        <v>100492</v>
      </c>
      <c r="F679" s="559">
        <v>100052</v>
      </c>
      <c r="G679" s="558" t="s">
        <v>4780</v>
      </c>
      <c r="H679" s="564">
        <v>40015</v>
      </c>
      <c r="I679" s="563">
        <v>2418</v>
      </c>
      <c r="J679" s="563">
        <v>-585</v>
      </c>
      <c r="K679" s="563">
        <f t="shared" si="27"/>
        <v>1833</v>
      </c>
      <c r="L679" s="563">
        <f t="shared" si="28"/>
        <v>2016.3000000000002</v>
      </c>
      <c r="M679" s="563">
        <f t="shared" si="29"/>
        <v>2659.8</v>
      </c>
      <c r="N679" s="580"/>
      <c r="O679" s="558"/>
      <c r="P679" s="564"/>
    </row>
    <row r="680" spans="4:16" x14ac:dyDescent="0.25">
      <c r="D680" s="559" t="s">
        <v>867</v>
      </c>
      <c r="E680" s="558">
        <v>100493</v>
      </c>
      <c r="F680" s="559">
        <v>100052</v>
      </c>
      <c r="G680" s="558" t="s">
        <v>4781</v>
      </c>
      <c r="H680" s="564">
        <v>40015</v>
      </c>
      <c r="I680" s="563">
        <v>117</v>
      </c>
      <c r="J680" s="563">
        <v>-117</v>
      </c>
      <c r="K680" s="563">
        <f t="shared" si="27"/>
        <v>0</v>
      </c>
      <c r="L680" s="563">
        <f t="shared" si="28"/>
        <v>0</v>
      </c>
      <c r="M680" s="563">
        <f t="shared" si="29"/>
        <v>128.70000000000002</v>
      </c>
      <c r="N680" s="580"/>
      <c r="O680" s="558"/>
      <c r="P680" s="564"/>
    </row>
    <row r="681" spans="4:16" x14ac:dyDescent="0.25">
      <c r="D681" s="559" t="s">
        <v>867</v>
      </c>
      <c r="E681" s="558">
        <v>100494</v>
      </c>
      <c r="F681" s="559">
        <v>100052</v>
      </c>
      <c r="G681" s="558" t="s">
        <v>4781</v>
      </c>
      <c r="H681" s="564">
        <v>40015</v>
      </c>
      <c r="I681" s="563">
        <v>117</v>
      </c>
      <c r="J681" s="563">
        <v>-117</v>
      </c>
      <c r="K681" s="563">
        <f t="shared" ref="K681:K744" si="30">+I681+J681</f>
        <v>0</v>
      </c>
      <c r="L681" s="563">
        <f t="shared" ref="L681:L744" si="31">+K681*1.1</f>
        <v>0</v>
      </c>
      <c r="M681" s="563">
        <f t="shared" ref="M681:M744" si="32">+I681*1.1</f>
        <v>128.70000000000002</v>
      </c>
      <c r="N681" s="580"/>
      <c r="O681" s="558"/>
      <c r="P681" s="564"/>
    </row>
    <row r="682" spans="4:16" x14ac:dyDescent="0.25">
      <c r="D682" s="559" t="s">
        <v>867</v>
      </c>
      <c r="E682" s="558">
        <v>100495</v>
      </c>
      <c r="F682" s="559">
        <v>102977</v>
      </c>
      <c r="G682" s="558" t="s">
        <v>4781</v>
      </c>
      <c r="H682" s="564">
        <v>40015</v>
      </c>
      <c r="I682" s="563">
        <v>117</v>
      </c>
      <c r="J682" s="563">
        <v>-117</v>
      </c>
      <c r="K682" s="582">
        <f t="shared" si="30"/>
        <v>0</v>
      </c>
      <c r="L682" s="563">
        <f t="shared" si="31"/>
        <v>0</v>
      </c>
      <c r="M682" s="563">
        <f t="shared" si="32"/>
        <v>128.70000000000002</v>
      </c>
      <c r="N682" s="580"/>
    </row>
    <row r="683" spans="4:16" x14ac:dyDescent="0.25">
      <c r="D683" s="559" t="s">
        <v>867</v>
      </c>
      <c r="E683" s="558">
        <v>100496</v>
      </c>
      <c r="F683" s="559">
        <v>102931</v>
      </c>
      <c r="G683" s="558" t="s">
        <v>4781</v>
      </c>
      <c r="H683" s="564">
        <v>40015</v>
      </c>
      <c r="I683" s="563">
        <v>117</v>
      </c>
      <c r="J683" s="563">
        <v>-117</v>
      </c>
      <c r="K683" s="582">
        <f t="shared" si="30"/>
        <v>0</v>
      </c>
      <c r="L683" s="563">
        <f t="shared" si="31"/>
        <v>0</v>
      </c>
      <c r="M683" s="563">
        <f t="shared" si="32"/>
        <v>128.70000000000002</v>
      </c>
      <c r="N683" s="580"/>
    </row>
    <row r="684" spans="4:16" x14ac:dyDescent="0.25">
      <c r="D684" s="559" t="s">
        <v>867</v>
      </c>
      <c r="E684" s="558">
        <v>100496</v>
      </c>
      <c r="F684" s="559">
        <v>102982</v>
      </c>
      <c r="G684" s="558" t="s">
        <v>4781</v>
      </c>
      <c r="H684" s="564">
        <v>40015</v>
      </c>
      <c r="I684" s="563">
        <v>117</v>
      </c>
      <c r="J684" s="563">
        <v>-117</v>
      </c>
      <c r="K684" s="582">
        <f t="shared" si="30"/>
        <v>0</v>
      </c>
      <c r="L684" s="563">
        <f t="shared" si="31"/>
        <v>0</v>
      </c>
      <c r="M684" s="563">
        <f t="shared" si="32"/>
        <v>128.70000000000002</v>
      </c>
      <c r="N684" s="580"/>
    </row>
    <row r="685" spans="4:16" x14ac:dyDescent="0.25">
      <c r="D685" s="559" t="s">
        <v>867</v>
      </c>
      <c r="E685" s="558">
        <v>100497</v>
      </c>
      <c r="F685" s="559">
        <v>101545</v>
      </c>
      <c r="G685" s="558" t="s">
        <v>4782</v>
      </c>
      <c r="H685" s="564">
        <v>40015</v>
      </c>
      <c r="I685" s="563">
        <v>58.5</v>
      </c>
      <c r="J685" s="563">
        <v>-58.5</v>
      </c>
      <c r="K685" s="582">
        <f t="shared" si="30"/>
        <v>0</v>
      </c>
      <c r="L685" s="563">
        <f t="shared" si="31"/>
        <v>0</v>
      </c>
      <c r="M685" s="563">
        <f t="shared" si="32"/>
        <v>64.350000000000009</v>
      </c>
      <c r="N685" s="580"/>
    </row>
    <row r="686" spans="4:16" x14ac:dyDescent="0.25">
      <c r="D686" s="559" t="s">
        <v>867</v>
      </c>
      <c r="E686" s="558">
        <v>100498</v>
      </c>
      <c r="F686" s="559">
        <v>102955</v>
      </c>
      <c r="G686" s="558" t="s">
        <v>4782</v>
      </c>
      <c r="H686" s="564">
        <v>40015</v>
      </c>
      <c r="I686" s="563">
        <v>58.5</v>
      </c>
      <c r="J686" s="563">
        <v>-58.5</v>
      </c>
      <c r="K686" s="582">
        <f t="shared" si="30"/>
        <v>0</v>
      </c>
      <c r="L686" s="563">
        <f t="shared" si="31"/>
        <v>0</v>
      </c>
      <c r="M686" s="563">
        <f t="shared" si="32"/>
        <v>64.350000000000009</v>
      </c>
      <c r="N686" s="580"/>
    </row>
    <row r="687" spans="4:16" x14ac:dyDescent="0.25">
      <c r="D687" s="559" t="s">
        <v>867</v>
      </c>
      <c r="E687" s="558">
        <v>100499</v>
      </c>
      <c r="F687" s="559">
        <v>100585</v>
      </c>
      <c r="G687" s="558" t="s">
        <v>4782</v>
      </c>
      <c r="H687" s="564">
        <v>40015</v>
      </c>
      <c r="I687" s="563">
        <v>3159</v>
      </c>
      <c r="J687" s="563">
        <v>-585</v>
      </c>
      <c r="K687" s="563">
        <f t="shared" si="30"/>
        <v>2574</v>
      </c>
      <c r="L687" s="563">
        <f t="shared" si="31"/>
        <v>2831.4</v>
      </c>
      <c r="M687" s="563">
        <f t="shared" si="32"/>
        <v>3474.9</v>
      </c>
      <c r="N687" s="580"/>
      <c r="O687" s="558"/>
      <c r="P687" s="564"/>
    </row>
    <row r="688" spans="4:16" x14ac:dyDescent="0.25">
      <c r="D688" s="559" t="s">
        <v>867</v>
      </c>
      <c r="E688" s="558">
        <v>100500</v>
      </c>
      <c r="F688" s="559">
        <v>101112</v>
      </c>
      <c r="G688" s="558" t="s">
        <v>4782</v>
      </c>
      <c r="H688" s="564">
        <v>40015</v>
      </c>
      <c r="I688" s="563">
        <v>117</v>
      </c>
      <c r="J688" s="563">
        <v>-117</v>
      </c>
      <c r="K688" s="582">
        <f t="shared" si="30"/>
        <v>0</v>
      </c>
      <c r="L688" s="563">
        <f t="shared" si="31"/>
        <v>0</v>
      </c>
      <c r="M688" s="563">
        <f t="shared" si="32"/>
        <v>128.70000000000002</v>
      </c>
      <c r="N688" s="580"/>
    </row>
    <row r="689" spans="4:16" x14ac:dyDescent="0.25">
      <c r="D689" s="559" t="s">
        <v>867</v>
      </c>
      <c r="E689" s="558">
        <v>100501</v>
      </c>
      <c r="F689" s="559">
        <v>101026</v>
      </c>
      <c r="G689" s="558" t="s">
        <v>4782</v>
      </c>
      <c r="H689" s="564">
        <v>40015</v>
      </c>
      <c r="I689" s="563">
        <v>323.7</v>
      </c>
      <c r="J689" s="563">
        <v>-323.7</v>
      </c>
      <c r="K689" s="582">
        <f t="shared" si="30"/>
        <v>0</v>
      </c>
      <c r="L689" s="563">
        <f t="shared" si="31"/>
        <v>0</v>
      </c>
      <c r="M689" s="563">
        <f t="shared" si="32"/>
        <v>356.07</v>
      </c>
      <c r="N689" s="580"/>
    </row>
    <row r="690" spans="4:16" x14ac:dyDescent="0.25">
      <c r="D690" s="559" t="s">
        <v>867</v>
      </c>
      <c r="E690" s="558">
        <v>100502</v>
      </c>
      <c r="F690" s="559">
        <v>101027</v>
      </c>
      <c r="G690" s="558" t="s">
        <v>4783</v>
      </c>
      <c r="H690" s="564">
        <v>40015</v>
      </c>
      <c r="I690" s="563">
        <v>85.8</v>
      </c>
      <c r="J690" s="563">
        <v>-85.8</v>
      </c>
      <c r="K690" s="563">
        <f t="shared" si="30"/>
        <v>0</v>
      </c>
      <c r="L690" s="563">
        <f t="shared" si="31"/>
        <v>0</v>
      </c>
      <c r="M690" s="563">
        <f t="shared" si="32"/>
        <v>94.38000000000001</v>
      </c>
      <c r="N690" s="580"/>
      <c r="O690" s="558"/>
      <c r="P690" s="564"/>
    </row>
    <row r="691" spans="4:16" x14ac:dyDescent="0.25">
      <c r="D691" s="559" t="s">
        <v>867</v>
      </c>
      <c r="E691" s="558">
        <v>100503</v>
      </c>
      <c r="F691" s="559">
        <v>102923</v>
      </c>
      <c r="G691" s="558" t="s">
        <v>4783</v>
      </c>
      <c r="H691" s="564">
        <v>40015</v>
      </c>
      <c r="I691" s="563">
        <v>117</v>
      </c>
      <c r="J691" s="563">
        <v>-117</v>
      </c>
      <c r="K691" s="582">
        <f t="shared" si="30"/>
        <v>0</v>
      </c>
      <c r="L691" s="563">
        <f t="shared" si="31"/>
        <v>0</v>
      </c>
      <c r="M691" s="563">
        <f t="shared" si="32"/>
        <v>128.70000000000002</v>
      </c>
      <c r="N691" s="580"/>
    </row>
    <row r="692" spans="4:16" x14ac:dyDescent="0.25">
      <c r="D692" s="559" t="s">
        <v>867</v>
      </c>
      <c r="E692" s="558">
        <v>100504</v>
      </c>
      <c r="F692" s="559">
        <v>102774</v>
      </c>
      <c r="G692" s="558" t="s">
        <v>4783</v>
      </c>
      <c r="H692" s="564">
        <v>40015</v>
      </c>
      <c r="I692" s="563">
        <v>2574</v>
      </c>
      <c r="J692" s="563">
        <v>-585</v>
      </c>
      <c r="K692" s="563">
        <f t="shared" si="30"/>
        <v>1989</v>
      </c>
      <c r="L692" s="563">
        <f t="shared" si="31"/>
        <v>2187.9</v>
      </c>
      <c r="M692" s="563">
        <f t="shared" si="32"/>
        <v>2831.4</v>
      </c>
      <c r="N692" s="580"/>
      <c r="O692" s="558"/>
      <c r="P692" s="564"/>
    </row>
    <row r="693" spans="4:16" x14ac:dyDescent="0.25">
      <c r="D693" s="559" t="s">
        <v>867</v>
      </c>
      <c r="E693" s="558">
        <v>100505</v>
      </c>
      <c r="F693" s="559">
        <v>101719</v>
      </c>
      <c r="G693" s="558" t="s">
        <v>4783</v>
      </c>
      <c r="H693" s="564">
        <v>40015</v>
      </c>
      <c r="I693" s="563">
        <v>1443</v>
      </c>
      <c r="J693" s="563">
        <v>-585</v>
      </c>
      <c r="K693" s="563">
        <f t="shared" si="30"/>
        <v>858</v>
      </c>
      <c r="L693" s="563">
        <f t="shared" si="31"/>
        <v>943.80000000000007</v>
      </c>
      <c r="M693" s="563">
        <f t="shared" si="32"/>
        <v>1587.3000000000002</v>
      </c>
      <c r="N693" s="580"/>
      <c r="O693" s="558"/>
      <c r="P693" s="564"/>
    </row>
    <row r="694" spans="4:16" x14ac:dyDescent="0.25">
      <c r="D694" s="559" t="s">
        <v>867</v>
      </c>
      <c r="E694" s="558">
        <v>100506</v>
      </c>
      <c r="F694" s="559">
        <v>102820</v>
      </c>
      <c r="G694" s="558" t="s">
        <v>4783</v>
      </c>
      <c r="H694" s="564">
        <v>40015</v>
      </c>
      <c r="I694" s="563">
        <v>1443</v>
      </c>
      <c r="J694" s="563">
        <v>-585</v>
      </c>
      <c r="K694" s="563">
        <f t="shared" si="30"/>
        <v>858</v>
      </c>
      <c r="L694" s="563">
        <f t="shared" si="31"/>
        <v>943.80000000000007</v>
      </c>
      <c r="M694" s="563">
        <f t="shared" si="32"/>
        <v>1587.3000000000002</v>
      </c>
      <c r="N694" s="580"/>
      <c r="O694" s="558"/>
      <c r="P694" s="564"/>
    </row>
    <row r="695" spans="4:16" x14ac:dyDescent="0.25">
      <c r="D695" s="559" t="s">
        <v>867</v>
      </c>
      <c r="E695" s="558">
        <v>100507</v>
      </c>
      <c r="F695" s="559">
        <v>101041</v>
      </c>
      <c r="G695" s="558" t="s">
        <v>4784</v>
      </c>
      <c r="H695" s="564">
        <v>40015</v>
      </c>
      <c r="I695" s="563">
        <v>1489.8</v>
      </c>
      <c r="J695" s="563">
        <v>-585</v>
      </c>
      <c r="K695" s="582">
        <f t="shared" si="30"/>
        <v>904.8</v>
      </c>
      <c r="L695" s="563">
        <f t="shared" si="31"/>
        <v>995.28000000000009</v>
      </c>
      <c r="M695" s="563">
        <f t="shared" si="32"/>
        <v>1638.78</v>
      </c>
      <c r="N695" s="580"/>
    </row>
    <row r="696" spans="4:16" x14ac:dyDescent="0.25">
      <c r="D696" s="559" t="s">
        <v>867</v>
      </c>
      <c r="E696" s="558">
        <v>100509</v>
      </c>
      <c r="F696" s="559">
        <v>100339</v>
      </c>
      <c r="G696" s="558" t="s">
        <v>4784</v>
      </c>
      <c r="H696" s="564">
        <v>40015</v>
      </c>
      <c r="I696" s="563">
        <v>42.9</v>
      </c>
      <c r="J696" s="563">
        <v>-42.9</v>
      </c>
      <c r="K696" s="582">
        <f t="shared" si="30"/>
        <v>0</v>
      </c>
      <c r="L696" s="563">
        <f t="shared" si="31"/>
        <v>0</v>
      </c>
      <c r="M696" s="563">
        <f t="shared" si="32"/>
        <v>47.190000000000005</v>
      </c>
      <c r="N696" s="580"/>
    </row>
    <row r="697" spans="4:16" x14ac:dyDescent="0.25">
      <c r="D697" s="559" t="s">
        <v>867</v>
      </c>
      <c r="E697" s="558">
        <v>100560</v>
      </c>
      <c r="F697" s="559">
        <v>102905</v>
      </c>
      <c r="G697" s="558" t="s">
        <v>4784</v>
      </c>
      <c r="H697" s="564">
        <v>40015</v>
      </c>
      <c r="I697" s="563">
        <v>1053</v>
      </c>
      <c r="J697" s="563">
        <v>-585</v>
      </c>
      <c r="K697" s="582">
        <f t="shared" si="30"/>
        <v>468</v>
      </c>
      <c r="L697" s="563">
        <f t="shared" si="31"/>
        <v>514.80000000000007</v>
      </c>
      <c r="M697" s="563">
        <f t="shared" si="32"/>
        <v>1158.3000000000002</v>
      </c>
      <c r="N697" s="580"/>
    </row>
    <row r="698" spans="4:16" x14ac:dyDescent="0.25">
      <c r="D698" s="559" t="s">
        <v>867</v>
      </c>
      <c r="E698" s="558">
        <v>100561</v>
      </c>
      <c r="F698" s="559">
        <v>100870</v>
      </c>
      <c r="G698" s="558" t="s">
        <v>4784</v>
      </c>
      <c r="H698" s="564">
        <v>40015</v>
      </c>
      <c r="I698" s="563">
        <v>3276</v>
      </c>
      <c r="J698" s="563">
        <v>-585</v>
      </c>
      <c r="K698" s="563">
        <f t="shared" si="30"/>
        <v>2691</v>
      </c>
      <c r="L698" s="563">
        <f t="shared" si="31"/>
        <v>2960.1000000000004</v>
      </c>
      <c r="M698" s="563">
        <f t="shared" si="32"/>
        <v>3603.6000000000004</v>
      </c>
      <c r="N698" s="580"/>
      <c r="O698" s="558"/>
      <c r="P698" s="564"/>
    </row>
    <row r="699" spans="4:16" x14ac:dyDescent="0.25">
      <c r="D699" s="559" t="s">
        <v>867</v>
      </c>
      <c r="E699" s="558">
        <v>100562</v>
      </c>
      <c r="F699" s="559">
        <v>100482</v>
      </c>
      <c r="G699" s="558" t="s">
        <v>4784</v>
      </c>
      <c r="H699" s="564">
        <v>40015</v>
      </c>
      <c r="I699" s="563">
        <v>1251.9000000000001</v>
      </c>
      <c r="J699" s="563">
        <v>-585</v>
      </c>
      <c r="K699" s="582">
        <f t="shared" si="30"/>
        <v>666.90000000000009</v>
      </c>
      <c r="L699" s="563">
        <f t="shared" si="31"/>
        <v>733.59000000000015</v>
      </c>
      <c r="M699" s="563">
        <f t="shared" si="32"/>
        <v>1377.0900000000001</v>
      </c>
      <c r="N699" s="580"/>
    </row>
    <row r="700" spans="4:16" x14ac:dyDescent="0.25">
      <c r="D700" s="559" t="s">
        <v>867</v>
      </c>
      <c r="E700" s="558">
        <v>100563</v>
      </c>
      <c r="F700" s="559">
        <v>101520</v>
      </c>
      <c r="G700" s="558" t="s">
        <v>4785</v>
      </c>
      <c r="H700" s="564">
        <v>40015</v>
      </c>
      <c r="I700" s="563">
        <v>510.9</v>
      </c>
      <c r="J700" s="563">
        <v>-510.9</v>
      </c>
      <c r="K700" s="563">
        <f t="shared" si="30"/>
        <v>0</v>
      </c>
      <c r="L700" s="563">
        <f t="shared" si="31"/>
        <v>0</v>
      </c>
      <c r="M700" s="563">
        <f t="shared" si="32"/>
        <v>561.99</v>
      </c>
      <c r="N700" s="580"/>
      <c r="O700" s="558"/>
      <c r="P700" s="564"/>
    </row>
    <row r="701" spans="4:16" x14ac:dyDescent="0.25">
      <c r="D701" s="559" t="s">
        <v>867</v>
      </c>
      <c r="E701" s="558">
        <v>100564</v>
      </c>
      <c r="F701" s="559">
        <v>102963</v>
      </c>
      <c r="G701" s="558" t="s">
        <v>4785</v>
      </c>
      <c r="H701" s="564">
        <v>40015</v>
      </c>
      <c r="I701" s="563">
        <v>1950</v>
      </c>
      <c r="J701" s="563">
        <v>-585</v>
      </c>
      <c r="K701" s="582">
        <f t="shared" si="30"/>
        <v>1365</v>
      </c>
      <c r="L701" s="563">
        <f t="shared" si="31"/>
        <v>1501.5000000000002</v>
      </c>
      <c r="M701" s="563">
        <f t="shared" si="32"/>
        <v>2145</v>
      </c>
      <c r="N701" s="580"/>
    </row>
    <row r="702" spans="4:16" x14ac:dyDescent="0.25">
      <c r="D702" s="559" t="s">
        <v>867</v>
      </c>
      <c r="E702" s="558">
        <v>100565</v>
      </c>
      <c r="F702" s="559">
        <v>100966</v>
      </c>
      <c r="G702" s="558" t="s">
        <v>4785</v>
      </c>
      <c r="H702" s="564">
        <v>40015</v>
      </c>
      <c r="I702" s="563">
        <v>117</v>
      </c>
      <c r="J702" s="563">
        <v>-117</v>
      </c>
      <c r="K702" s="582">
        <f t="shared" si="30"/>
        <v>0</v>
      </c>
      <c r="L702" s="563">
        <f t="shared" si="31"/>
        <v>0</v>
      </c>
      <c r="M702" s="563">
        <f t="shared" si="32"/>
        <v>128.70000000000002</v>
      </c>
      <c r="N702" s="580"/>
    </row>
    <row r="703" spans="4:16" x14ac:dyDescent="0.25">
      <c r="D703" s="559" t="s">
        <v>867</v>
      </c>
      <c r="E703" s="558">
        <v>100566</v>
      </c>
      <c r="F703" s="559">
        <v>100769</v>
      </c>
      <c r="G703" s="558" t="s">
        <v>4785</v>
      </c>
      <c r="H703" s="564">
        <v>40015</v>
      </c>
      <c r="I703" s="563">
        <v>4329</v>
      </c>
      <c r="J703" s="563">
        <v>-585</v>
      </c>
      <c r="K703" s="563">
        <f t="shared" si="30"/>
        <v>3744</v>
      </c>
      <c r="L703" s="563">
        <f t="shared" si="31"/>
        <v>4118.4000000000005</v>
      </c>
      <c r="M703" s="563">
        <f t="shared" si="32"/>
        <v>4761.9000000000005</v>
      </c>
      <c r="N703" s="580"/>
      <c r="O703" s="558"/>
      <c r="P703" s="564"/>
    </row>
    <row r="704" spans="4:16" x14ac:dyDescent="0.25">
      <c r="D704" s="559" t="s">
        <v>867</v>
      </c>
      <c r="E704" s="558">
        <v>100567</v>
      </c>
      <c r="F704" s="559">
        <v>100878</v>
      </c>
      <c r="G704" s="558" t="s">
        <v>4785</v>
      </c>
      <c r="H704" s="564">
        <v>40015</v>
      </c>
      <c r="I704" s="563">
        <v>1950</v>
      </c>
      <c r="J704" s="563">
        <v>-585</v>
      </c>
      <c r="K704" s="563">
        <f t="shared" si="30"/>
        <v>1365</v>
      </c>
      <c r="L704" s="563">
        <f t="shared" si="31"/>
        <v>1501.5000000000002</v>
      </c>
      <c r="M704" s="563">
        <f t="shared" si="32"/>
        <v>2145</v>
      </c>
      <c r="N704" s="580"/>
      <c r="O704" s="558"/>
      <c r="P704" s="564"/>
    </row>
    <row r="705" spans="4:16" x14ac:dyDescent="0.25">
      <c r="D705" s="559" t="s">
        <v>867</v>
      </c>
      <c r="E705" s="558">
        <v>100568</v>
      </c>
      <c r="F705" s="559">
        <v>101607</v>
      </c>
      <c r="G705" s="558" t="s">
        <v>4786</v>
      </c>
      <c r="H705" s="564">
        <v>40015</v>
      </c>
      <c r="I705" s="563">
        <v>117</v>
      </c>
      <c r="J705" s="563">
        <v>-117</v>
      </c>
      <c r="K705" s="563">
        <f t="shared" si="30"/>
        <v>0</v>
      </c>
      <c r="L705" s="563">
        <f t="shared" si="31"/>
        <v>0</v>
      </c>
      <c r="M705" s="563">
        <f t="shared" si="32"/>
        <v>128.70000000000002</v>
      </c>
      <c r="N705" s="580"/>
      <c r="O705" s="558"/>
      <c r="P705" s="564"/>
    </row>
    <row r="706" spans="4:16" x14ac:dyDescent="0.25">
      <c r="D706" s="559" t="s">
        <v>867</v>
      </c>
      <c r="E706" s="558">
        <v>100569</v>
      </c>
      <c r="F706" s="559">
        <v>101608</v>
      </c>
      <c r="G706" s="558" t="s">
        <v>4786</v>
      </c>
      <c r="H706" s="564">
        <v>40015</v>
      </c>
      <c r="I706" s="563">
        <v>2613</v>
      </c>
      <c r="J706" s="563">
        <v>-585</v>
      </c>
      <c r="K706" s="563">
        <f t="shared" si="30"/>
        <v>2028</v>
      </c>
      <c r="L706" s="563">
        <f t="shared" si="31"/>
        <v>2230.8000000000002</v>
      </c>
      <c r="M706" s="563">
        <f t="shared" si="32"/>
        <v>2874.3</v>
      </c>
      <c r="N706" s="580"/>
      <c r="O706" s="558"/>
      <c r="P706" s="564"/>
    </row>
    <row r="707" spans="4:16" x14ac:dyDescent="0.25">
      <c r="D707" s="559" t="s">
        <v>867</v>
      </c>
      <c r="E707" s="558">
        <v>100570</v>
      </c>
      <c r="F707" s="559">
        <v>102619</v>
      </c>
      <c r="G707" s="558" t="s">
        <v>4786</v>
      </c>
      <c r="H707" s="564">
        <v>40015</v>
      </c>
      <c r="I707" s="563">
        <v>117</v>
      </c>
      <c r="J707" s="563">
        <v>-117</v>
      </c>
      <c r="K707" s="582">
        <f t="shared" si="30"/>
        <v>0</v>
      </c>
      <c r="L707" s="563">
        <f t="shared" si="31"/>
        <v>0</v>
      </c>
      <c r="M707" s="563">
        <f t="shared" si="32"/>
        <v>128.70000000000002</v>
      </c>
      <c r="N707" s="580"/>
    </row>
    <row r="708" spans="4:16" x14ac:dyDescent="0.25">
      <c r="D708" s="559" t="s">
        <v>867</v>
      </c>
      <c r="E708" s="558">
        <v>100571</v>
      </c>
      <c r="F708" s="559">
        <v>100583</v>
      </c>
      <c r="G708" s="558" t="s">
        <v>4786</v>
      </c>
      <c r="H708" s="564">
        <v>40015</v>
      </c>
      <c r="I708" s="563">
        <v>1368.9</v>
      </c>
      <c r="J708" s="563">
        <v>-585</v>
      </c>
      <c r="K708" s="563">
        <f t="shared" si="30"/>
        <v>783.90000000000009</v>
      </c>
      <c r="L708" s="563">
        <f t="shared" si="31"/>
        <v>862.29000000000019</v>
      </c>
      <c r="M708" s="563">
        <f t="shared" si="32"/>
        <v>1505.7900000000002</v>
      </c>
      <c r="N708" s="580"/>
      <c r="O708" s="558"/>
      <c r="P708" s="564"/>
    </row>
    <row r="709" spans="4:16" x14ac:dyDescent="0.25">
      <c r="D709" s="559" t="s">
        <v>867</v>
      </c>
      <c r="E709" s="558">
        <v>100573</v>
      </c>
      <c r="F709" s="559">
        <v>102913</v>
      </c>
      <c r="G709" s="558" t="s">
        <v>4786</v>
      </c>
      <c r="H709" s="564">
        <v>40015</v>
      </c>
      <c r="I709" s="563">
        <v>1053</v>
      </c>
      <c r="J709" s="563">
        <v>-585</v>
      </c>
      <c r="K709" s="582">
        <f t="shared" si="30"/>
        <v>468</v>
      </c>
      <c r="L709" s="563">
        <f t="shared" si="31"/>
        <v>514.80000000000007</v>
      </c>
      <c r="M709" s="563">
        <f t="shared" si="32"/>
        <v>1158.3000000000002</v>
      </c>
      <c r="N709" s="580"/>
    </row>
    <row r="710" spans="4:16" x14ac:dyDescent="0.25">
      <c r="D710" s="559" t="s">
        <v>867</v>
      </c>
      <c r="E710" s="558">
        <v>100574</v>
      </c>
      <c r="F710" s="559">
        <v>102620</v>
      </c>
      <c r="G710" s="558" t="s">
        <v>4787</v>
      </c>
      <c r="H710" s="564">
        <v>40015</v>
      </c>
      <c r="I710" s="563">
        <v>546</v>
      </c>
      <c r="J710" s="563">
        <v>-546</v>
      </c>
      <c r="K710" s="582">
        <f t="shared" si="30"/>
        <v>0</v>
      </c>
      <c r="L710" s="563">
        <f t="shared" si="31"/>
        <v>0</v>
      </c>
      <c r="M710" s="563">
        <f t="shared" si="32"/>
        <v>600.6</v>
      </c>
      <c r="N710" s="580"/>
    </row>
    <row r="711" spans="4:16" x14ac:dyDescent="0.25">
      <c r="D711" s="559" t="s">
        <v>867</v>
      </c>
      <c r="E711" s="558">
        <v>100575</v>
      </c>
      <c r="F711" s="559">
        <v>101611</v>
      </c>
      <c r="G711" s="558" t="s">
        <v>4787</v>
      </c>
      <c r="H711" s="564">
        <v>40015</v>
      </c>
      <c r="I711" s="563">
        <v>663</v>
      </c>
      <c r="J711" s="563">
        <v>-585</v>
      </c>
      <c r="K711" s="563">
        <f t="shared" si="30"/>
        <v>78</v>
      </c>
      <c r="L711" s="563">
        <f t="shared" si="31"/>
        <v>85.800000000000011</v>
      </c>
      <c r="M711" s="563">
        <f t="shared" si="32"/>
        <v>729.30000000000007</v>
      </c>
      <c r="N711" s="580"/>
      <c r="O711" s="558"/>
      <c r="P711" s="564"/>
    </row>
    <row r="712" spans="4:16" x14ac:dyDescent="0.25">
      <c r="D712" s="559" t="s">
        <v>867</v>
      </c>
      <c r="E712" s="558">
        <v>100576</v>
      </c>
      <c r="F712" s="559">
        <v>101304</v>
      </c>
      <c r="G712" s="558" t="s">
        <v>4787</v>
      </c>
      <c r="H712" s="564">
        <v>40015</v>
      </c>
      <c r="I712" s="563">
        <v>1950</v>
      </c>
      <c r="J712" s="563">
        <v>-585</v>
      </c>
      <c r="K712" s="563">
        <f t="shared" si="30"/>
        <v>1365</v>
      </c>
      <c r="L712" s="563">
        <f t="shared" si="31"/>
        <v>1501.5000000000002</v>
      </c>
      <c r="M712" s="563">
        <f t="shared" si="32"/>
        <v>2145</v>
      </c>
      <c r="N712" s="580"/>
      <c r="O712" s="558"/>
      <c r="P712" s="564"/>
    </row>
    <row r="713" spans="4:16" x14ac:dyDescent="0.25">
      <c r="D713" s="559" t="s">
        <v>867</v>
      </c>
      <c r="E713" s="558">
        <v>100577</v>
      </c>
      <c r="F713" s="559">
        <v>100796</v>
      </c>
      <c r="G713" s="558" t="s">
        <v>4787</v>
      </c>
      <c r="H713" s="564">
        <v>40015</v>
      </c>
      <c r="I713" s="563">
        <v>1092</v>
      </c>
      <c r="J713" s="563">
        <v>-585</v>
      </c>
      <c r="K713" s="582">
        <f t="shared" si="30"/>
        <v>507</v>
      </c>
      <c r="L713" s="563">
        <f t="shared" si="31"/>
        <v>557.70000000000005</v>
      </c>
      <c r="M713" s="563">
        <f t="shared" si="32"/>
        <v>1201.2</v>
      </c>
      <c r="N713" s="580"/>
    </row>
    <row r="714" spans="4:16" x14ac:dyDescent="0.25">
      <c r="D714" s="559" t="s">
        <v>867</v>
      </c>
      <c r="E714" s="558">
        <v>100578</v>
      </c>
      <c r="F714" s="559">
        <v>101542</v>
      </c>
      <c r="G714" s="558" t="s">
        <v>4787</v>
      </c>
      <c r="H714" s="564">
        <v>40015</v>
      </c>
      <c r="I714" s="563">
        <v>1521</v>
      </c>
      <c r="J714" s="563">
        <v>-585</v>
      </c>
      <c r="K714" s="563">
        <f t="shared" si="30"/>
        <v>936</v>
      </c>
      <c r="L714" s="563">
        <f t="shared" si="31"/>
        <v>1029.6000000000001</v>
      </c>
      <c r="M714" s="563">
        <f t="shared" si="32"/>
        <v>1673.1000000000001</v>
      </c>
      <c r="N714" s="580"/>
      <c r="O714" s="558"/>
      <c r="P714" s="564"/>
    </row>
    <row r="715" spans="4:16" x14ac:dyDescent="0.25">
      <c r="D715" s="559" t="s">
        <v>867</v>
      </c>
      <c r="E715" s="558">
        <v>100579</v>
      </c>
      <c r="F715" s="559">
        <v>100289</v>
      </c>
      <c r="G715" s="558" t="s">
        <v>2077</v>
      </c>
      <c r="H715" s="564">
        <v>40015</v>
      </c>
      <c r="I715" s="563">
        <v>1521</v>
      </c>
      <c r="J715" s="563">
        <v>-585</v>
      </c>
      <c r="K715" s="582">
        <f t="shared" si="30"/>
        <v>936</v>
      </c>
      <c r="L715" s="563">
        <f t="shared" si="31"/>
        <v>1029.6000000000001</v>
      </c>
      <c r="M715" s="563">
        <f t="shared" si="32"/>
        <v>1673.1000000000001</v>
      </c>
      <c r="N715" s="580"/>
    </row>
    <row r="716" spans="4:16" x14ac:dyDescent="0.25">
      <c r="D716" s="559" t="s">
        <v>867</v>
      </c>
      <c r="E716" s="558">
        <v>100580</v>
      </c>
      <c r="F716" s="559">
        <v>100312</v>
      </c>
      <c r="G716" s="558" t="s">
        <v>2077</v>
      </c>
      <c r="H716" s="564">
        <v>40015</v>
      </c>
      <c r="I716" s="563">
        <v>354.9</v>
      </c>
      <c r="J716" s="563">
        <v>-354.9</v>
      </c>
      <c r="K716" s="582">
        <f t="shared" si="30"/>
        <v>0</v>
      </c>
      <c r="L716" s="563">
        <f t="shared" si="31"/>
        <v>0</v>
      </c>
      <c r="M716" s="563">
        <f t="shared" si="32"/>
        <v>390.39</v>
      </c>
      <c r="N716" s="580"/>
    </row>
    <row r="717" spans="4:16" x14ac:dyDescent="0.25">
      <c r="D717" s="559" t="s">
        <v>867</v>
      </c>
      <c r="E717" s="558">
        <v>100581</v>
      </c>
      <c r="F717" s="559">
        <v>100311</v>
      </c>
      <c r="G717" s="558" t="s">
        <v>2077</v>
      </c>
      <c r="H717" s="564">
        <v>40015</v>
      </c>
      <c r="I717" s="563">
        <v>803.4</v>
      </c>
      <c r="J717" s="563">
        <v>-585</v>
      </c>
      <c r="K717" s="582">
        <f t="shared" si="30"/>
        <v>218.39999999999998</v>
      </c>
      <c r="L717" s="563">
        <f t="shared" si="31"/>
        <v>240.23999999999998</v>
      </c>
      <c r="M717" s="563">
        <f t="shared" si="32"/>
        <v>883.74</v>
      </c>
      <c r="N717" s="580"/>
    </row>
    <row r="718" spans="4:16" x14ac:dyDescent="0.25">
      <c r="D718" s="559" t="s">
        <v>867</v>
      </c>
      <c r="E718" s="558">
        <v>100582</v>
      </c>
      <c r="F718" s="559">
        <v>102978</v>
      </c>
      <c r="G718" s="558" t="s">
        <v>2077</v>
      </c>
      <c r="H718" s="564">
        <v>40015</v>
      </c>
      <c r="I718" s="563">
        <v>97.5</v>
      </c>
      <c r="J718" s="563">
        <v>-97.5</v>
      </c>
      <c r="K718" s="582">
        <f t="shared" si="30"/>
        <v>0</v>
      </c>
      <c r="L718" s="563">
        <f t="shared" si="31"/>
        <v>0</v>
      </c>
      <c r="M718" s="563">
        <f t="shared" si="32"/>
        <v>107.25000000000001</v>
      </c>
      <c r="N718" s="580"/>
    </row>
    <row r="719" spans="4:16" x14ac:dyDescent="0.25">
      <c r="D719" s="559" t="s">
        <v>867</v>
      </c>
      <c r="E719" s="558">
        <v>100583</v>
      </c>
      <c r="F719" s="559">
        <v>102897</v>
      </c>
      <c r="G719" s="558" t="s">
        <v>2077</v>
      </c>
      <c r="H719" s="564">
        <v>40015</v>
      </c>
      <c r="I719" s="563">
        <v>85.8</v>
      </c>
      <c r="J719" s="563">
        <v>-85.8</v>
      </c>
      <c r="K719" s="582">
        <f t="shared" si="30"/>
        <v>0</v>
      </c>
      <c r="L719" s="563">
        <f t="shared" si="31"/>
        <v>0</v>
      </c>
      <c r="M719" s="563">
        <f t="shared" si="32"/>
        <v>94.38000000000001</v>
      </c>
      <c r="N719" s="580"/>
    </row>
    <row r="720" spans="4:16" x14ac:dyDescent="0.25">
      <c r="D720" s="559" t="s">
        <v>867</v>
      </c>
      <c r="E720" s="558">
        <v>100584</v>
      </c>
      <c r="F720" s="559">
        <v>101549</v>
      </c>
      <c r="G720" s="558" t="s">
        <v>4788</v>
      </c>
      <c r="H720" s="564">
        <v>40015</v>
      </c>
      <c r="I720" s="563">
        <v>588.9</v>
      </c>
      <c r="J720" s="563">
        <v>-585</v>
      </c>
      <c r="K720" s="563">
        <f t="shared" si="30"/>
        <v>3.8999999999999773</v>
      </c>
      <c r="L720" s="563">
        <f t="shared" si="31"/>
        <v>4.2899999999999752</v>
      </c>
      <c r="M720" s="563">
        <f t="shared" si="32"/>
        <v>647.79000000000008</v>
      </c>
      <c r="N720" s="580"/>
      <c r="O720" s="558"/>
      <c r="P720" s="564"/>
    </row>
    <row r="721" spans="4:16" x14ac:dyDescent="0.25">
      <c r="D721" s="559" t="s">
        <v>867</v>
      </c>
      <c r="E721" s="558">
        <v>100588</v>
      </c>
      <c r="F721" s="559">
        <v>100006</v>
      </c>
      <c r="G721" s="558" t="s">
        <v>4788</v>
      </c>
      <c r="H721" s="564">
        <v>40015</v>
      </c>
      <c r="I721" s="563">
        <v>452.4</v>
      </c>
      <c r="J721" s="563">
        <v>-452.4</v>
      </c>
      <c r="K721" s="563">
        <f t="shared" si="30"/>
        <v>0</v>
      </c>
      <c r="L721" s="563">
        <f t="shared" si="31"/>
        <v>0</v>
      </c>
      <c r="M721" s="563">
        <f t="shared" si="32"/>
        <v>497.64000000000004</v>
      </c>
      <c r="N721" s="580"/>
      <c r="O721" s="558"/>
      <c r="P721" s="564"/>
    </row>
    <row r="722" spans="4:16" x14ac:dyDescent="0.25">
      <c r="D722" s="559" t="s">
        <v>867</v>
      </c>
      <c r="E722" s="558">
        <v>100589</v>
      </c>
      <c r="F722" s="559">
        <v>101645</v>
      </c>
      <c r="G722" s="558" t="s">
        <v>4788</v>
      </c>
      <c r="H722" s="564">
        <v>40015</v>
      </c>
      <c r="I722" s="563">
        <v>66.3</v>
      </c>
      <c r="J722" s="563">
        <v>-66.3</v>
      </c>
      <c r="K722" s="563">
        <f t="shared" si="30"/>
        <v>0</v>
      </c>
      <c r="L722" s="563">
        <f t="shared" si="31"/>
        <v>0</v>
      </c>
      <c r="M722" s="563">
        <f t="shared" si="32"/>
        <v>72.930000000000007</v>
      </c>
      <c r="N722" s="580"/>
      <c r="O722" s="558"/>
      <c r="P722" s="564"/>
    </row>
    <row r="723" spans="4:16" x14ac:dyDescent="0.25">
      <c r="D723" s="559" t="s">
        <v>867</v>
      </c>
      <c r="E723" s="558">
        <v>100590</v>
      </c>
      <c r="F723" s="559">
        <v>101646</v>
      </c>
      <c r="G723" s="558" t="s">
        <v>4788</v>
      </c>
      <c r="H723" s="564">
        <v>40015</v>
      </c>
      <c r="I723" s="563">
        <v>1158.3</v>
      </c>
      <c r="J723" s="563">
        <v>-585</v>
      </c>
      <c r="K723" s="563">
        <f t="shared" si="30"/>
        <v>573.29999999999995</v>
      </c>
      <c r="L723" s="563">
        <f t="shared" si="31"/>
        <v>630.63</v>
      </c>
      <c r="M723" s="563">
        <f t="shared" si="32"/>
        <v>1274.1300000000001</v>
      </c>
      <c r="N723" s="580"/>
      <c r="O723" s="558"/>
      <c r="P723" s="564"/>
    </row>
    <row r="724" spans="4:16" x14ac:dyDescent="0.25">
      <c r="D724" s="559" t="s">
        <v>867</v>
      </c>
      <c r="E724" s="558">
        <v>100591</v>
      </c>
      <c r="F724" s="559">
        <v>101013</v>
      </c>
      <c r="G724" s="558" t="s">
        <v>4788</v>
      </c>
      <c r="H724" s="564">
        <v>40015</v>
      </c>
      <c r="I724" s="563">
        <v>85.8</v>
      </c>
      <c r="J724" s="563">
        <v>-85.8</v>
      </c>
      <c r="K724" s="582">
        <f t="shared" si="30"/>
        <v>0</v>
      </c>
      <c r="L724" s="563">
        <f t="shared" si="31"/>
        <v>0</v>
      </c>
      <c r="M724" s="563">
        <f t="shared" si="32"/>
        <v>94.38000000000001</v>
      </c>
      <c r="N724" s="580"/>
    </row>
    <row r="725" spans="4:16" x14ac:dyDescent="0.25">
      <c r="D725" s="559" t="s">
        <v>867</v>
      </c>
      <c r="E725" s="558">
        <v>100593</v>
      </c>
      <c r="F725" s="559">
        <v>102425</v>
      </c>
      <c r="G725" s="558" t="s">
        <v>4789</v>
      </c>
      <c r="H725" s="564">
        <v>40015</v>
      </c>
      <c r="I725" s="563">
        <v>783.9</v>
      </c>
      <c r="J725" s="563">
        <v>-585</v>
      </c>
      <c r="K725" s="582">
        <f t="shared" si="30"/>
        <v>198.89999999999998</v>
      </c>
      <c r="L725" s="563">
        <f t="shared" si="31"/>
        <v>218.79</v>
      </c>
      <c r="M725" s="563">
        <f t="shared" si="32"/>
        <v>862.29000000000008</v>
      </c>
      <c r="N725" s="580"/>
    </row>
    <row r="726" spans="4:16" x14ac:dyDescent="0.25">
      <c r="D726" s="559" t="s">
        <v>867</v>
      </c>
      <c r="E726" s="558">
        <v>100594</v>
      </c>
      <c r="F726" s="559">
        <v>100866</v>
      </c>
      <c r="G726" s="558" t="s">
        <v>4789</v>
      </c>
      <c r="H726" s="564">
        <v>40015</v>
      </c>
      <c r="I726" s="563">
        <v>2137.1999999999998</v>
      </c>
      <c r="J726" s="563">
        <v>-585</v>
      </c>
      <c r="K726" s="563">
        <f t="shared" si="30"/>
        <v>1552.1999999999998</v>
      </c>
      <c r="L726" s="563">
        <f t="shared" si="31"/>
        <v>1707.4199999999998</v>
      </c>
      <c r="M726" s="563">
        <f t="shared" si="32"/>
        <v>2350.92</v>
      </c>
      <c r="N726" s="580"/>
      <c r="O726" s="558"/>
      <c r="P726" s="564"/>
    </row>
    <row r="727" spans="4:16" x14ac:dyDescent="0.25">
      <c r="D727" s="559" t="s">
        <v>867</v>
      </c>
      <c r="E727" s="558">
        <v>100595</v>
      </c>
      <c r="F727" s="559">
        <v>100269</v>
      </c>
      <c r="G727" s="558" t="s">
        <v>4789</v>
      </c>
      <c r="H727" s="564">
        <v>40015</v>
      </c>
      <c r="I727" s="563">
        <v>510.9</v>
      </c>
      <c r="J727" s="563">
        <v>-510.9</v>
      </c>
      <c r="K727" s="563">
        <f t="shared" si="30"/>
        <v>0</v>
      </c>
      <c r="L727" s="563">
        <f t="shared" si="31"/>
        <v>0</v>
      </c>
      <c r="M727" s="563">
        <f t="shared" si="32"/>
        <v>561.99</v>
      </c>
      <c r="N727" s="580"/>
      <c r="O727" s="558"/>
      <c r="P727" s="564"/>
    </row>
    <row r="728" spans="4:16" x14ac:dyDescent="0.25">
      <c r="D728" s="559" t="s">
        <v>867</v>
      </c>
      <c r="E728" s="558">
        <v>100596</v>
      </c>
      <c r="F728" s="559">
        <v>101014</v>
      </c>
      <c r="G728" s="558" t="s">
        <v>4789</v>
      </c>
      <c r="H728" s="564">
        <v>40015</v>
      </c>
      <c r="I728" s="563">
        <v>1368.9</v>
      </c>
      <c r="J728" s="563">
        <v>-585</v>
      </c>
      <c r="K728" s="582">
        <f t="shared" si="30"/>
        <v>783.90000000000009</v>
      </c>
      <c r="L728" s="563">
        <f t="shared" si="31"/>
        <v>862.29000000000019</v>
      </c>
      <c r="M728" s="563">
        <f t="shared" si="32"/>
        <v>1505.7900000000002</v>
      </c>
      <c r="N728" s="580"/>
    </row>
    <row r="729" spans="4:16" x14ac:dyDescent="0.25">
      <c r="D729" s="559" t="s">
        <v>867</v>
      </c>
      <c r="E729" s="558">
        <v>100597</v>
      </c>
      <c r="F729" s="559">
        <v>102783</v>
      </c>
      <c r="G729" s="558" t="s">
        <v>4789</v>
      </c>
      <c r="H729" s="564">
        <v>40015</v>
      </c>
      <c r="I729" s="563">
        <v>468</v>
      </c>
      <c r="J729" s="563">
        <v>-468</v>
      </c>
      <c r="K729" s="582">
        <f t="shared" si="30"/>
        <v>0</v>
      </c>
      <c r="L729" s="563">
        <f t="shared" si="31"/>
        <v>0</v>
      </c>
      <c r="M729" s="563">
        <f t="shared" si="32"/>
        <v>514.80000000000007</v>
      </c>
      <c r="N729" s="580"/>
    </row>
    <row r="730" spans="4:16" x14ac:dyDescent="0.25">
      <c r="D730" s="559" t="s">
        <v>867</v>
      </c>
      <c r="E730" s="558">
        <v>100599</v>
      </c>
      <c r="F730" s="559">
        <v>102130</v>
      </c>
      <c r="G730" s="558" t="s">
        <v>4790</v>
      </c>
      <c r="H730" s="564">
        <v>40015</v>
      </c>
      <c r="I730" s="563">
        <v>31.2</v>
      </c>
      <c r="J730" s="563">
        <v>-31.2</v>
      </c>
      <c r="K730" s="563">
        <f t="shared" si="30"/>
        <v>0</v>
      </c>
      <c r="L730" s="563">
        <f t="shared" si="31"/>
        <v>0</v>
      </c>
      <c r="M730" s="563">
        <f t="shared" si="32"/>
        <v>34.32</v>
      </c>
      <c r="N730" s="580"/>
      <c r="O730" s="558"/>
      <c r="P730" s="564"/>
    </row>
    <row r="731" spans="4:16" x14ac:dyDescent="0.25">
      <c r="D731" s="559" t="s">
        <v>867</v>
      </c>
      <c r="E731" s="558">
        <v>100600</v>
      </c>
      <c r="F731" s="559">
        <v>100987</v>
      </c>
      <c r="G731" s="558" t="s">
        <v>4790</v>
      </c>
      <c r="H731" s="564">
        <v>40015</v>
      </c>
      <c r="I731" s="563">
        <v>382.2</v>
      </c>
      <c r="J731" s="563">
        <v>-382.2</v>
      </c>
      <c r="K731" s="563">
        <f t="shared" si="30"/>
        <v>0</v>
      </c>
      <c r="L731" s="563">
        <f t="shared" si="31"/>
        <v>0</v>
      </c>
      <c r="M731" s="563">
        <f t="shared" si="32"/>
        <v>420.42</v>
      </c>
      <c r="N731" s="580"/>
      <c r="O731" s="558"/>
      <c r="P731" s="564"/>
    </row>
    <row r="732" spans="4:16" x14ac:dyDescent="0.25">
      <c r="D732" s="559" t="s">
        <v>867</v>
      </c>
      <c r="E732" s="558">
        <v>100601</v>
      </c>
      <c r="F732" s="559">
        <v>100589</v>
      </c>
      <c r="G732" s="558" t="s">
        <v>4790</v>
      </c>
      <c r="H732" s="564">
        <v>40015</v>
      </c>
      <c r="I732" s="563">
        <v>31.2</v>
      </c>
      <c r="J732" s="563">
        <v>-31.2</v>
      </c>
      <c r="K732" s="563">
        <f t="shared" si="30"/>
        <v>0</v>
      </c>
      <c r="L732" s="563">
        <f t="shared" si="31"/>
        <v>0</v>
      </c>
      <c r="M732" s="563">
        <f t="shared" si="32"/>
        <v>34.32</v>
      </c>
      <c r="N732" s="580"/>
      <c r="O732" s="558"/>
      <c r="P732" s="564"/>
    </row>
    <row r="733" spans="4:16" x14ac:dyDescent="0.25">
      <c r="D733" s="559" t="s">
        <v>867</v>
      </c>
      <c r="E733" s="558">
        <v>100602</v>
      </c>
      <c r="F733" s="559">
        <v>100775</v>
      </c>
      <c r="G733" s="558" t="s">
        <v>4790</v>
      </c>
      <c r="H733" s="564">
        <v>40015</v>
      </c>
      <c r="I733" s="563">
        <v>66.3</v>
      </c>
      <c r="J733" s="563">
        <v>-66.3</v>
      </c>
      <c r="K733" s="582">
        <f t="shared" si="30"/>
        <v>0</v>
      </c>
      <c r="L733" s="563">
        <f t="shared" si="31"/>
        <v>0</v>
      </c>
      <c r="M733" s="563">
        <f t="shared" si="32"/>
        <v>72.930000000000007</v>
      </c>
      <c r="N733" s="580"/>
    </row>
    <row r="734" spans="4:16" x14ac:dyDescent="0.25">
      <c r="D734" s="559" t="s">
        <v>867</v>
      </c>
      <c r="E734" s="558">
        <v>100604</v>
      </c>
      <c r="F734" s="559">
        <v>102610</v>
      </c>
      <c r="G734" s="558" t="s">
        <v>4790</v>
      </c>
      <c r="H734" s="564">
        <v>40015</v>
      </c>
      <c r="I734" s="563">
        <v>1240.2</v>
      </c>
      <c r="J734" s="563">
        <v>-585</v>
      </c>
      <c r="K734" s="563">
        <f t="shared" si="30"/>
        <v>655.20000000000005</v>
      </c>
      <c r="L734" s="563">
        <f t="shared" si="31"/>
        <v>720.72000000000014</v>
      </c>
      <c r="M734" s="563">
        <f t="shared" si="32"/>
        <v>1364.2200000000003</v>
      </c>
      <c r="N734" s="580"/>
      <c r="O734" s="558"/>
      <c r="P734" s="564"/>
    </row>
    <row r="735" spans="4:16" x14ac:dyDescent="0.25">
      <c r="D735" s="559" t="s">
        <v>867</v>
      </c>
      <c r="E735" s="558">
        <v>100605</v>
      </c>
      <c r="F735" s="559">
        <v>102945</v>
      </c>
      <c r="G735" s="558" t="s">
        <v>4791</v>
      </c>
      <c r="H735" s="564">
        <v>40015</v>
      </c>
      <c r="I735" s="563">
        <v>66.3</v>
      </c>
      <c r="J735" s="563">
        <v>-66.3</v>
      </c>
      <c r="K735" s="582">
        <f t="shared" si="30"/>
        <v>0</v>
      </c>
      <c r="L735" s="563">
        <f t="shared" si="31"/>
        <v>0</v>
      </c>
      <c r="M735" s="563">
        <f t="shared" si="32"/>
        <v>72.930000000000007</v>
      </c>
      <c r="N735" s="580"/>
    </row>
    <row r="736" spans="4:16" x14ac:dyDescent="0.25">
      <c r="D736" s="559" t="s">
        <v>867</v>
      </c>
      <c r="E736" s="558">
        <v>100606</v>
      </c>
      <c r="F736" s="559">
        <v>101031</v>
      </c>
      <c r="G736" s="558" t="s">
        <v>4791</v>
      </c>
      <c r="H736" s="564">
        <v>40015</v>
      </c>
      <c r="I736" s="563">
        <v>2055.3000000000002</v>
      </c>
      <c r="J736" s="563">
        <v>-585</v>
      </c>
      <c r="K736" s="582">
        <f t="shared" si="30"/>
        <v>1470.3000000000002</v>
      </c>
      <c r="L736" s="563">
        <f t="shared" si="31"/>
        <v>1617.3300000000004</v>
      </c>
      <c r="M736" s="563">
        <f t="shared" si="32"/>
        <v>2260.8300000000004</v>
      </c>
      <c r="N736" s="580"/>
    </row>
    <row r="737" spans="4:16" x14ac:dyDescent="0.25">
      <c r="D737" s="559" t="s">
        <v>867</v>
      </c>
      <c r="E737" s="558">
        <v>100607</v>
      </c>
      <c r="F737" s="559">
        <v>100898</v>
      </c>
      <c r="G737" s="558" t="s">
        <v>4791</v>
      </c>
      <c r="H737" s="564">
        <v>40015</v>
      </c>
      <c r="I737" s="563">
        <v>2016.3</v>
      </c>
      <c r="J737" s="563">
        <v>-585</v>
      </c>
      <c r="K737" s="563">
        <f t="shared" si="30"/>
        <v>1431.3</v>
      </c>
      <c r="L737" s="563">
        <f t="shared" si="31"/>
        <v>1574.43</v>
      </c>
      <c r="M737" s="563">
        <f t="shared" si="32"/>
        <v>2217.9300000000003</v>
      </c>
      <c r="N737" s="580"/>
      <c r="O737" s="558"/>
      <c r="P737" s="564"/>
    </row>
    <row r="738" spans="4:16" x14ac:dyDescent="0.25">
      <c r="D738" s="559" t="s">
        <v>867</v>
      </c>
      <c r="E738" s="558">
        <v>100608</v>
      </c>
      <c r="F738" s="559">
        <v>100741</v>
      </c>
      <c r="G738" s="558" t="s">
        <v>4791</v>
      </c>
      <c r="H738" s="564">
        <v>40015</v>
      </c>
      <c r="I738" s="563">
        <v>2016.3</v>
      </c>
      <c r="J738" s="563">
        <v>-585</v>
      </c>
      <c r="K738" s="563">
        <f t="shared" si="30"/>
        <v>1431.3</v>
      </c>
      <c r="L738" s="563">
        <f t="shared" si="31"/>
        <v>1574.43</v>
      </c>
      <c r="M738" s="563">
        <f t="shared" si="32"/>
        <v>2217.9300000000003</v>
      </c>
      <c r="N738" s="580"/>
      <c r="O738" s="558"/>
      <c r="P738" s="564"/>
    </row>
    <row r="739" spans="4:16" x14ac:dyDescent="0.25">
      <c r="D739" s="559" t="s">
        <v>867</v>
      </c>
      <c r="E739" s="558">
        <v>100610</v>
      </c>
      <c r="F739" s="559">
        <v>100917</v>
      </c>
      <c r="G739" s="558" t="s">
        <v>4791</v>
      </c>
      <c r="H739" s="564">
        <v>40015</v>
      </c>
      <c r="I739" s="563">
        <v>1930.5</v>
      </c>
      <c r="J739" s="563">
        <v>-585</v>
      </c>
      <c r="K739" s="582">
        <f t="shared" si="30"/>
        <v>1345.5</v>
      </c>
      <c r="L739" s="563">
        <f t="shared" si="31"/>
        <v>1480.0500000000002</v>
      </c>
      <c r="M739" s="563">
        <f t="shared" si="32"/>
        <v>2123.5500000000002</v>
      </c>
      <c r="N739" s="580"/>
    </row>
    <row r="740" spans="4:16" x14ac:dyDescent="0.25">
      <c r="D740" s="559" t="s">
        <v>867</v>
      </c>
      <c r="E740" s="558">
        <v>100611</v>
      </c>
      <c r="F740" s="559">
        <v>102903</v>
      </c>
      <c r="G740" s="558" t="s">
        <v>4792</v>
      </c>
      <c r="H740" s="564">
        <v>40015</v>
      </c>
      <c r="I740" s="563">
        <v>66.3</v>
      </c>
      <c r="J740" s="563">
        <v>-66.3</v>
      </c>
      <c r="K740" s="582">
        <f t="shared" si="30"/>
        <v>0</v>
      </c>
      <c r="L740" s="563">
        <f t="shared" si="31"/>
        <v>0</v>
      </c>
      <c r="M740" s="563">
        <f t="shared" si="32"/>
        <v>72.930000000000007</v>
      </c>
      <c r="N740" s="580"/>
    </row>
    <row r="741" spans="4:16" x14ac:dyDescent="0.25">
      <c r="D741" s="559" t="s">
        <v>867</v>
      </c>
      <c r="E741" s="558">
        <v>100614</v>
      </c>
      <c r="F741" s="559">
        <v>102950</v>
      </c>
      <c r="G741" s="558" t="s">
        <v>4792</v>
      </c>
      <c r="H741" s="564">
        <v>40015</v>
      </c>
      <c r="I741" s="563">
        <v>1716</v>
      </c>
      <c r="J741" s="563">
        <v>-585</v>
      </c>
      <c r="K741" s="563">
        <f t="shared" si="30"/>
        <v>1131</v>
      </c>
      <c r="L741" s="563">
        <f t="shared" si="31"/>
        <v>1244.1000000000001</v>
      </c>
      <c r="M741" s="563">
        <f t="shared" si="32"/>
        <v>1887.6000000000001</v>
      </c>
      <c r="N741" s="580"/>
      <c r="O741" s="558"/>
      <c r="P741" s="564"/>
    </row>
    <row r="742" spans="4:16" x14ac:dyDescent="0.25">
      <c r="D742" s="559" t="s">
        <v>867</v>
      </c>
      <c r="E742" s="558">
        <v>100615</v>
      </c>
      <c r="F742" s="559">
        <v>101112</v>
      </c>
      <c r="G742" s="558" t="s">
        <v>4792</v>
      </c>
      <c r="H742" s="564">
        <v>40015</v>
      </c>
      <c r="I742" s="563">
        <v>17.55</v>
      </c>
      <c r="J742" s="563">
        <v>-17.55</v>
      </c>
      <c r="K742" s="582">
        <f t="shared" si="30"/>
        <v>0</v>
      </c>
      <c r="L742" s="563">
        <f t="shared" si="31"/>
        <v>0</v>
      </c>
      <c r="M742" s="563">
        <f t="shared" si="32"/>
        <v>19.305000000000003</v>
      </c>
      <c r="N742" s="580"/>
    </row>
    <row r="743" spans="4:16" x14ac:dyDescent="0.25">
      <c r="D743" s="559" t="s">
        <v>867</v>
      </c>
      <c r="E743" s="558">
        <v>100616</v>
      </c>
      <c r="F743" s="559">
        <v>102946</v>
      </c>
      <c r="G743" s="558" t="s">
        <v>4792</v>
      </c>
      <c r="H743" s="564">
        <v>40015</v>
      </c>
      <c r="I743" s="563">
        <v>66.3</v>
      </c>
      <c r="J743" s="563">
        <v>-66.3</v>
      </c>
      <c r="K743" s="582">
        <f t="shared" si="30"/>
        <v>0</v>
      </c>
      <c r="L743" s="563">
        <f t="shared" si="31"/>
        <v>0</v>
      </c>
      <c r="M743" s="563">
        <f t="shared" si="32"/>
        <v>72.930000000000007</v>
      </c>
      <c r="N743" s="580"/>
    </row>
    <row r="744" spans="4:16" x14ac:dyDescent="0.25">
      <c r="D744" s="559" t="s">
        <v>867</v>
      </c>
      <c r="E744" s="558">
        <v>100617</v>
      </c>
      <c r="F744" s="559">
        <v>100969</v>
      </c>
      <c r="G744" s="558" t="s">
        <v>4792</v>
      </c>
      <c r="H744" s="564">
        <v>40015</v>
      </c>
      <c r="I744" s="563">
        <v>31.2</v>
      </c>
      <c r="J744" s="563">
        <v>-31.2</v>
      </c>
      <c r="K744" s="582">
        <f t="shared" si="30"/>
        <v>0</v>
      </c>
      <c r="L744" s="563">
        <f t="shared" si="31"/>
        <v>0</v>
      </c>
      <c r="M744" s="563">
        <f t="shared" si="32"/>
        <v>34.32</v>
      </c>
      <c r="N744" s="580"/>
    </row>
    <row r="745" spans="4:16" x14ac:dyDescent="0.25">
      <c r="D745" s="559" t="s">
        <v>867</v>
      </c>
      <c r="E745" s="558">
        <v>100618</v>
      </c>
      <c r="F745" s="559">
        <v>101112</v>
      </c>
      <c r="G745" s="558" t="s">
        <v>4793</v>
      </c>
      <c r="H745" s="564">
        <v>40015</v>
      </c>
      <c r="I745" s="563">
        <v>31.2</v>
      </c>
      <c r="J745" s="563">
        <v>-31.2</v>
      </c>
      <c r="K745" s="582">
        <f t="shared" ref="K745:K808" si="33">+I745+J745</f>
        <v>0</v>
      </c>
      <c r="L745" s="563">
        <f t="shared" ref="L745:L808" si="34">+K745*1.1</f>
        <v>0</v>
      </c>
      <c r="M745" s="563">
        <f t="shared" ref="M745:M808" si="35">+I745*1.1</f>
        <v>34.32</v>
      </c>
      <c r="N745" s="580"/>
    </row>
    <row r="746" spans="4:16" x14ac:dyDescent="0.25">
      <c r="D746" s="559" t="s">
        <v>867</v>
      </c>
      <c r="E746" s="558">
        <v>100619</v>
      </c>
      <c r="F746" s="559">
        <v>100970</v>
      </c>
      <c r="G746" s="558" t="s">
        <v>4793</v>
      </c>
      <c r="H746" s="564">
        <v>40015</v>
      </c>
      <c r="I746" s="563">
        <v>66.3</v>
      </c>
      <c r="J746" s="563">
        <v>-66.3</v>
      </c>
      <c r="K746" s="582">
        <f t="shared" si="33"/>
        <v>0</v>
      </c>
      <c r="L746" s="563">
        <f t="shared" si="34"/>
        <v>0</v>
      </c>
      <c r="M746" s="563">
        <f t="shared" si="35"/>
        <v>72.930000000000007</v>
      </c>
      <c r="N746" s="580"/>
    </row>
    <row r="747" spans="4:16" x14ac:dyDescent="0.25">
      <c r="D747" s="559" t="s">
        <v>867</v>
      </c>
      <c r="E747" s="558">
        <v>100620</v>
      </c>
      <c r="F747" s="559">
        <v>100973</v>
      </c>
      <c r="G747" s="558" t="s">
        <v>4793</v>
      </c>
      <c r="H747" s="564">
        <v>40015</v>
      </c>
      <c r="I747" s="563">
        <v>413.4</v>
      </c>
      <c r="J747" s="563">
        <v>-413.4</v>
      </c>
      <c r="K747" s="582">
        <f t="shared" si="33"/>
        <v>0</v>
      </c>
      <c r="L747" s="563">
        <f t="shared" si="34"/>
        <v>0</v>
      </c>
      <c r="M747" s="563">
        <f t="shared" si="35"/>
        <v>454.74</v>
      </c>
      <c r="N747" s="580"/>
    </row>
    <row r="748" spans="4:16" x14ac:dyDescent="0.25">
      <c r="D748" s="559" t="s">
        <v>867</v>
      </c>
      <c r="E748" s="558">
        <v>100621</v>
      </c>
      <c r="F748" s="559">
        <v>100406</v>
      </c>
      <c r="G748" s="558" t="s">
        <v>4793</v>
      </c>
      <c r="H748" s="564">
        <v>40015</v>
      </c>
      <c r="I748" s="563">
        <v>39</v>
      </c>
      <c r="J748" s="563">
        <v>-39</v>
      </c>
      <c r="K748" s="563">
        <f t="shared" si="33"/>
        <v>0</v>
      </c>
      <c r="L748" s="563">
        <f t="shared" si="34"/>
        <v>0</v>
      </c>
      <c r="M748" s="563">
        <f t="shared" si="35"/>
        <v>42.900000000000006</v>
      </c>
      <c r="N748" s="580"/>
      <c r="O748" s="558"/>
      <c r="P748" s="564"/>
    </row>
    <row r="749" spans="4:16" x14ac:dyDescent="0.25">
      <c r="D749" s="559" t="s">
        <v>867</v>
      </c>
      <c r="E749" s="558">
        <v>100622</v>
      </c>
      <c r="F749" s="559">
        <v>100405</v>
      </c>
      <c r="G749" s="558" t="s">
        <v>4793</v>
      </c>
      <c r="H749" s="564">
        <v>40015</v>
      </c>
      <c r="I749" s="563">
        <v>1460.55</v>
      </c>
      <c r="J749" s="563">
        <v>-585</v>
      </c>
      <c r="K749" s="563">
        <f t="shared" si="33"/>
        <v>875.55</v>
      </c>
      <c r="L749" s="563">
        <f t="shared" si="34"/>
        <v>963.10500000000002</v>
      </c>
      <c r="M749" s="563">
        <f t="shared" si="35"/>
        <v>1606.605</v>
      </c>
      <c r="N749" s="580"/>
      <c r="O749" s="558"/>
      <c r="P749" s="564"/>
    </row>
    <row r="750" spans="4:16" x14ac:dyDescent="0.25">
      <c r="D750" s="559" t="s">
        <v>867</v>
      </c>
      <c r="E750" s="558">
        <v>100624</v>
      </c>
      <c r="F750" s="559">
        <v>100879</v>
      </c>
      <c r="G750" s="558" t="s">
        <v>4794</v>
      </c>
      <c r="H750" s="564">
        <v>40015</v>
      </c>
      <c r="I750" s="563">
        <v>963.3</v>
      </c>
      <c r="J750" s="563">
        <v>-585</v>
      </c>
      <c r="K750" s="563">
        <f t="shared" si="33"/>
        <v>378.29999999999995</v>
      </c>
      <c r="L750" s="563">
        <f t="shared" si="34"/>
        <v>416.13</v>
      </c>
      <c r="M750" s="563">
        <f t="shared" si="35"/>
        <v>1059.6300000000001</v>
      </c>
      <c r="N750" s="580"/>
      <c r="O750" s="558"/>
      <c r="P750" s="564"/>
    </row>
    <row r="751" spans="4:16" x14ac:dyDescent="0.25">
      <c r="D751" s="559" t="s">
        <v>867</v>
      </c>
      <c r="E751" s="558">
        <v>100626</v>
      </c>
      <c r="F751" s="559">
        <v>102683</v>
      </c>
      <c r="G751" s="558" t="s">
        <v>4794</v>
      </c>
      <c r="H751" s="564">
        <v>40015</v>
      </c>
      <c r="I751" s="563">
        <v>66.3</v>
      </c>
      <c r="J751" s="563">
        <v>-66.3</v>
      </c>
      <c r="K751" s="582">
        <f t="shared" si="33"/>
        <v>0</v>
      </c>
      <c r="L751" s="563">
        <f t="shared" si="34"/>
        <v>0</v>
      </c>
      <c r="M751" s="563">
        <f t="shared" si="35"/>
        <v>72.930000000000007</v>
      </c>
      <c r="N751" s="580"/>
    </row>
    <row r="752" spans="4:16" x14ac:dyDescent="0.25">
      <c r="D752" s="559" t="s">
        <v>867</v>
      </c>
      <c r="E752" s="558">
        <v>100627</v>
      </c>
      <c r="F752" s="559">
        <v>101048</v>
      </c>
      <c r="G752" s="558" t="s">
        <v>4794</v>
      </c>
      <c r="H752" s="564">
        <v>40015</v>
      </c>
      <c r="I752" s="563">
        <v>417.3</v>
      </c>
      <c r="J752" s="563">
        <v>-417.3</v>
      </c>
      <c r="K752" s="563">
        <f t="shared" si="33"/>
        <v>0</v>
      </c>
      <c r="L752" s="563">
        <f t="shared" si="34"/>
        <v>0</v>
      </c>
      <c r="M752" s="563">
        <f t="shared" si="35"/>
        <v>459.03000000000003</v>
      </c>
      <c r="N752" s="580"/>
      <c r="O752" s="558"/>
      <c r="P752" s="564"/>
    </row>
    <row r="753" spans="4:16" x14ac:dyDescent="0.25">
      <c r="D753" s="559" t="s">
        <v>867</v>
      </c>
      <c r="E753" s="558">
        <v>100628</v>
      </c>
      <c r="F753" s="559">
        <v>102915</v>
      </c>
      <c r="G753" s="558" t="s">
        <v>4794</v>
      </c>
      <c r="H753" s="564">
        <v>40015</v>
      </c>
      <c r="I753" s="563">
        <v>66.3</v>
      </c>
      <c r="J753" s="563">
        <v>-66.3</v>
      </c>
      <c r="K753" s="582">
        <f t="shared" si="33"/>
        <v>0</v>
      </c>
      <c r="L753" s="563">
        <f t="shared" si="34"/>
        <v>0</v>
      </c>
      <c r="M753" s="563">
        <f t="shared" si="35"/>
        <v>72.930000000000007</v>
      </c>
      <c r="N753" s="580"/>
    </row>
    <row r="754" spans="4:16" x14ac:dyDescent="0.25">
      <c r="D754" s="559" t="s">
        <v>867</v>
      </c>
      <c r="E754" s="558">
        <v>100629</v>
      </c>
      <c r="F754" s="559">
        <v>300787</v>
      </c>
      <c r="G754" s="558" t="s">
        <v>4794</v>
      </c>
      <c r="H754" s="564">
        <v>40015</v>
      </c>
      <c r="I754" s="563">
        <v>573.29999999999995</v>
      </c>
      <c r="J754" s="563">
        <v>-573.29999999999995</v>
      </c>
      <c r="K754" s="582">
        <f t="shared" si="33"/>
        <v>0</v>
      </c>
      <c r="L754" s="563">
        <f t="shared" si="34"/>
        <v>0</v>
      </c>
      <c r="M754" s="563">
        <f t="shared" si="35"/>
        <v>630.63</v>
      </c>
      <c r="N754" s="580"/>
    </row>
    <row r="755" spans="4:16" x14ac:dyDescent="0.25">
      <c r="D755" s="559" t="s">
        <v>867</v>
      </c>
      <c r="E755" s="558">
        <v>100630</v>
      </c>
      <c r="F755" s="559">
        <v>102987</v>
      </c>
      <c r="G755" s="558" t="s">
        <v>2078</v>
      </c>
      <c r="H755" s="564">
        <v>40015</v>
      </c>
      <c r="I755" s="563">
        <v>31.2</v>
      </c>
      <c r="J755" s="563">
        <v>-31.2</v>
      </c>
      <c r="K755" s="582">
        <f t="shared" si="33"/>
        <v>0</v>
      </c>
      <c r="L755" s="563">
        <f t="shared" si="34"/>
        <v>0</v>
      </c>
      <c r="M755" s="563">
        <f t="shared" si="35"/>
        <v>34.32</v>
      </c>
      <c r="N755" s="580"/>
    </row>
    <row r="756" spans="4:16" x14ac:dyDescent="0.25">
      <c r="D756" s="559" t="s">
        <v>867</v>
      </c>
      <c r="E756" s="558">
        <v>100631</v>
      </c>
      <c r="F756" s="559">
        <v>102933</v>
      </c>
      <c r="G756" s="558" t="s">
        <v>2078</v>
      </c>
      <c r="H756" s="564">
        <v>40015</v>
      </c>
      <c r="I756" s="563">
        <v>31.2</v>
      </c>
      <c r="J756" s="563">
        <v>-31.2</v>
      </c>
      <c r="K756" s="582">
        <f t="shared" si="33"/>
        <v>0</v>
      </c>
      <c r="L756" s="563">
        <f t="shared" si="34"/>
        <v>0</v>
      </c>
      <c r="M756" s="563">
        <f t="shared" si="35"/>
        <v>34.32</v>
      </c>
      <c r="N756" s="580"/>
    </row>
    <row r="757" spans="4:16" x14ac:dyDescent="0.25">
      <c r="D757" s="559" t="s">
        <v>867</v>
      </c>
      <c r="E757" s="558">
        <v>100632</v>
      </c>
      <c r="F757" s="559">
        <v>102930</v>
      </c>
      <c r="G757" s="558" t="s">
        <v>2078</v>
      </c>
      <c r="H757" s="564">
        <v>40015</v>
      </c>
      <c r="I757" s="563">
        <v>66.3</v>
      </c>
      <c r="J757" s="563">
        <v>-66.3</v>
      </c>
      <c r="K757" s="582">
        <f t="shared" si="33"/>
        <v>0</v>
      </c>
      <c r="L757" s="563">
        <f t="shared" si="34"/>
        <v>0</v>
      </c>
      <c r="M757" s="563">
        <f t="shared" si="35"/>
        <v>72.930000000000007</v>
      </c>
      <c r="N757" s="580"/>
    </row>
    <row r="758" spans="4:16" x14ac:dyDescent="0.25">
      <c r="D758" s="559" t="s">
        <v>867</v>
      </c>
      <c r="E758" s="558">
        <v>100633</v>
      </c>
      <c r="F758" s="559">
        <v>100976</v>
      </c>
      <c r="G758" s="558" t="s">
        <v>2078</v>
      </c>
      <c r="H758" s="564">
        <v>40015</v>
      </c>
      <c r="I758" s="563">
        <v>31.2</v>
      </c>
      <c r="J758" s="563">
        <v>-31.2</v>
      </c>
      <c r="K758" s="582">
        <f t="shared" si="33"/>
        <v>0</v>
      </c>
      <c r="L758" s="563">
        <f t="shared" si="34"/>
        <v>0</v>
      </c>
      <c r="M758" s="563">
        <f t="shared" si="35"/>
        <v>34.32</v>
      </c>
      <c r="N758" s="580"/>
    </row>
    <row r="759" spans="4:16" x14ac:dyDescent="0.25">
      <c r="D759" s="559" t="s">
        <v>867</v>
      </c>
      <c r="E759" s="558">
        <v>100634</v>
      </c>
      <c r="F759" s="559">
        <v>100980</v>
      </c>
      <c r="G759" s="558" t="s">
        <v>2078</v>
      </c>
      <c r="H759" s="564">
        <v>40015</v>
      </c>
      <c r="I759" s="563">
        <v>967.2</v>
      </c>
      <c r="J759" s="563">
        <v>-585</v>
      </c>
      <c r="K759" s="582">
        <f t="shared" si="33"/>
        <v>382.20000000000005</v>
      </c>
      <c r="L759" s="563">
        <f t="shared" si="34"/>
        <v>420.42000000000007</v>
      </c>
      <c r="M759" s="563">
        <f t="shared" si="35"/>
        <v>1063.92</v>
      </c>
      <c r="N759" s="580"/>
    </row>
    <row r="760" spans="4:16" x14ac:dyDescent="0.25">
      <c r="D760" s="559" t="s">
        <v>867</v>
      </c>
      <c r="E760" s="558">
        <v>100637</v>
      </c>
      <c r="F760" s="559">
        <v>102660</v>
      </c>
      <c r="G760" s="558" t="s">
        <v>4795</v>
      </c>
      <c r="H760" s="564">
        <v>40015</v>
      </c>
      <c r="I760" s="563">
        <v>1509.3</v>
      </c>
      <c r="J760" s="563">
        <v>-585</v>
      </c>
      <c r="K760" s="582">
        <f t="shared" si="33"/>
        <v>924.3</v>
      </c>
      <c r="L760" s="563">
        <f t="shared" si="34"/>
        <v>1016.73</v>
      </c>
      <c r="M760" s="563">
        <f t="shared" si="35"/>
        <v>1660.23</v>
      </c>
      <c r="N760" s="580"/>
    </row>
    <row r="761" spans="4:16" x14ac:dyDescent="0.25">
      <c r="D761" s="559" t="s">
        <v>867</v>
      </c>
      <c r="E761" s="558">
        <v>100638</v>
      </c>
      <c r="F761" s="559">
        <v>101112</v>
      </c>
      <c r="G761" s="558" t="s">
        <v>4795</v>
      </c>
      <c r="H761" s="564">
        <v>40015</v>
      </c>
      <c r="I761" s="563">
        <v>1989</v>
      </c>
      <c r="J761" s="563">
        <v>-585</v>
      </c>
      <c r="K761" s="582">
        <f t="shared" si="33"/>
        <v>1404</v>
      </c>
      <c r="L761" s="563">
        <f t="shared" si="34"/>
        <v>1544.4</v>
      </c>
      <c r="M761" s="563">
        <f t="shared" si="35"/>
        <v>2187.9</v>
      </c>
      <c r="N761" s="580"/>
    </row>
    <row r="762" spans="4:16" x14ac:dyDescent="0.25">
      <c r="D762" s="559" t="s">
        <v>867</v>
      </c>
      <c r="E762" s="558">
        <v>100639</v>
      </c>
      <c r="F762" s="559">
        <v>100742</v>
      </c>
      <c r="G762" s="558" t="s">
        <v>4795</v>
      </c>
      <c r="H762" s="564">
        <v>40015</v>
      </c>
      <c r="I762" s="563">
        <v>2106</v>
      </c>
      <c r="J762" s="563">
        <v>-585</v>
      </c>
      <c r="K762" s="563">
        <f t="shared" si="33"/>
        <v>1521</v>
      </c>
      <c r="L762" s="563">
        <f t="shared" si="34"/>
        <v>1673.1000000000001</v>
      </c>
      <c r="M762" s="563">
        <f t="shared" si="35"/>
        <v>2316.6000000000004</v>
      </c>
      <c r="N762" s="580"/>
      <c r="O762" s="558"/>
      <c r="P762" s="564"/>
    </row>
    <row r="763" spans="4:16" x14ac:dyDescent="0.25">
      <c r="D763" s="559" t="s">
        <v>867</v>
      </c>
      <c r="E763" s="558">
        <v>100640</v>
      </c>
      <c r="F763" s="559">
        <v>100560</v>
      </c>
      <c r="G763" s="558" t="s">
        <v>4795</v>
      </c>
      <c r="H763" s="564">
        <v>40015</v>
      </c>
      <c r="I763" s="563">
        <v>2086.5</v>
      </c>
      <c r="J763" s="563">
        <v>-585</v>
      </c>
      <c r="K763" s="563">
        <f t="shared" si="33"/>
        <v>1501.5</v>
      </c>
      <c r="L763" s="563">
        <f t="shared" si="34"/>
        <v>1651.65</v>
      </c>
      <c r="M763" s="563">
        <f t="shared" si="35"/>
        <v>2295.15</v>
      </c>
      <c r="N763" s="580"/>
      <c r="O763" s="558"/>
      <c r="P763" s="564"/>
    </row>
    <row r="764" spans="4:16" x14ac:dyDescent="0.25">
      <c r="D764" s="559" t="s">
        <v>867</v>
      </c>
      <c r="E764" s="558">
        <v>100641</v>
      </c>
      <c r="F764" s="559">
        <v>101361</v>
      </c>
      <c r="G764" s="558" t="s">
        <v>4795</v>
      </c>
      <c r="H764" s="564">
        <v>40015</v>
      </c>
      <c r="I764" s="563">
        <v>2086.5</v>
      </c>
      <c r="J764" s="563">
        <v>-585</v>
      </c>
      <c r="K764" s="563">
        <f t="shared" si="33"/>
        <v>1501.5</v>
      </c>
      <c r="L764" s="563">
        <f t="shared" si="34"/>
        <v>1651.65</v>
      </c>
      <c r="M764" s="563">
        <f t="shared" si="35"/>
        <v>2295.15</v>
      </c>
      <c r="N764" s="580"/>
      <c r="O764" s="558"/>
      <c r="P764" s="564"/>
    </row>
    <row r="765" spans="4:16" x14ac:dyDescent="0.25">
      <c r="D765" s="559" t="s">
        <v>867</v>
      </c>
      <c r="E765" s="558">
        <v>100643</v>
      </c>
      <c r="F765" s="559">
        <v>102885</v>
      </c>
      <c r="G765" s="558" t="s">
        <v>4796</v>
      </c>
      <c r="H765" s="564">
        <v>40015</v>
      </c>
      <c r="I765" s="563">
        <v>2055.3000000000002</v>
      </c>
      <c r="J765" s="563">
        <v>-585</v>
      </c>
      <c r="K765" s="582">
        <f t="shared" si="33"/>
        <v>1470.3000000000002</v>
      </c>
      <c r="L765" s="563">
        <f t="shared" si="34"/>
        <v>1617.3300000000004</v>
      </c>
      <c r="M765" s="563">
        <f t="shared" si="35"/>
        <v>2260.8300000000004</v>
      </c>
      <c r="N765" s="580"/>
    </row>
    <row r="766" spans="4:16" x14ac:dyDescent="0.25">
      <c r="D766" s="559" t="s">
        <v>867</v>
      </c>
      <c r="E766" s="558">
        <v>100645</v>
      </c>
      <c r="F766" s="559">
        <v>102797</v>
      </c>
      <c r="G766" s="558" t="s">
        <v>4796</v>
      </c>
      <c r="H766" s="564">
        <v>40015</v>
      </c>
      <c r="I766" s="563">
        <v>2632.5</v>
      </c>
      <c r="J766" s="563">
        <v>-585</v>
      </c>
      <c r="K766" s="582">
        <f t="shared" si="33"/>
        <v>2047.5</v>
      </c>
      <c r="L766" s="563">
        <f t="shared" si="34"/>
        <v>2252.25</v>
      </c>
      <c r="M766" s="563">
        <f t="shared" si="35"/>
        <v>2895.7500000000005</v>
      </c>
      <c r="N766" s="580"/>
    </row>
    <row r="767" spans="4:16" x14ac:dyDescent="0.25">
      <c r="D767" s="559" t="s">
        <v>867</v>
      </c>
      <c r="E767" s="558">
        <v>100646</v>
      </c>
      <c r="F767" s="559">
        <v>102768</v>
      </c>
      <c r="G767" s="558" t="s">
        <v>4796</v>
      </c>
      <c r="H767" s="564">
        <v>40015</v>
      </c>
      <c r="I767" s="563">
        <v>2242.5</v>
      </c>
      <c r="J767" s="563">
        <v>-585</v>
      </c>
      <c r="K767" s="563">
        <f t="shared" si="33"/>
        <v>1657.5</v>
      </c>
      <c r="L767" s="563">
        <f t="shared" si="34"/>
        <v>1823.2500000000002</v>
      </c>
      <c r="M767" s="563">
        <f t="shared" si="35"/>
        <v>2466.75</v>
      </c>
      <c r="N767" s="580"/>
      <c r="O767" s="558"/>
      <c r="P767" s="564"/>
    </row>
    <row r="768" spans="4:16" x14ac:dyDescent="0.25">
      <c r="D768" s="559" t="s">
        <v>867</v>
      </c>
      <c r="E768" s="558">
        <v>100654</v>
      </c>
      <c r="F768" s="559">
        <v>101414</v>
      </c>
      <c r="G768" s="558" t="s">
        <v>4796</v>
      </c>
      <c r="H768" s="564">
        <v>40015</v>
      </c>
      <c r="I768" s="563">
        <v>7995</v>
      </c>
      <c r="J768" s="563">
        <v>-585</v>
      </c>
      <c r="K768" s="582">
        <f t="shared" si="33"/>
        <v>7410</v>
      </c>
      <c r="L768" s="563">
        <f t="shared" si="34"/>
        <v>8151.0000000000009</v>
      </c>
      <c r="M768" s="563">
        <f t="shared" si="35"/>
        <v>8794.5</v>
      </c>
      <c r="N768" s="580"/>
    </row>
    <row r="769" spans="4:16" x14ac:dyDescent="0.25">
      <c r="D769" s="559" t="s">
        <v>867</v>
      </c>
      <c r="E769" s="558">
        <v>100657</v>
      </c>
      <c r="F769" s="559">
        <v>101694</v>
      </c>
      <c r="G769" s="558" t="s">
        <v>4796</v>
      </c>
      <c r="H769" s="564">
        <v>40015</v>
      </c>
      <c r="I769" s="563">
        <v>78</v>
      </c>
      <c r="J769" s="563">
        <v>-78</v>
      </c>
      <c r="K769" s="563">
        <f t="shared" si="33"/>
        <v>0</v>
      </c>
      <c r="L769" s="563">
        <f t="shared" si="34"/>
        <v>0</v>
      </c>
      <c r="M769" s="563">
        <f t="shared" si="35"/>
        <v>85.800000000000011</v>
      </c>
      <c r="N769" s="580"/>
      <c r="O769" s="558"/>
      <c r="P769" s="564"/>
    </row>
    <row r="770" spans="4:16" x14ac:dyDescent="0.25">
      <c r="D770" s="559" t="s">
        <v>867</v>
      </c>
      <c r="E770" s="558">
        <v>100659</v>
      </c>
      <c r="F770" s="559">
        <v>100520</v>
      </c>
      <c r="G770" s="558" t="s">
        <v>4797</v>
      </c>
      <c r="H770" s="564">
        <v>40015</v>
      </c>
      <c r="I770" s="563">
        <v>3974.1</v>
      </c>
      <c r="J770" s="563">
        <v>-585</v>
      </c>
      <c r="K770" s="563">
        <f t="shared" si="33"/>
        <v>3389.1</v>
      </c>
      <c r="L770" s="563">
        <f t="shared" si="34"/>
        <v>3728.01</v>
      </c>
      <c r="M770" s="563">
        <f t="shared" si="35"/>
        <v>4371.51</v>
      </c>
      <c r="N770" s="580"/>
      <c r="O770" s="558"/>
      <c r="P770" s="564"/>
    </row>
    <row r="771" spans="4:16" x14ac:dyDescent="0.25">
      <c r="D771" s="559" t="s">
        <v>867</v>
      </c>
      <c r="E771" s="558">
        <v>100660</v>
      </c>
      <c r="F771" s="559">
        <v>101695</v>
      </c>
      <c r="G771" s="558" t="s">
        <v>4797</v>
      </c>
      <c r="H771" s="564">
        <v>40015</v>
      </c>
      <c r="I771" s="563">
        <v>3311.1</v>
      </c>
      <c r="J771" s="563">
        <v>-585</v>
      </c>
      <c r="K771" s="563">
        <f t="shared" si="33"/>
        <v>2726.1</v>
      </c>
      <c r="L771" s="563">
        <f t="shared" si="34"/>
        <v>2998.71</v>
      </c>
      <c r="M771" s="563">
        <f t="shared" si="35"/>
        <v>3642.21</v>
      </c>
      <c r="N771" s="580"/>
      <c r="O771" s="558"/>
      <c r="P771" s="564"/>
    </row>
    <row r="772" spans="4:16" x14ac:dyDescent="0.25">
      <c r="D772" s="559" t="s">
        <v>867</v>
      </c>
      <c r="E772" s="558">
        <v>100661</v>
      </c>
      <c r="F772" s="559">
        <v>100320</v>
      </c>
      <c r="G772" s="558" t="s">
        <v>4797</v>
      </c>
      <c r="H772" s="564">
        <v>40015</v>
      </c>
      <c r="I772" s="563">
        <v>152.1</v>
      </c>
      <c r="J772" s="563">
        <v>-152.1</v>
      </c>
      <c r="K772" s="582">
        <f t="shared" si="33"/>
        <v>0</v>
      </c>
      <c r="L772" s="563">
        <f t="shared" si="34"/>
        <v>0</v>
      </c>
      <c r="M772" s="563">
        <f t="shared" si="35"/>
        <v>167.31</v>
      </c>
      <c r="N772" s="580"/>
    </row>
    <row r="773" spans="4:16" x14ac:dyDescent="0.25">
      <c r="D773" s="559" t="s">
        <v>867</v>
      </c>
      <c r="E773" s="558">
        <v>100662</v>
      </c>
      <c r="F773" s="559">
        <v>102743</v>
      </c>
      <c r="G773" s="558" t="s">
        <v>4797</v>
      </c>
      <c r="H773" s="564">
        <v>40015</v>
      </c>
      <c r="I773" s="563">
        <v>3350.1</v>
      </c>
      <c r="J773" s="563">
        <v>-585</v>
      </c>
      <c r="K773" s="563">
        <f t="shared" si="33"/>
        <v>2765.1</v>
      </c>
      <c r="L773" s="563">
        <f t="shared" si="34"/>
        <v>3041.61</v>
      </c>
      <c r="M773" s="563">
        <f t="shared" si="35"/>
        <v>3685.11</v>
      </c>
      <c r="N773" s="580"/>
      <c r="O773" s="558"/>
      <c r="P773" s="564"/>
    </row>
    <row r="774" spans="4:16" x14ac:dyDescent="0.25">
      <c r="D774" s="559" t="s">
        <v>867</v>
      </c>
      <c r="E774" s="558">
        <v>100663</v>
      </c>
      <c r="F774" s="559">
        <v>100064</v>
      </c>
      <c r="G774" s="558" t="s">
        <v>4797</v>
      </c>
      <c r="H774" s="564">
        <v>40015</v>
      </c>
      <c r="I774" s="563">
        <v>2964</v>
      </c>
      <c r="J774" s="563">
        <v>-585</v>
      </c>
      <c r="K774" s="563">
        <f t="shared" si="33"/>
        <v>2379</v>
      </c>
      <c r="L774" s="563">
        <f t="shared" si="34"/>
        <v>2616.9</v>
      </c>
      <c r="M774" s="563">
        <f t="shared" si="35"/>
        <v>3260.4</v>
      </c>
      <c r="N774" s="580"/>
      <c r="O774" s="558"/>
      <c r="P774" s="564"/>
    </row>
    <row r="775" spans="4:16" x14ac:dyDescent="0.25">
      <c r="D775" s="559" t="s">
        <v>867</v>
      </c>
      <c r="E775" s="558">
        <v>100664</v>
      </c>
      <c r="F775" s="559">
        <v>101373</v>
      </c>
      <c r="G775" s="558" t="s">
        <v>4798</v>
      </c>
      <c r="H775" s="564">
        <v>40015</v>
      </c>
      <c r="I775" s="563">
        <v>156</v>
      </c>
      <c r="J775" s="563">
        <v>-156</v>
      </c>
      <c r="K775" s="582">
        <f t="shared" si="33"/>
        <v>0</v>
      </c>
      <c r="L775" s="563">
        <f t="shared" si="34"/>
        <v>0</v>
      </c>
      <c r="M775" s="563">
        <f t="shared" si="35"/>
        <v>171.60000000000002</v>
      </c>
      <c r="N775" s="580"/>
    </row>
    <row r="776" spans="4:16" x14ac:dyDescent="0.25">
      <c r="D776" s="559" t="s">
        <v>867</v>
      </c>
      <c r="E776" s="558">
        <v>100665</v>
      </c>
      <c r="F776" s="559">
        <v>100499</v>
      </c>
      <c r="G776" s="558" t="s">
        <v>4798</v>
      </c>
      <c r="H776" s="564">
        <v>40015</v>
      </c>
      <c r="I776" s="563">
        <v>2301</v>
      </c>
      <c r="J776" s="563">
        <v>-585</v>
      </c>
      <c r="K776" s="563">
        <f t="shared" si="33"/>
        <v>1716</v>
      </c>
      <c r="L776" s="563">
        <f t="shared" si="34"/>
        <v>1887.6000000000001</v>
      </c>
      <c r="M776" s="563">
        <f t="shared" si="35"/>
        <v>2531.1000000000004</v>
      </c>
      <c r="N776" s="580"/>
      <c r="O776" s="558"/>
      <c r="P776" s="564"/>
    </row>
    <row r="777" spans="4:16" x14ac:dyDescent="0.25">
      <c r="D777" s="559" t="s">
        <v>867</v>
      </c>
      <c r="E777" s="558">
        <v>100666</v>
      </c>
      <c r="F777" s="559">
        <v>101374</v>
      </c>
      <c r="G777" s="558" t="s">
        <v>4798</v>
      </c>
      <c r="H777" s="564">
        <v>40015</v>
      </c>
      <c r="I777" s="563">
        <v>5499</v>
      </c>
      <c r="J777" s="563">
        <v>-585</v>
      </c>
      <c r="K777" s="582">
        <f t="shared" si="33"/>
        <v>4914</v>
      </c>
      <c r="L777" s="563">
        <f t="shared" si="34"/>
        <v>5405.4000000000005</v>
      </c>
      <c r="M777" s="563">
        <f t="shared" si="35"/>
        <v>6048.9000000000005</v>
      </c>
      <c r="N777" s="580"/>
    </row>
    <row r="778" spans="4:16" x14ac:dyDescent="0.25">
      <c r="D778" s="559" t="s">
        <v>867</v>
      </c>
      <c r="E778" s="558">
        <v>100667</v>
      </c>
      <c r="F778" s="559">
        <v>102738</v>
      </c>
      <c r="G778" s="558" t="s">
        <v>4798</v>
      </c>
      <c r="H778" s="564">
        <v>40015</v>
      </c>
      <c r="I778" s="563">
        <v>2301</v>
      </c>
      <c r="J778" s="563">
        <v>-585</v>
      </c>
      <c r="K778" s="582">
        <f t="shared" si="33"/>
        <v>1716</v>
      </c>
      <c r="L778" s="563">
        <f t="shared" si="34"/>
        <v>1887.6000000000001</v>
      </c>
      <c r="M778" s="563">
        <f t="shared" si="35"/>
        <v>2531.1000000000004</v>
      </c>
      <c r="N778" s="580"/>
    </row>
    <row r="779" spans="4:16" x14ac:dyDescent="0.25">
      <c r="D779" s="559" t="s">
        <v>867</v>
      </c>
      <c r="E779" s="558">
        <v>100668</v>
      </c>
      <c r="F779" s="559">
        <v>101325</v>
      </c>
      <c r="G779" s="558" t="s">
        <v>4798</v>
      </c>
      <c r="H779" s="564">
        <v>40015</v>
      </c>
      <c r="I779" s="563">
        <v>3315</v>
      </c>
      <c r="J779" s="563">
        <v>-585</v>
      </c>
      <c r="K779" s="563">
        <f t="shared" si="33"/>
        <v>2730</v>
      </c>
      <c r="L779" s="563">
        <f t="shared" si="34"/>
        <v>3003.0000000000005</v>
      </c>
      <c r="M779" s="563">
        <f t="shared" si="35"/>
        <v>3646.5000000000005</v>
      </c>
      <c r="N779" s="580"/>
      <c r="O779" s="558"/>
      <c r="P779" s="564"/>
    </row>
    <row r="780" spans="4:16" x14ac:dyDescent="0.25">
      <c r="D780" s="559" t="s">
        <v>867</v>
      </c>
      <c r="E780" s="558">
        <v>100669</v>
      </c>
      <c r="F780" s="559">
        <v>100449</v>
      </c>
      <c r="G780" s="558" t="s">
        <v>4799</v>
      </c>
      <c r="H780" s="564">
        <v>40015</v>
      </c>
      <c r="I780" s="563">
        <v>2535</v>
      </c>
      <c r="J780" s="563">
        <v>-585</v>
      </c>
      <c r="K780" s="563">
        <f t="shared" si="33"/>
        <v>1950</v>
      </c>
      <c r="L780" s="563">
        <f t="shared" si="34"/>
        <v>2145</v>
      </c>
      <c r="M780" s="563">
        <f t="shared" si="35"/>
        <v>2788.5</v>
      </c>
      <c r="N780" s="580"/>
      <c r="O780" s="558"/>
      <c r="P780" s="564"/>
    </row>
    <row r="781" spans="4:16" x14ac:dyDescent="0.25">
      <c r="D781" s="559" t="s">
        <v>867</v>
      </c>
      <c r="E781" s="558">
        <v>100670</v>
      </c>
      <c r="F781" s="559">
        <v>100778</v>
      </c>
      <c r="G781" s="558" t="s">
        <v>4799</v>
      </c>
      <c r="H781" s="564">
        <v>40015</v>
      </c>
      <c r="I781" s="563">
        <v>2028</v>
      </c>
      <c r="J781" s="563">
        <v>-585</v>
      </c>
      <c r="K781" s="582">
        <f t="shared" si="33"/>
        <v>1443</v>
      </c>
      <c r="L781" s="563">
        <f t="shared" si="34"/>
        <v>1587.3000000000002</v>
      </c>
      <c r="M781" s="563">
        <f t="shared" si="35"/>
        <v>2230.8000000000002</v>
      </c>
      <c r="N781" s="580"/>
    </row>
    <row r="782" spans="4:16" x14ac:dyDescent="0.25">
      <c r="D782" s="559" t="s">
        <v>867</v>
      </c>
      <c r="E782" s="558">
        <v>100671</v>
      </c>
      <c r="F782" s="559">
        <v>102811</v>
      </c>
      <c r="G782" s="558" t="s">
        <v>4799</v>
      </c>
      <c r="H782" s="564">
        <v>40015</v>
      </c>
      <c r="I782" s="563">
        <v>21.45</v>
      </c>
      <c r="J782" s="563">
        <v>-21.45</v>
      </c>
      <c r="K782" s="582">
        <f t="shared" si="33"/>
        <v>0</v>
      </c>
      <c r="L782" s="563">
        <f t="shared" si="34"/>
        <v>0</v>
      </c>
      <c r="M782" s="563">
        <f t="shared" si="35"/>
        <v>23.595000000000002</v>
      </c>
      <c r="N782" s="580"/>
    </row>
    <row r="783" spans="4:16" x14ac:dyDescent="0.25">
      <c r="D783" s="559" t="s">
        <v>867</v>
      </c>
      <c r="E783" s="558">
        <v>100672</v>
      </c>
      <c r="F783" s="559">
        <v>102811</v>
      </c>
      <c r="G783" s="558" t="s">
        <v>4799</v>
      </c>
      <c r="H783" s="564">
        <v>40015</v>
      </c>
      <c r="I783" s="563">
        <v>21.45</v>
      </c>
      <c r="J783" s="563">
        <v>-21.45</v>
      </c>
      <c r="K783" s="582">
        <f t="shared" si="33"/>
        <v>0</v>
      </c>
      <c r="L783" s="563">
        <f t="shared" si="34"/>
        <v>0</v>
      </c>
      <c r="M783" s="563">
        <f t="shared" si="35"/>
        <v>23.595000000000002</v>
      </c>
      <c r="N783" s="580"/>
    </row>
    <row r="784" spans="4:16" x14ac:dyDescent="0.25">
      <c r="D784" s="559" t="s">
        <v>867</v>
      </c>
      <c r="E784" s="558">
        <v>100673</v>
      </c>
      <c r="F784" s="559">
        <v>101459</v>
      </c>
      <c r="G784" s="558" t="s">
        <v>4799</v>
      </c>
      <c r="H784" s="564">
        <v>40015</v>
      </c>
      <c r="I784" s="563">
        <v>50.7</v>
      </c>
      <c r="J784" s="563">
        <v>-50.7</v>
      </c>
      <c r="K784" s="563">
        <f t="shared" si="33"/>
        <v>0</v>
      </c>
      <c r="L784" s="563">
        <f t="shared" si="34"/>
        <v>0</v>
      </c>
      <c r="M784" s="563">
        <f t="shared" si="35"/>
        <v>55.77000000000001</v>
      </c>
      <c r="N784" s="580"/>
      <c r="O784" s="558"/>
      <c r="P784" s="564"/>
    </row>
    <row r="785" spans="4:16" x14ac:dyDescent="0.25">
      <c r="D785" s="559" t="s">
        <v>867</v>
      </c>
      <c r="E785" s="558">
        <v>100674</v>
      </c>
      <c r="F785" s="559">
        <v>102967</v>
      </c>
      <c r="G785" s="558" t="s">
        <v>4800</v>
      </c>
      <c r="H785" s="564">
        <v>40015</v>
      </c>
      <c r="I785" s="563">
        <v>3209.7</v>
      </c>
      <c r="J785" s="563">
        <v>-585</v>
      </c>
      <c r="K785" s="582">
        <f t="shared" si="33"/>
        <v>2624.7</v>
      </c>
      <c r="L785" s="563">
        <f t="shared" si="34"/>
        <v>2887.17</v>
      </c>
      <c r="M785" s="563">
        <f t="shared" si="35"/>
        <v>3530.67</v>
      </c>
      <c r="N785" s="580"/>
    </row>
    <row r="786" spans="4:16" x14ac:dyDescent="0.25">
      <c r="D786" s="559" t="s">
        <v>867</v>
      </c>
      <c r="E786" s="558">
        <v>100675</v>
      </c>
      <c r="F786" s="559">
        <v>102555</v>
      </c>
      <c r="G786" s="558" t="s">
        <v>4800</v>
      </c>
      <c r="H786" s="564">
        <v>40015</v>
      </c>
      <c r="I786" s="563">
        <v>1922.7</v>
      </c>
      <c r="J786" s="563">
        <v>-585</v>
      </c>
      <c r="K786" s="563">
        <f t="shared" si="33"/>
        <v>1337.7</v>
      </c>
      <c r="L786" s="563">
        <f t="shared" si="34"/>
        <v>1471.4700000000003</v>
      </c>
      <c r="M786" s="563">
        <f t="shared" si="35"/>
        <v>2114.9700000000003</v>
      </c>
      <c r="N786" s="580"/>
      <c r="O786" s="558"/>
      <c r="P786" s="564"/>
    </row>
    <row r="787" spans="4:16" x14ac:dyDescent="0.25">
      <c r="D787" s="559" t="s">
        <v>867</v>
      </c>
      <c r="E787" s="558">
        <v>100676</v>
      </c>
      <c r="F787" s="559">
        <v>101402</v>
      </c>
      <c r="G787" s="558" t="s">
        <v>4800</v>
      </c>
      <c r="H787" s="564">
        <v>40015</v>
      </c>
      <c r="I787" s="563">
        <v>1922.7</v>
      </c>
      <c r="J787" s="563">
        <v>-585</v>
      </c>
      <c r="K787" s="563">
        <f t="shared" si="33"/>
        <v>1337.7</v>
      </c>
      <c r="L787" s="563">
        <f t="shared" si="34"/>
        <v>1471.4700000000003</v>
      </c>
      <c r="M787" s="563">
        <f t="shared" si="35"/>
        <v>2114.9700000000003</v>
      </c>
      <c r="N787" s="580"/>
      <c r="O787" s="558"/>
      <c r="P787" s="564"/>
    </row>
    <row r="788" spans="4:16" x14ac:dyDescent="0.25">
      <c r="D788" s="559" t="s">
        <v>867</v>
      </c>
      <c r="E788" s="558">
        <v>100677</v>
      </c>
      <c r="F788" s="559">
        <v>101557</v>
      </c>
      <c r="G788" s="558" t="s">
        <v>4800</v>
      </c>
      <c r="H788" s="564">
        <v>40015</v>
      </c>
      <c r="I788" s="563">
        <v>1922.7</v>
      </c>
      <c r="J788" s="563">
        <v>-585</v>
      </c>
      <c r="K788" s="582">
        <f t="shared" si="33"/>
        <v>1337.7</v>
      </c>
      <c r="L788" s="563">
        <f t="shared" si="34"/>
        <v>1471.4700000000003</v>
      </c>
      <c r="M788" s="563">
        <f t="shared" si="35"/>
        <v>2114.9700000000003</v>
      </c>
      <c r="N788" s="580"/>
    </row>
    <row r="789" spans="4:16" x14ac:dyDescent="0.25">
      <c r="D789" s="559" t="s">
        <v>867</v>
      </c>
      <c r="E789" s="558">
        <v>100678</v>
      </c>
      <c r="F789" s="559">
        <v>101118</v>
      </c>
      <c r="G789" s="558" t="s">
        <v>4800</v>
      </c>
      <c r="H789" s="564">
        <v>40015</v>
      </c>
      <c r="I789" s="563">
        <v>50.7</v>
      </c>
      <c r="J789" s="563">
        <v>-50.7</v>
      </c>
      <c r="K789" s="563">
        <f t="shared" si="33"/>
        <v>0</v>
      </c>
      <c r="L789" s="563">
        <f t="shared" si="34"/>
        <v>0</v>
      </c>
      <c r="M789" s="563">
        <f t="shared" si="35"/>
        <v>55.77000000000001</v>
      </c>
      <c r="N789" s="580"/>
      <c r="O789" s="558"/>
      <c r="P789" s="564"/>
    </row>
    <row r="790" spans="4:16" x14ac:dyDescent="0.25">
      <c r="D790" s="559" t="s">
        <v>867</v>
      </c>
      <c r="E790" s="558">
        <v>100679</v>
      </c>
      <c r="F790" s="559">
        <v>101458</v>
      </c>
      <c r="G790" s="558" t="s">
        <v>4801</v>
      </c>
      <c r="H790" s="564">
        <v>40015</v>
      </c>
      <c r="I790" s="563">
        <v>50.7</v>
      </c>
      <c r="J790" s="563">
        <v>-50.7</v>
      </c>
      <c r="K790" s="563">
        <f t="shared" si="33"/>
        <v>0</v>
      </c>
      <c r="L790" s="563">
        <f t="shared" si="34"/>
        <v>0</v>
      </c>
      <c r="M790" s="563">
        <f t="shared" si="35"/>
        <v>55.77000000000001</v>
      </c>
      <c r="N790" s="580"/>
      <c r="O790" s="558"/>
      <c r="P790" s="564"/>
    </row>
    <row r="791" spans="4:16" x14ac:dyDescent="0.25">
      <c r="D791" s="559" t="s">
        <v>867</v>
      </c>
      <c r="E791" s="558">
        <v>100680</v>
      </c>
      <c r="F791" s="559">
        <v>100148</v>
      </c>
      <c r="G791" s="558" t="s">
        <v>4801</v>
      </c>
      <c r="H791" s="564">
        <v>40015</v>
      </c>
      <c r="I791" s="563">
        <v>50.7</v>
      </c>
      <c r="J791" s="563">
        <v>-50.7</v>
      </c>
      <c r="K791" s="582">
        <f t="shared" si="33"/>
        <v>0</v>
      </c>
      <c r="L791" s="563">
        <f t="shared" si="34"/>
        <v>0</v>
      </c>
      <c r="M791" s="563">
        <f t="shared" si="35"/>
        <v>55.77000000000001</v>
      </c>
      <c r="N791" s="580"/>
    </row>
    <row r="792" spans="4:16" x14ac:dyDescent="0.25">
      <c r="D792" s="559" t="s">
        <v>867</v>
      </c>
      <c r="E792" s="558">
        <v>100681</v>
      </c>
      <c r="F792" s="559">
        <v>102827</v>
      </c>
      <c r="G792" s="558" t="s">
        <v>4801</v>
      </c>
      <c r="H792" s="564">
        <v>40015</v>
      </c>
      <c r="I792" s="563">
        <v>50.7</v>
      </c>
      <c r="J792" s="563">
        <v>-50.7</v>
      </c>
      <c r="K792" s="563">
        <f t="shared" si="33"/>
        <v>0</v>
      </c>
      <c r="L792" s="563">
        <f t="shared" si="34"/>
        <v>0</v>
      </c>
      <c r="M792" s="563">
        <f t="shared" si="35"/>
        <v>55.77000000000001</v>
      </c>
      <c r="N792" s="580"/>
      <c r="O792" s="558"/>
      <c r="P792" s="564"/>
    </row>
    <row r="793" spans="4:16" x14ac:dyDescent="0.25">
      <c r="D793" s="559" t="s">
        <v>867</v>
      </c>
      <c r="E793" s="558">
        <v>100682</v>
      </c>
      <c r="F793" s="559">
        <v>100483</v>
      </c>
      <c r="G793" s="558" t="s">
        <v>4801</v>
      </c>
      <c r="H793" s="564">
        <v>40015</v>
      </c>
      <c r="I793" s="563">
        <v>2039.7</v>
      </c>
      <c r="J793" s="563">
        <v>-585</v>
      </c>
      <c r="K793" s="582">
        <f t="shared" si="33"/>
        <v>1454.7</v>
      </c>
      <c r="L793" s="563">
        <f t="shared" si="34"/>
        <v>1600.17</v>
      </c>
      <c r="M793" s="563">
        <f t="shared" si="35"/>
        <v>2243.67</v>
      </c>
      <c r="N793" s="580"/>
    </row>
    <row r="794" spans="4:16" x14ac:dyDescent="0.25">
      <c r="D794" s="559" t="s">
        <v>867</v>
      </c>
      <c r="E794" s="558">
        <v>100683</v>
      </c>
      <c r="F794" s="559">
        <v>102827</v>
      </c>
      <c r="G794" s="558" t="s">
        <v>4801</v>
      </c>
      <c r="H794" s="564">
        <v>40015</v>
      </c>
      <c r="I794" s="563">
        <v>66.3</v>
      </c>
      <c r="J794" s="563">
        <v>-66.3</v>
      </c>
      <c r="K794" s="563">
        <f t="shared" si="33"/>
        <v>0</v>
      </c>
      <c r="L794" s="563">
        <f t="shared" si="34"/>
        <v>0</v>
      </c>
      <c r="M794" s="563">
        <f t="shared" si="35"/>
        <v>72.930000000000007</v>
      </c>
      <c r="N794" s="580"/>
      <c r="O794" s="558"/>
      <c r="P794" s="564"/>
    </row>
    <row r="795" spans="4:16" x14ac:dyDescent="0.25">
      <c r="D795" s="559" t="s">
        <v>867</v>
      </c>
      <c r="E795" s="558">
        <v>100684</v>
      </c>
      <c r="F795" s="559">
        <v>101128</v>
      </c>
      <c r="G795" s="558" t="s">
        <v>4802</v>
      </c>
      <c r="H795" s="564">
        <v>40015</v>
      </c>
      <c r="I795" s="563">
        <v>1556.1</v>
      </c>
      <c r="J795" s="563">
        <v>-585</v>
      </c>
      <c r="K795" s="563">
        <f t="shared" si="33"/>
        <v>971.09999999999991</v>
      </c>
      <c r="L795" s="563">
        <f t="shared" si="34"/>
        <v>1068.21</v>
      </c>
      <c r="M795" s="563">
        <f t="shared" si="35"/>
        <v>1711.71</v>
      </c>
      <c r="N795" s="580"/>
      <c r="O795" s="558"/>
      <c r="P795" s="564"/>
    </row>
    <row r="796" spans="4:16" x14ac:dyDescent="0.25">
      <c r="D796" s="559" t="s">
        <v>867</v>
      </c>
      <c r="E796" s="558">
        <v>100687</v>
      </c>
      <c r="F796" s="559">
        <v>101682</v>
      </c>
      <c r="G796" s="558" t="s">
        <v>4802</v>
      </c>
      <c r="H796" s="564">
        <v>40015</v>
      </c>
      <c r="I796" s="563">
        <v>7823.4</v>
      </c>
      <c r="J796" s="563">
        <v>-585</v>
      </c>
      <c r="K796" s="582">
        <f t="shared" si="33"/>
        <v>7238.4</v>
      </c>
      <c r="L796" s="563">
        <f t="shared" si="34"/>
        <v>7962.2400000000007</v>
      </c>
      <c r="M796" s="563">
        <f t="shared" si="35"/>
        <v>8605.74</v>
      </c>
      <c r="N796" s="580"/>
    </row>
    <row r="797" spans="4:16" x14ac:dyDescent="0.25">
      <c r="D797" s="559" t="s">
        <v>867</v>
      </c>
      <c r="E797" s="558">
        <v>100688</v>
      </c>
      <c r="F797" s="559">
        <v>102913</v>
      </c>
      <c r="G797" s="558" t="s">
        <v>4802</v>
      </c>
      <c r="H797" s="564">
        <v>40015</v>
      </c>
      <c r="I797" s="563">
        <v>66.3</v>
      </c>
      <c r="J797" s="563">
        <v>-66.3</v>
      </c>
      <c r="K797" s="582">
        <f t="shared" si="33"/>
        <v>0</v>
      </c>
      <c r="L797" s="563">
        <f t="shared" si="34"/>
        <v>0</v>
      </c>
      <c r="M797" s="563">
        <f t="shared" si="35"/>
        <v>72.930000000000007</v>
      </c>
      <c r="N797" s="580"/>
    </row>
    <row r="798" spans="4:16" x14ac:dyDescent="0.25">
      <c r="D798" s="559" t="s">
        <v>867</v>
      </c>
      <c r="E798" s="558">
        <v>100690</v>
      </c>
      <c r="F798" s="559">
        <v>102913</v>
      </c>
      <c r="G798" s="558" t="s">
        <v>4802</v>
      </c>
      <c r="H798" s="564">
        <v>40015</v>
      </c>
      <c r="I798" s="563">
        <v>1587.3</v>
      </c>
      <c r="J798" s="563">
        <v>-585</v>
      </c>
      <c r="K798" s="582">
        <f t="shared" si="33"/>
        <v>1002.3</v>
      </c>
      <c r="L798" s="563">
        <f t="shared" si="34"/>
        <v>1102.53</v>
      </c>
      <c r="M798" s="563">
        <f t="shared" si="35"/>
        <v>1746.0300000000002</v>
      </c>
      <c r="N798" s="580"/>
    </row>
    <row r="799" spans="4:16" x14ac:dyDescent="0.25">
      <c r="D799" s="559" t="s">
        <v>867</v>
      </c>
      <c r="E799" s="558">
        <v>100691</v>
      </c>
      <c r="F799" s="559">
        <v>102947</v>
      </c>
      <c r="G799" s="558" t="s">
        <v>4802</v>
      </c>
      <c r="H799" s="564">
        <v>40015</v>
      </c>
      <c r="I799" s="563">
        <v>2250.3000000000002</v>
      </c>
      <c r="J799" s="563">
        <v>-585</v>
      </c>
      <c r="K799" s="563">
        <f t="shared" si="33"/>
        <v>1665.3000000000002</v>
      </c>
      <c r="L799" s="563">
        <f t="shared" si="34"/>
        <v>1831.8300000000004</v>
      </c>
      <c r="M799" s="563">
        <f t="shared" si="35"/>
        <v>2475.3300000000004</v>
      </c>
      <c r="N799" s="580"/>
      <c r="O799" s="558"/>
      <c r="P799" s="564"/>
    </row>
    <row r="800" spans="4:16" x14ac:dyDescent="0.25">
      <c r="D800" s="559" t="s">
        <v>867</v>
      </c>
      <c r="E800" s="558">
        <v>100692</v>
      </c>
      <c r="F800" s="559">
        <v>102680</v>
      </c>
      <c r="G800" s="558" t="s">
        <v>4803</v>
      </c>
      <c r="H800" s="564">
        <v>40015</v>
      </c>
      <c r="I800" s="563">
        <v>2878.2</v>
      </c>
      <c r="J800" s="563">
        <v>-585</v>
      </c>
      <c r="K800" s="582">
        <f t="shared" si="33"/>
        <v>2293.1999999999998</v>
      </c>
      <c r="L800" s="563">
        <f t="shared" si="34"/>
        <v>2522.52</v>
      </c>
      <c r="M800" s="563">
        <f t="shared" si="35"/>
        <v>3166.02</v>
      </c>
      <c r="N800" s="580"/>
    </row>
    <row r="801" spans="4:16" x14ac:dyDescent="0.25">
      <c r="D801" s="559" t="s">
        <v>867</v>
      </c>
      <c r="E801" s="558">
        <v>100693</v>
      </c>
      <c r="F801" s="559">
        <v>101052</v>
      </c>
      <c r="G801" s="558" t="s">
        <v>4803</v>
      </c>
      <c r="H801" s="564">
        <v>40015</v>
      </c>
      <c r="I801" s="563">
        <v>538.20000000000005</v>
      </c>
      <c r="J801" s="563">
        <v>-538.20000000000005</v>
      </c>
      <c r="K801" s="563">
        <f t="shared" si="33"/>
        <v>0</v>
      </c>
      <c r="L801" s="563">
        <f t="shared" si="34"/>
        <v>0</v>
      </c>
      <c r="M801" s="563">
        <f t="shared" si="35"/>
        <v>592.0200000000001</v>
      </c>
      <c r="N801" s="580"/>
      <c r="O801" s="558"/>
      <c r="P801" s="564"/>
    </row>
    <row r="802" spans="4:16" x14ac:dyDescent="0.25">
      <c r="D802" s="559" t="s">
        <v>867</v>
      </c>
      <c r="E802" s="558">
        <v>100695</v>
      </c>
      <c r="F802" s="559">
        <v>101763</v>
      </c>
      <c r="G802" s="558" t="s">
        <v>4803</v>
      </c>
      <c r="H802" s="564">
        <v>40015</v>
      </c>
      <c r="I802" s="563">
        <v>811.2</v>
      </c>
      <c r="J802" s="563">
        <v>-585</v>
      </c>
      <c r="K802" s="582">
        <f t="shared" si="33"/>
        <v>226.20000000000005</v>
      </c>
      <c r="L802" s="563">
        <f t="shared" si="34"/>
        <v>248.82000000000008</v>
      </c>
      <c r="M802" s="563">
        <f t="shared" si="35"/>
        <v>892.32000000000016</v>
      </c>
      <c r="N802" s="580"/>
    </row>
    <row r="803" spans="4:16" x14ac:dyDescent="0.25">
      <c r="D803" s="559" t="s">
        <v>867</v>
      </c>
      <c r="E803" s="558">
        <v>100696</v>
      </c>
      <c r="F803" s="559">
        <v>101440</v>
      </c>
      <c r="G803" s="558" t="s">
        <v>4803</v>
      </c>
      <c r="H803" s="564">
        <v>40015</v>
      </c>
      <c r="I803" s="563">
        <v>70.2</v>
      </c>
      <c r="J803" s="563">
        <v>-70.2</v>
      </c>
      <c r="K803" s="563">
        <f t="shared" si="33"/>
        <v>0</v>
      </c>
      <c r="L803" s="563">
        <f t="shared" si="34"/>
        <v>0</v>
      </c>
      <c r="M803" s="563">
        <f t="shared" si="35"/>
        <v>77.220000000000013</v>
      </c>
      <c r="N803" s="580"/>
      <c r="O803" s="558"/>
      <c r="P803" s="564"/>
    </row>
    <row r="804" spans="4:16" x14ac:dyDescent="0.25">
      <c r="D804" s="559" t="s">
        <v>867</v>
      </c>
      <c r="E804" s="558">
        <v>100697</v>
      </c>
      <c r="F804" s="559">
        <v>102494</v>
      </c>
      <c r="G804" s="558" t="s">
        <v>4803</v>
      </c>
      <c r="H804" s="564">
        <v>40015</v>
      </c>
      <c r="I804" s="563">
        <v>713.7</v>
      </c>
      <c r="J804" s="563">
        <v>-585</v>
      </c>
      <c r="K804" s="582">
        <f t="shared" si="33"/>
        <v>128.70000000000005</v>
      </c>
      <c r="L804" s="563">
        <f t="shared" si="34"/>
        <v>141.57000000000005</v>
      </c>
      <c r="M804" s="563">
        <f t="shared" si="35"/>
        <v>785.07000000000016</v>
      </c>
      <c r="N804" s="580"/>
    </row>
    <row r="805" spans="4:16" x14ac:dyDescent="0.25">
      <c r="D805" s="559" t="s">
        <v>867</v>
      </c>
      <c r="E805" s="558">
        <v>100698</v>
      </c>
      <c r="F805" s="559">
        <v>100757</v>
      </c>
      <c r="G805" s="558" t="s">
        <v>4804</v>
      </c>
      <c r="H805" s="564">
        <v>40015</v>
      </c>
      <c r="I805" s="563">
        <v>17.55</v>
      </c>
      <c r="J805" s="563">
        <v>-17.55</v>
      </c>
      <c r="K805" s="582">
        <f t="shared" si="33"/>
        <v>0</v>
      </c>
      <c r="L805" s="563">
        <f t="shared" si="34"/>
        <v>0</v>
      </c>
      <c r="M805" s="563">
        <f t="shared" si="35"/>
        <v>19.305000000000003</v>
      </c>
      <c r="N805" s="580"/>
    </row>
    <row r="806" spans="4:16" x14ac:dyDescent="0.25">
      <c r="D806" s="559" t="s">
        <v>867</v>
      </c>
      <c r="E806" s="558">
        <v>100699</v>
      </c>
      <c r="F806" s="559">
        <v>100757</v>
      </c>
      <c r="G806" s="558" t="s">
        <v>4804</v>
      </c>
      <c r="H806" s="564">
        <v>40015</v>
      </c>
      <c r="I806" s="563">
        <v>31.2</v>
      </c>
      <c r="J806" s="563">
        <v>-31.2</v>
      </c>
      <c r="K806" s="582">
        <f t="shared" si="33"/>
        <v>0</v>
      </c>
      <c r="L806" s="563">
        <f t="shared" si="34"/>
        <v>0</v>
      </c>
      <c r="M806" s="563">
        <f t="shared" si="35"/>
        <v>34.32</v>
      </c>
      <c r="N806" s="580"/>
    </row>
    <row r="807" spans="4:16" x14ac:dyDescent="0.25">
      <c r="D807" s="559" t="s">
        <v>867</v>
      </c>
      <c r="E807" s="558">
        <v>100700</v>
      </c>
      <c r="F807" s="559">
        <v>100757</v>
      </c>
      <c r="G807" s="558" t="s">
        <v>4804</v>
      </c>
      <c r="H807" s="564">
        <v>40015</v>
      </c>
      <c r="I807" s="563">
        <v>4.7</v>
      </c>
      <c r="J807" s="563">
        <v>-4.7</v>
      </c>
      <c r="K807" s="582">
        <f t="shared" si="33"/>
        <v>0</v>
      </c>
      <c r="L807" s="563">
        <f t="shared" si="34"/>
        <v>0</v>
      </c>
      <c r="M807" s="563">
        <f t="shared" si="35"/>
        <v>5.1700000000000008</v>
      </c>
      <c r="N807" s="580"/>
    </row>
    <row r="808" spans="4:16" x14ac:dyDescent="0.25">
      <c r="D808" s="559" t="s">
        <v>867</v>
      </c>
      <c r="E808" s="558">
        <v>100701</v>
      </c>
      <c r="F808" s="559">
        <v>100754</v>
      </c>
      <c r="G808" s="558" t="s">
        <v>4804</v>
      </c>
      <c r="H808" s="564">
        <v>40015</v>
      </c>
      <c r="I808" s="563">
        <v>17.55</v>
      </c>
      <c r="J808" s="563">
        <v>-17.55</v>
      </c>
      <c r="K808" s="582">
        <f t="shared" si="33"/>
        <v>0</v>
      </c>
      <c r="L808" s="563">
        <f t="shared" si="34"/>
        <v>0</v>
      </c>
      <c r="M808" s="563">
        <f t="shared" si="35"/>
        <v>19.305000000000003</v>
      </c>
      <c r="N808" s="580"/>
    </row>
    <row r="809" spans="4:16" x14ac:dyDescent="0.25">
      <c r="D809" s="559" t="s">
        <v>867</v>
      </c>
      <c r="E809" s="558">
        <v>100702</v>
      </c>
      <c r="F809" s="559">
        <v>101390</v>
      </c>
      <c r="G809" s="558" t="s">
        <v>4804</v>
      </c>
      <c r="H809" s="564">
        <v>40015</v>
      </c>
      <c r="I809" s="563">
        <v>156</v>
      </c>
      <c r="J809" s="563">
        <v>-156</v>
      </c>
      <c r="K809" s="563">
        <f t="shared" ref="K809:K872" si="36">+I809+J809</f>
        <v>0</v>
      </c>
      <c r="L809" s="563">
        <f t="shared" ref="L809:L872" si="37">+K809*1.1</f>
        <v>0</v>
      </c>
      <c r="M809" s="563">
        <f t="shared" ref="M809:M872" si="38">+I809*1.1</f>
        <v>171.60000000000002</v>
      </c>
      <c r="N809" s="580"/>
      <c r="O809" s="558"/>
      <c r="P809" s="564"/>
    </row>
    <row r="810" spans="4:16" x14ac:dyDescent="0.25">
      <c r="D810" s="559" t="s">
        <v>867</v>
      </c>
      <c r="E810" s="558">
        <v>100703</v>
      </c>
      <c r="F810" s="559">
        <v>101386</v>
      </c>
      <c r="G810" s="558" t="s">
        <v>4805</v>
      </c>
      <c r="H810" s="564">
        <v>40015</v>
      </c>
      <c r="I810" s="563">
        <v>12.5</v>
      </c>
      <c r="J810" s="563">
        <v>-12.5</v>
      </c>
      <c r="K810" s="563">
        <f t="shared" si="36"/>
        <v>0</v>
      </c>
      <c r="L810" s="563">
        <f t="shared" si="37"/>
        <v>0</v>
      </c>
      <c r="M810" s="563">
        <f t="shared" si="38"/>
        <v>13.750000000000002</v>
      </c>
      <c r="N810" s="580"/>
      <c r="O810" s="558"/>
      <c r="P810" s="564"/>
    </row>
    <row r="811" spans="4:16" x14ac:dyDescent="0.25">
      <c r="D811" s="559" t="s">
        <v>867</v>
      </c>
      <c r="E811" s="558">
        <v>100705</v>
      </c>
      <c r="F811" s="559">
        <v>101389</v>
      </c>
      <c r="G811" s="558" t="s">
        <v>4805</v>
      </c>
      <c r="H811" s="564">
        <v>40015</v>
      </c>
      <c r="I811" s="563">
        <v>2328.3000000000002</v>
      </c>
      <c r="J811" s="563">
        <v>-585</v>
      </c>
      <c r="K811" s="563">
        <f t="shared" si="36"/>
        <v>1743.3000000000002</v>
      </c>
      <c r="L811" s="563">
        <f t="shared" si="37"/>
        <v>1917.6300000000003</v>
      </c>
      <c r="M811" s="563">
        <f t="shared" si="38"/>
        <v>2561.1300000000006</v>
      </c>
      <c r="N811" s="580"/>
      <c r="O811" s="558"/>
      <c r="P811" s="564"/>
    </row>
    <row r="812" spans="4:16" x14ac:dyDescent="0.25">
      <c r="D812" s="559" t="s">
        <v>867</v>
      </c>
      <c r="E812" s="558">
        <v>100706</v>
      </c>
      <c r="F812" s="559">
        <v>100632</v>
      </c>
      <c r="G812" s="558" t="s">
        <v>4805</v>
      </c>
      <c r="H812" s="564">
        <v>40015</v>
      </c>
      <c r="I812" s="563">
        <v>19383</v>
      </c>
      <c r="J812" s="563">
        <v>-585</v>
      </c>
      <c r="K812" s="563">
        <f t="shared" si="36"/>
        <v>18798</v>
      </c>
      <c r="L812" s="563">
        <f t="shared" si="37"/>
        <v>20677.800000000003</v>
      </c>
      <c r="M812" s="563">
        <f t="shared" si="38"/>
        <v>21321.300000000003</v>
      </c>
      <c r="N812" s="580"/>
      <c r="O812" s="558"/>
      <c r="P812" s="564"/>
    </row>
    <row r="813" spans="4:16" x14ac:dyDescent="0.25">
      <c r="D813" s="559" t="s">
        <v>867</v>
      </c>
      <c r="E813" s="558">
        <v>100707</v>
      </c>
      <c r="F813" s="559">
        <v>101561</v>
      </c>
      <c r="G813" s="558" t="s">
        <v>4805</v>
      </c>
      <c r="H813" s="564">
        <v>40015</v>
      </c>
      <c r="I813" s="563">
        <v>2952.3</v>
      </c>
      <c r="J813" s="563">
        <v>-585</v>
      </c>
      <c r="K813" s="582">
        <f t="shared" si="36"/>
        <v>2367.3000000000002</v>
      </c>
      <c r="L813" s="563">
        <f t="shared" si="37"/>
        <v>2604.0300000000002</v>
      </c>
      <c r="M813" s="563">
        <f t="shared" si="38"/>
        <v>3247.5300000000007</v>
      </c>
      <c r="N813" s="580"/>
    </row>
    <row r="814" spans="4:16" x14ac:dyDescent="0.25">
      <c r="D814" s="559" t="s">
        <v>867</v>
      </c>
      <c r="E814" s="558">
        <v>100708</v>
      </c>
      <c r="F814" s="559">
        <v>100782</v>
      </c>
      <c r="G814" s="558" t="s">
        <v>4805</v>
      </c>
      <c r="H814" s="564">
        <v>40015</v>
      </c>
      <c r="I814" s="563">
        <v>588.9</v>
      </c>
      <c r="J814" s="563">
        <v>-585</v>
      </c>
      <c r="K814" s="582">
        <f t="shared" si="36"/>
        <v>3.8999999999999773</v>
      </c>
      <c r="L814" s="563">
        <f t="shared" si="37"/>
        <v>4.2899999999999752</v>
      </c>
      <c r="M814" s="563">
        <f t="shared" si="38"/>
        <v>647.79000000000008</v>
      </c>
      <c r="N814" s="580"/>
    </row>
    <row r="815" spans="4:16" x14ac:dyDescent="0.25">
      <c r="D815" s="559" t="s">
        <v>867</v>
      </c>
      <c r="E815" s="558">
        <v>100709</v>
      </c>
      <c r="F815" s="559">
        <v>100643</v>
      </c>
      <c r="G815" s="558" t="s">
        <v>4806</v>
      </c>
      <c r="H815" s="564">
        <v>40015</v>
      </c>
      <c r="I815" s="563">
        <v>1684.8</v>
      </c>
      <c r="J815" s="563">
        <v>-585</v>
      </c>
      <c r="K815" s="582">
        <f t="shared" si="36"/>
        <v>1099.8</v>
      </c>
      <c r="L815" s="563">
        <f t="shared" si="37"/>
        <v>1209.78</v>
      </c>
      <c r="M815" s="563">
        <f t="shared" si="38"/>
        <v>1853.2800000000002</v>
      </c>
      <c r="N815" s="580"/>
    </row>
    <row r="816" spans="4:16" x14ac:dyDescent="0.25">
      <c r="D816" s="559" t="s">
        <v>867</v>
      </c>
      <c r="E816" s="558">
        <v>100710</v>
      </c>
      <c r="F816" s="559">
        <v>102278</v>
      </c>
      <c r="G816" s="558" t="s">
        <v>4806</v>
      </c>
      <c r="H816" s="564">
        <v>40015</v>
      </c>
      <c r="I816" s="563">
        <v>2850.9</v>
      </c>
      <c r="J816" s="563">
        <v>-585</v>
      </c>
      <c r="K816" s="563">
        <f t="shared" si="36"/>
        <v>2265.9</v>
      </c>
      <c r="L816" s="563">
        <f t="shared" si="37"/>
        <v>2492.4900000000002</v>
      </c>
      <c r="M816" s="563">
        <f t="shared" si="38"/>
        <v>3135.9900000000002</v>
      </c>
      <c r="N816" s="580"/>
      <c r="O816" s="558"/>
      <c r="P816" s="564"/>
    </row>
    <row r="817" spans="4:16" x14ac:dyDescent="0.25">
      <c r="D817" s="559" t="s">
        <v>867</v>
      </c>
      <c r="E817" s="558">
        <v>100711</v>
      </c>
      <c r="F817" s="559">
        <v>100313</v>
      </c>
      <c r="G817" s="558" t="s">
        <v>4806</v>
      </c>
      <c r="H817" s="564">
        <v>40015</v>
      </c>
      <c r="I817" s="563">
        <v>124.8</v>
      </c>
      <c r="J817" s="563">
        <v>-124.8</v>
      </c>
      <c r="K817" s="582">
        <f t="shared" si="36"/>
        <v>0</v>
      </c>
      <c r="L817" s="563">
        <f t="shared" si="37"/>
        <v>0</v>
      </c>
      <c r="M817" s="563">
        <f t="shared" si="38"/>
        <v>137.28</v>
      </c>
      <c r="N817" s="580"/>
    </row>
    <row r="818" spans="4:16" x14ac:dyDescent="0.25">
      <c r="D818" s="559" t="s">
        <v>867</v>
      </c>
      <c r="E818" s="558">
        <v>100713</v>
      </c>
      <c r="F818" s="559">
        <v>100244</v>
      </c>
      <c r="G818" s="558" t="s">
        <v>4806</v>
      </c>
      <c r="H818" s="564">
        <v>40015</v>
      </c>
      <c r="I818" s="563">
        <v>2811.9</v>
      </c>
      <c r="J818" s="563">
        <v>-585</v>
      </c>
      <c r="K818" s="563">
        <f t="shared" si="36"/>
        <v>2226.9</v>
      </c>
      <c r="L818" s="563">
        <f t="shared" si="37"/>
        <v>2449.59</v>
      </c>
      <c r="M818" s="563">
        <f t="shared" si="38"/>
        <v>3093.09</v>
      </c>
      <c r="N818" s="580"/>
      <c r="O818" s="558"/>
      <c r="P818" s="564"/>
    </row>
    <row r="819" spans="4:16" x14ac:dyDescent="0.25">
      <c r="D819" s="559" t="s">
        <v>867</v>
      </c>
      <c r="E819" s="558">
        <v>100714</v>
      </c>
      <c r="F819" s="559">
        <v>100213</v>
      </c>
      <c r="G819" s="558" t="s">
        <v>4806</v>
      </c>
      <c r="H819" s="564">
        <v>40015</v>
      </c>
      <c r="I819" s="563">
        <v>3069.3</v>
      </c>
      <c r="J819" s="563">
        <v>-585</v>
      </c>
      <c r="K819" s="563">
        <f t="shared" si="36"/>
        <v>2484.3000000000002</v>
      </c>
      <c r="L819" s="563">
        <f t="shared" si="37"/>
        <v>2732.7300000000005</v>
      </c>
      <c r="M819" s="563">
        <f t="shared" si="38"/>
        <v>3376.2300000000005</v>
      </c>
      <c r="N819" s="580"/>
      <c r="O819" s="558"/>
      <c r="P819" s="564"/>
    </row>
    <row r="820" spans="4:16" x14ac:dyDescent="0.25">
      <c r="D820" s="559" t="s">
        <v>867</v>
      </c>
      <c r="E820" s="558">
        <v>100715</v>
      </c>
      <c r="F820" s="559">
        <v>100217</v>
      </c>
      <c r="G820" s="558" t="s">
        <v>4807</v>
      </c>
      <c r="H820" s="564">
        <v>40015</v>
      </c>
      <c r="I820" s="563">
        <v>3084.9</v>
      </c>
      <c r="J820" s="563">
        <v>-585</v>
      </c>
      <c r="K820" s="582">
        <f t="shared" si="36"/>
        <v>2499.9</v>
      </c>
      <c r="L820" s="563">
        <f t="shared" si="37"/>
        <v>2749.8900000000003</v>
      </c>
      <c r="M820" s="563">
        <f t="shared" si="38"/>
        <v>3393.3900000000003</v>
      </c>
      <c r="N820" s="580"/>
    </row>
    <row r="821" spans="4:16" x14ac:dyDescent="0.25">
      <c r="D821" s="559" t="s">
        <v>867</v>
      </c>
      <c r="E821" s="558">
        <v>100722</v>
      </c>
      <c r="F821" s="559">
        <v>101609</v>
      </c>
      <c r="G821" s="558" t="s">
        <v>4807</v>
      </c>
      <c r="H821" s="564">
        <v>40015</v>
      </c>
      <c r="I821" s="563">
        <v>2386.8000000000002</v>
      </c>
      <c r="J821" s="563">
        <v>-585</v>
      </c>
      <c r="K821" s="563">
        <f t="shared" si="36"/>
        <v>1801.8000000000002</v>
      </c>
      <c r="L821" s="563">
        <f t="shared" si="37"/>
        <v>1981.9800000000005</v>
      </c>
      <c r="M821" s="563">
        <f t="shared" si="38"/>
        <v>2625.4800000000005</v>
      </c>
      <c r="N821" s="580"/>
      <c r="O821" s="558"/>
      <c r="P821" s="564"/>
    </row>
    <row r="822" spans="4:16" x14ac:dyDescent="0.25">
      <c r="D822" s="559" t="s">
        <v>867</v>
      </c>
      <c r="E822" s="558">
        <v>100723</v>
      </c>
      <c r="F822" s="559">
        <v>301375</v>
      </c>
      <c r="G822" s="558" t="s">
        <v>4807</v>
      </c>
      <c r="H822" s="564">
        <v>40015</v>
      </c>
      <c r="I822" s="563">
        <v>2698.8</v>
      </c>
      <c r="J822" s="563">
        <v>-585</v>
      </c>
      <c r="K822" s="582">
        <f t="shared" si="36"/>
        <v>2113.8000000000002</v>
      </c>
      <c r="L822" s="563">
        <f t="shared" si="37"/>
        <v>2325.1800000000003</v>
      </c>
      <c r="M822" s="563">
        <f t="shared" si="38"/>
        <v>2968.6800000000003</v>
      </c>
      <c r="N822" s="580"/>
    </row>
    <row r="823" spans="4:16" x14ac:dyDescent="0.25">
      <c r="D823" s="559" t="s">
        <v>867</v>
      </c>
      <c r="E823" s="558">
        <v>100724</v>
      </c>
      <c r="F823" s="559">
        <v>102575</v>
      </c>
      <c r="G823" s="558" t="s">
        <v>4807</v>
      </c>
      <c r="H823" s="564">
        <v>40015</v>
      </c>
      <c r="I823" s="563">
        <v>85.8</v>
      </c>
      <c r="J823" s="563">
        <v>-85.8</v>
      </c>
      <c r="K823" s="582">
        <f t="shared" si="36"/>
        <v>0</v>
      </c>
      <c r="L823" s="563">
        <f t="shared" si="37"/>
        <v>0</v>
      </c>
      <c r="M823" s="563">
        <f t="shared" si="38"/>
        <v>94.38000000000001</v>
      </c>
      <c r="N823" s="580"/>
    </row>
    <row r="824" spans="4:16" x14ac:dyDescent="0.25">
      <c r="D824" s="559" t="s">
        <v>867</v>
      </c>
      <c r="E824" s="558">
        <v>100726</v>
      </c>
      <c r="F824" s="559">
        <v>102803</v>
      </c>
      <c r="G824" s="558" t="s">
        <v>4807</v>
      </c>
      <c r="H824" s="564">
        <v>40015</v>
      </c>
      <c r="I824" s="563">
        <v>1294.8</v>
      </c>
      <c r="J824" s="563">
        <v>-585</v>
      </c>
      <c r="K824" s="563">
        <f t="shared" si="36"/>
        <v>709.8</v>
      </c>
      <c r="L824" s="563">
        <f t="shared" si="37"/>
        <v>780.78</v>
      </c>
      <c r="M824" s="563">
        <f t="shared" si="38"/>
        <v>1424.28</v>
      </c>
      <c r="N824" s="580"/>
      <c r="O824" s="558"/>
      <c r="P824" s="564"/>
    </row>
    <row r="825" spans="4:16" x14ac:dyDescent="0.25">
      <c r="D825" s="559" t="s">
        <v>867</v>
      </c>
      <c r="E825" s="558">
        <v>100727</v>
      </c>
      <c r="F825" s="559">
        <v>102819</v>
      </c>
      <c r="G825" s="558" t="s">
        <v>4808</v>
      </c>
      <c r="H825" s="564">
        <v>40015</v>
      </c>
      <c r="I825" s="563">
        <v>3432</v>
      </c>
      <c r="J825" s="563">
        <v>-585</v>
      </c>
      <c r="K825" s="582">
        <f t="shared" si="36"/>
        <v>2847</v>
      </c>
      <c r="L825" s="563">
        <f t="shared" si="37"/>
        <v>3131.7000000000003</v>
      </c>
      <c r="M825" s="563">
        <f t="shared" si="38"/>
        <v>3775.2000000000003</v>
      </c>
      <c r="N825" s="580"/>
    </row>
    <row r="826" spans="4:16" x14ac:dyDescent="0.25">
      <c r="D826" s="559" t="s">
        <v>867</v>
      </c>
      <c r="E826" s="558">
        <v>100728</v>
      </c>
      <c r="F826" s="559">
        <v>102216</v>
      </c>
      <c r="G826" s="558" t="s">
        <v>4808</v>
      </c>
      <c r="H826" s="564">
        <v>40015</v>
      </c>
      <c r="I826" s="563">
        <v>50.7</v>
      </c>
      <c r="J826" s="563">
        <v>-50.7</v>
      </c>
      <c r="K826" s="563">
        <f t="shared" si="36"/>
        <v>0</v>
      </c>
      <c r="L826" s="563">
        <f t="shared" si="37"/>
        <v>0</v>
      </c>
      <c r="M826" s="563">
        <f t="shared" si="38"/>
        <v>55.77000000000001</v>
      </c>
      <c r="N826" s="580"/>
      <c r="O826" s="558"/>
      <c r="P826" s="564"/>
    </row>
    <row r="827" spans="4:16" x14ac:dyDescent="0.25">
      <c r="D827" s="559" t="s">
        <v>867</v>
      </c>
      <c r="E827" s="558">
        <v>100729</v>
      </c>
      <c r="F827" s="559">
        <v>100295</v>
      </c>
      <c r="G827" s="558" t="s">
        <v>4808</v>
      </c>
      <c r="H827" s="564">
        <v>40015</v>
      </c>
      <c r="I827" s="563">
        <v>50.7</v>
      </c>
      <c r="J827" s="563">
        <v>-50.7</v>
      </c>
      <c r="K827" s="563">
        <f t="shared" si="36"/>
        <v>0</v>
      </c>
      <c r="L827" s="563">
        <f t="shared" si="37"/>
        <v>0</v>
      </c>
      <c r="M827" s="563">
        <f t="shared" si="38"/>
        <v>55.77000000000001</v>
      </c>
      <c r="N827" s="580"/>
      <c r="O827" s="558"/>
      <c r="P827" s="564"/>
    </row>
    <row r="828" spans="4:16" x14ac:dyDescent="0.25">
      <c r="D828" s="559" t="s">
        <v>867</v>
      </c>
      <c r="E828" s="558">
        <v>100730</v>
      </c>
      <c r="F828" s="559">
        <v>102795</v>
      </c>
      <c r="G828" s="558" t="s">
        <v>4808</v>
      </c>
      <c r="H828" s="564">
        <v>40015</v>
      </c>
      <c r="I828" s="563">
        <v>50.7</v>
      </c>
      <c r="J828" s="563">
        <v>-50.7</v>
      </c>
      <c r="K828" s="582">
        <f t="shared" si="36"/>
        <v>0</v>
      </c>
      <c r="L828" s="563">
        <f t="shared" si="37"/>
        <v>0</v>
      </c>
      <c r="M828" s="563">
        <f t="shared" si="38"/>
        <v>55.77000000000001</v>
      </c>
      <c r="N828" s="580"/>
    </row>
    <row r="829" spans="4:16" x14ac:dyDescent="0.25">
      <c r="D829" s="559" t="s">
        <v>867</v>
      </c>
      <c r="E829" s="558">
        <v>100731</v>
      </c>
      <c r="F829" s="559">
        <v>102795</v>
      </c>
      <c r="G829" s="558" t="s">
        <v>4808</v>
      </c>
      <c r="H829" s="564">
        <v>40015</v>
      </c>
      <c r="I829" s="563">
        <v>1376.7</v>
      </c>
      <c r="J829" s="563">
        <v>-585</v>
      </c>
      <c r="K829" s="582">
        <f t="shared" si="36"/>
        <v>791.7</v>
      </c>
      <c r="L829" s="563">
        <f t="shared" si="37"/>
        <v>870.87000000000012</v>
      </c>
      <c r="M829" s="563">
        <f t="shared" si="38"/>
        <v>1514.3700000000001</v>
      </c>
      <c r="N829" s="580"/>
    </row>
    <row r="830" spans="4:16" x14ac:dyDescent="0.25">
      <c r="D830" s="559" t="s">
        <v>867</v>
      </c>
      <c r="E830" s="558">
        <v>100732</v>
      </c>
      <c r="F830" s="559">
        <v>101220</v>
      </c>
      <c r="G830" s="558" t="s">
        <v>4809</v>
      </c>
      <c r="H830" s="564">
        <v>40015</v>
      </c>
      <c r="I830" s="563">
        <v>1103.7</v>
      </c>
      <c r="J830" s="563">
        <v>-585</v>
      </c>
      <c r="K830" s="563">
        <f t="shared" si="36"/>
        <v>518.70000000000005</v>
      </c>
      <c r="L830" s="563">
        <f t="shared" si="37"/>
        <v>570.57000000000005</v>
      </c>
      <c r="M830" s="563">
        <f t="shared" si="38"/>
        <v>1214.0700000000002</v>
      </c>
      <c r="N830" s="580"/>
      <c r="O830" s="558"/>
      <c r="P830" s="564"/>
    </row>
    <row r="831" spans="4:16" x14ac:dyDescent="0.25">
      <c r="D831" s="559" t="s">
        <v>867</v>
      </c>
      <c r="E831" s="558">
        <v>100733</v>
      </c>
      <c r="F831" s="559">
        <v>101370</v>
      </c>
      <c r="G831" s="558" t="s">
        <v>4809</v>
      </c>
      <c r="H831" s="564">
        <v>40015</v>
      </c>
      <c r="I831" s="563">
        <v>1946.1</v>
      </c>
      <c r="J831" s="563">
        <v>-585</v>
      </c>
      <c r="K831" s="582">
        <f t="shared" si="36"/>
        <v>1361.1</v>
      </c>
      <c r="L831" s="563">
        <f t="shared" si="37"/>
        <v>1497.21</v>
      </c>
      <c r="M831" s="563">
        <f t="shared" si="38"/>
        <v>2140.71</v>
      </c>
      <c r="N831" s="580"/>
    </row>
    <row r="832" spans="4:16" x14ac:dyDescent="0.25">
      <c r="D832" s="559" t="s">
        <v>867</v>
      </c>
      <c r="E832" s="558">
        <v>100734</v>
      </c>
      <c r="F832" s="559">
        <v>102986</v>
      </c>
      <c r="G832" s="558" t="s">
        <v>4809</v>
      </c>
      <c r="H832" s="564">
        <v>40015</v>
      </c>
      <c r="I832" s="563">
        <v>31.2</v>
      </c>
      <c r="J832" s="563">
        <v>-31.2</v>
      </c>
      <c r="K832" s="582">
        <f t="shared" si="36"/>
        <v>0</v>
      </c>
      <c r="L832" s="563">
        <f t="shared" si="37"/>
        <v>0</v>
      </c>
      <c r="M832" s="563">
        <f t="shared" si="38"/>
        <v>34.32</v>
      </c>
      <c r="N832" s="580"/>
    </row>
    <row r="833" spans="4:16" x14ac:dyDescent="0.25">
      <c r="D833" s="559" t="s">
        <v>867</v>
      </c>
      <c r="E833" s="558">
        <v>100735</v>
      </c>
      <c r="F833" s="559">
        <v>102763</v>
      </c>
      <c r="G833" s="558" t="s">
        <v>4809</v>
      </c>
      <c r="H833" s="564">
        <v>40015</v>
      </c>
      <c r="I833" s="563">
        <v>31.2</v>
      </c>
      <c r="J833" s="563">
        <v>-31.2</v>
      </c>
      <c r="K833" s="582">
        <f t="shared" si="36"/>
        <v>0</v>
      </c>
      <c r="L833" s="563">
        <f t="shared" si="37"/>
        <v>0</v>
      </c>
      <c r="M833" s="563">
        <f t="shared" si="38"/>
        <v>34.32</v>
      </c>
      <c r="N833" s="580"/>
    </row>
    <row r="834" spans="4:16" x14ac:dyDescent="0.25">
      <c r="D834" s="559" t="s">
        <v>867</v>
      </c>
      <c r="E834" s="558">
        <v>100737</v>
      </c>
      <c r="F834" s="559">
        <v>102807</v>
      </c>
      <c r="G834" s="558" t="s">
        <v>4809</v>
      </c>
      <c r="H834" s="564">
        <v>40015</v>
      </c>
      <c r="I834" s="563">
        <v>990.6</v>
      </c>
      <c r="J834" s="563">
        <v>-585</v>
      </c>
      <c r="K834" s="582">
        <f t="shared" si="36"/>
        <v>405.6</v>
      </c>
      <c r="L834" s="563">
        <f t="shared" si="37"/>
        <v>446.16000000000008</v>
      </c>
      <c r="M834" s="563">
        <f t="shared" si="38"/>
        <v>1089.6600000000001</v>
      </c>
      <c r="N834" s="580"/>
    </row>
    <row r="835" spans="4:16" x14ac:dyDescent="0.25">
      <c r="D835" s="559" t="s">
        <v>867</v>
      </c>
      <c r="E835" s="558">
        <v>100738</v>
      </c>
      <c r="F835" s="559">
        <v>102978</v>
      </c>
      <c r="G835" s="558" t="s">
        <v>4810</v>
      </c>
      <c r="H835" s="564">
        <v>40015</v>
      </c>
      <c r="I835" s="563">
        <v>54.6</v>
      </c>
      <c r="J835" s="563">
        <v>-54.6</v>
      </c>
      <c r="K835" s="582">
        <f t="shared" si="36"/>
        <v>0</v>
      </c>
      <c r="L835" s="563">
        <f t="shared" si="37"/>
        <v>0</v>
      </c>
      <c r="M835" s="563">
        <f t="shared" si="38"/>
        <v>60.060000000000009</v>
      </c>
      <c r="N835" s="580"/>
    </row>
    <row r="836" spans="4:16" x14ac:dyDescent="0.25">
      <c r="D836" s="559" t="s">
        <v>867</v>
      </c>
      <c r="E836" s="558">
        <v>100739</v>
      </c>
      <c r="F836" s="559">
        <v>102931</v>
      </c>
      <c r="G836" s="558" t="s">
        <v>4810</v>
      </c>
      <c r="H836" s="564">
        <v>40015</v>
      </c>
      <c r="I836" s="563">
        <v>54.6</v>
      </c>
      <c r="J836" s="563">
        <v>-54.6</v>
      </c>
      <c r="K836" s="582">
        <f t="shared" si="36"/>
        <v>0</v>
      </c>
      <c r="L836" s="563">
        <f t="shared" si="37"/>
        <v>0</v>
      </c>
      <c r="M836" s="563">
        <f t="shared" si="38"/>
        <v>60.060000000000009</v>
      </c>
      <c r="N836" s="580"/>
    </row>
    <row r="837" spans="4:16" x14ac:dyDescent="0.25">
      <c r="D837" s="559" t="s">
        <v>867</v>
      </c>
      <c r="E837" s="558">
        <v>100744</v>
      </c>
      <c r="F837" s="559">
        <v>101573</v>
      </c>
      <c r="G837" s="558" t="s">
        <v>4810</v>
      </c>
      <c r="H837" s="564">
        <v>40015</v>
      </c>
      <c r="I837" s="563">
        <v>1255.8</v>
      </c>
      <c r="J837" s="563">
        <v>-585</v>
      </c>
      <c r="K837" s="563">
        <f t="shared" si="36"/>
        <v>670.8</v>
      </c>
      <c r="L837" s="563">
        <f t="shared" si="37"/>
        <v>737.88</v>
      </c>
      <c r="M837" s="563">
        <f t="shared" si="38"/>
        <v>1381.38</v>
      </c>
      <c r="N837" s="580"/>
      <c r="O837" s="558"/>
      <c r="P837" s="564"/>
    </row>
    <row r="838" spans="4:16" x14ac:dyDescent="0.25">
      <c r="D838" s="559" t="s">
        <v>867</v>
      </c>
      <c r="E838" s="558">
        <v>100745</v>
      </c>
      <c r="F838" s="559">
        <v>101633</v>
      </c>
      <c r="G838" s="558" t="s">
        <v>4810</v>
      </c>
      <c r="H838" s="564">
        <v>40015</v>
      </c>
      <c r="I838" s="563">
        <v>1279.2</v>
      </c>
      <c r="J838" s="563">
        <v>-585</v>
      </c>
      <c r="K838" s="563">
        <f t="shared" si="36"/>
        <v>694.2</v>
      </c>
      <c r="L838" s="563">
        <f t="shared" si="37"/>
        <v>763.62000000000012</v>
      </c>
      <c r="M838" s="563">
        <f t="shared" si="38"/>
        <v>1407.1200000000001</v>
      </c>
      <c r="N838" s="580"/>
      <c r="O838" s="558"/>
      <c r="P838" s="564"/>
    </row>
    <row r="839" spans="4:16" x14ac:dyDescent="0.25">
      <c r="D839" s="559" t="s">
        <v>867</v>
      </c>
      <c r="E839" s="558">
        <v>100746</v>
      </c>
      <c r="F839" s="559">
        <v>101008</v>
      </c>
      <c r="G839" s="558" t="s">
        <v>4810</v>
      </c>
      <c r="H839" s="564">
        <v>40015</v>
      </c>
      <c r="I839" s="563">
        <v>27.3</v>
      </c>
      <c r="J839" s="563">
        <v>-27.3</v>
      </c>
      <c r="K839" s="582">
        <f t="shared" si="36"/>
        <v>0</v>
      </c>
      <c r="L839" s="563">
        <f t="shared" si="37"/>
        <v>0</v>
      </c>
      <c r="M839" s="563">
        <f t="shared" si="38"/>
        <v>30.030000000000005</v>
      </c>
      <c r="N839" s="580"/>
    </row>
    <row r="840" spans="4:16" x14ac:dyDescent="0.25">
      <c r="D840" s="559" t="s">
        <v>867</v>
      </c>
      <c r="E840" s="558">
        <v>100748</v>
      </c>
      <c r="F840" s="559">
        <v>102827</v>
      </c>
      <c r="G840" s="558" t="s">
        <v>4811</v>
      </c>
      <c r="H840" s="564">
        <v>40015</v>
      </c>
      <c r="I840" s="563">
        <v>304.2</v>
      </c>
      <c r="J840" s="563">
        <v>-304.2</v>
      </c>
      <c r="K840" s="563">
        <f t="shared" si="36"/>
        <v>0</v>
      </c>
      <c r="L840" s="563">
        <f t="shared" si="37"/>
        <v>0</v>
      </c>
      <c r="M840" s="563">
        <f t="shared" si="38"/>
        <v>334.62</v>
      </c>
      <c r="N840" s="580"/>
      <c r="O840" s="558"/>
      <c r="P840" s="564"/>
    </row>
    <row r="841" spans="4:16" x14ac:dyDescent="0.25">
      <c r="D841" s="559" t="s">
        <v>867</v>
      </c>
      <c r="E841" s="558">
        <v>100749</v>
      </c>
      <c r="F841" s="559">
        <v>100476</v>
      </c>
      <c r="G841" s="558" t="s">
        <v>4811</v>
      </c>
      <c r="H841" s="564">
        <v>40015</v>
      </c>
      <c r="I841" s="563">
        <v>3159</v>
      </c>
      <c r="J841" s="563">
        <v>-585</v>
      </c>
      <c r="K841" s="563">
        <f t="shared" si="36"/>
        <v>2574</v>
      </c>
      <c r="L841" s="563">
        <f t="shared" si="37"/>
        <v>2831.4</v>
      </c>
      <c r="M841" s="563">
        <f t="shared" si="38"/>
        <v>3474.9</v>
      </c>
      <c r="N841" s="580"/>
      <c r="O841" s="558"/>
      <c r="P841" s="564"/>
    </row>
    <row r="842" spans="4:16" x14ac:dyDescent="0.25">
      <c r="D842" s="559" t="s">
        <v>867</v>
      </c>
      <c r="E842" s="558">
        <v>100750</v>
      </c>
      <c r="F842" s="559">
        <v>101394</v>
      </c>
      <c r="G842" s="558" t="s">
        <v>4811</v>
      </c>
      <c r="H842" s="564">
        <v>40015</v>
      </c>
      <c r="I842" s="563">
        <v>3127.8</v>
      </c>
      <c r="J842" s="563">
        <v>-585</v>
      </c>
      <c r="K842" s="563">
        <f t="shared" si="36"/>
        <v>2542.8000000000002</v>
      </c>
      <c r="L842" s="563">
        <f t="shared" si="37"/>
        <v>2797.0800000000004</v>
      </c>
      <c r="M842" s="563">
        <f t="shared" si="38"/>
        <v>3440.5800000000004</v>
      </c>
      <c r="N842" s="580"/>
      <c r="O842" s="558"/>
      <c r="P842" s="564"/>
    </row>
    <row r="843" spans="4:16" x14ac:dyDescent="0.25">
      <c r="D843" s="559" t="s">
        <v>867</v>
      </c>
      <c r="E843" s="558">
        <v>100751</v>
      </c>
      <c r="F843" s="559">
        <v>102686</v>
      </c>
      <c r="G843" s="558" t="s">
        <v>4811</v>
      </c>
      <c r="H843" s="564">
        <v>40015</v>
      </c>
      <c r="I843" s="563">
        <v>3166.8</v>
      </c>
      <c r="J843" s="563">
        <v>-585</v>
      </c>
      <c r="K843" s="563">
        <f t="shared" si="36"/>
        <v>2581.8000000000002</v>
      </c>
      <c r="L843" s="563">
        <f t="shared" si="37"/>
        <v>2839.9800000000005</v>
      </c>
      <c r="M843" s="563">
        <f t="shared" si="38"/>
        <v>3483.4800000000005</v>
      </c>
      <c r="N843" s="580"/>
      <c r="O843" s="558"/>
      <c r="P843" s="564"/>
    </row>
    <row r="844" spans="4:16" x14ac:dyDescent="0.25">
      <c r="D844" s="559" t="s">
        <v>867</v>
      </c>
      <c r="E844" s="558">
        <v>100752</v>
      </c>
      <c r="F844" s="559">
        <v>102920</v>
      </c>
      <c r="G844" s="558" t="s">
        <v>4811</v>
      </c>
      <c r="H844" s="564">
        <v>40015</v>
      </c>
      <c r="I844" s="563">
        <v>2226.9</v>
      </c>
      <c r="J844" s="563">
        <v>-585</v>
      </c>
      <c r="K844" s="563">
        <f t="shared" si="36"/>
        <v>1641.9</v>
      </c>
      <c r="L844" s="563">
        <f t="shared" si="37"/>
        <v>1806.0900000000001</v>
      </c>
      <c r="M844" s="563">
        <f t="shared" si="38"/>
        <v>2449.59</v>
      </c>
      <c r="N844" s="580"/>
      <c r="O844" s="558"/>
      <c r="P844" s="564"/>
    </row>
    <row r="845" spans="4:16" x14ac:dyDescent="0.25">
      <c r="D845" s="559" t="s">
        <v>867</v>
      </c>
      <c r="E845" s="558">
        <v>100753</v>
      </c>
      <c r="F845" s="559">
        <v>101768</v>
      </c>
      <c r="G845" s="558" t="s">
        <v>4812</v>
      </c>
      <c r="H845" s="564">
        <v>40015</v>
      </c>
      <c r="I845" s="563">
        <v>1407.9</v>
      </c>
      <c r="J845" s="563">
        <v>-585</v>
      </c>
      <c r="K845" s="563">
        <f t="shared" si="36"/>
        <v>822.90000000000009</v>
      </c>
      <c r="L845" s="563">
        <f t="shared" si="37"/>
        <v>905.19000000000017</v>
      </c>
      <c r="M845" s="563">
        <f t="shared" si="38"/>
        <v>1548.6900000000003</v>
      </c>
      <c r="N845" s="580"/>
      <c r="O845" s="558"/>
      <c r="P845" s="564"/>
    </row>
    <row r="846" spans="4:16" x14ac:dyDescent="0.25">
      <c r="D846" s="559" t="s">
        <v>867</v>
      </c>
      <c r="E846" s="558">
        <v>100754</v>
      </c>
      <c r="F846" s="559">
        <v>101638</v>
      </c>
      <c r="G846" s="558" t="s">
        <v>4812</v>
      </c>
      <c r="H846" s="564">
        <v>40015</v>
      </c>
      <c r="I846" s="563">
        <v>14.05</v>
      </c>
      <c r="J846" s="563">
        <v>-14.05</v>
      </c>
      <c r="K846" s="563">
        <f t="shared" si="36"/>
        <v>0</v>
      </c>
      <c r="L846" s="563">
        <f t="shared" si="37"/>
        <v>0</v>
      </c>
      <c r="M846" s="563">
        <f t="shared" si="38"/>
        <v>15.455000000000002</v>
      </c>
      <c r="N846" s="580"/>
      <c r="O846" s="558"/>
      <c r="P846" s="564"/>
    </row>
    <row r="847" spans="4:16" x14ac:dyDescent="0.25">
      <c r="D847" s="559" t="s">
        <v>867</v>
      </c>
      <c r="E847" s="558">
        <v>100755</v>
      </c>
      <c r="F847" s="559">
        <v>101008</v>
      </c>
      <c r="G847" s="558" t="s">
        <v>4812</v>
      </c>
      <c r="H847" s="564">
        <v>40015</v>
      </c>
      <c r="I847" s="563">
        <v>101.4</v>
      </c>
      <c r="J847" s="563">
        <v>-101.4</v>
      </c>
      <c r="K847" s="582">
        <f t="shared" si="36"/>
        <v>0</v>
      </c>
      <c r="L847" s="563">
        <f t="shared" si="37"/>
        <v>0</v>
      </c>
      <c r="M847" s="563">
        <f t="shared" si="38"/>
        <v>111.54000000000002</v>
      </c>
      <c r="N847" s="580"/>
    </row>
    <row r="848" spans="4:16" x14ac:dyDescent="0.25">
      <c r="D848" s="559" t="s">
        <v>867</v>
      </c>
      <c r="E848" s="558">
        <v>100756</v>
      </c>
      <c r="F848" s="559">
        <v>102810</v>
      </c>
      <c r="G848" s="558" t="s">
        <v>4812</v>
      </c>
      <c r="H848" s="564">
        <v>40015</v>
      </c>
      <c r="I848" s="563">
        <v>4017</v>
      </c>
      <c r="J848" s="563">
        <v>-585</v>
      </c>
      <c r="K848" s="582">
        <f t="shared" si="36"/>
        <v>3432</v>
      </c>
      <c r="L848" s="563">
        <f t="shared" si="37"/>
        <v>3775.2000000000003</v>
      </c>
      <c r="M848" s="563">
        <f t="shared" si="38"/>
        <v>4418.7000000000007</v>
      </c>
      <c r="N848" s="580"/>
    </row>
    <row r="849" spans="4:16" x14ac:dyDescent="0.25">
      <c r="D849" s="559" t="s">
        <v>867</v>
      </c>
      <c r="E849" s="558">
        <v>100757</v>
      </c>
      <c r="F849" s="559">
        <v>102824</v>
      </c>
      <c r="G849" s="558" t="s">
        <v>4812</v>
      </c>
      <c r="H849" s="564">
        <v>40015</v>
      </c>
      <c r="I849" s="563">
        <v>2145</v>
      </c>
      <c r="J849" s="563">
        <v>-585</v>
      </c>
      <c r="K849" s="582">
        <f t="shared" si="36"/>
        <v>1560</v>
      </c>
      <c r="L849" s="563">
        <f t="shared" si="37"/>
        <v>1716.0000000000002</v>
      </c>
      <c r="M849" s="563">
        <f t="shared" si="38"/>
        <v>2359.5</v>
      </c>
      <c r="N849" s="580"/>
    </row>
    <row r="850" spans="4:16" x14ac:dyDescent="0.25">
      <c r="D850" s="559" t="s">
        <v>867</v>
      </c>
      <c r="E850" s="558">
        <v>100758</v>
      </c>
      <c r="F850" s="559">
        <v>102937</v>
      </c>
      <c r="G850" s="558" t="s">
        <v>4813</v>
      </c>
      <c r="H850" s="564">
        <v>40015</v>
      </c>
      <c r="I850" s="563">
        <v>1322.1</v>
      </c>
      <c r="J850" s="563">
        <v>-585</v>
      </c>
      <c r="K850" s="563">
        <f t="shared" si="36"/>
        <v>737.09999999999991</v>
      </c>
      <c r="L850" s="563">
        <f t="shared" si="37"/>
        <v>810.81</v>
      </c>
      <c r="M850" s="563">
        <f t="shared" si="38"/>
        <v>1454.31</v>
      </c>
      <c r="N850" s="580"/>
      <c r="O850" s="558"/>
      <c r="P850" s="564"/>
    </row>
    <row r="851" spans="4:16" x14ac:dyDescent="0.25">
      <c r="D851" s="559" t="s">
        <v>867</v>
      </c>
      <c r="E851" s="558">
        <v>100759</v>
      </c>
      <c r="F851" s="559">
        <v>101382</v>
      </c>
      <c r="G851" s="558" t="s">
        <v>4813</v>
      </c>
      <c r="H851" s="564">
        <v>40015</v>
      </c>
      <c r="I851" s="563">
        <v>1270.5999999999999</v>
      </c>
      <c r="J851" s="563">
        <v>-585</v>
      </c>
      <c r="K851" s="563">
        <f t="shared" si="36"/>
        <v>685.59999999999991</v>
      </c>
      <c r="L851" s="563">
        <f t="shared" si="37"/>
        <v>754.16</v>
      </c>
      <c r="M851" s="563">
        <f t="shared" si="38"/>
        <v>1397.66</v>
      </c>
      <c r="N851" s="580"/>
      <c r="O851" s="558"/>
      <c r="P851" s="564"/>
    </row>
    <row r="852" spans="4:16" x14ac:dyDescent="0.25">
      <c r="D852" s="559" t="s">
        <v>867</v>
      </c>
      <c r="E852" s="558">
        <v>100760</v>
      </c>
      <c r="F852" s="559">
        <v>100434</v>
      </c>
      <c r="G852" s="558" t="s">
        <v>4813</v>
      </c>
      <c r="H852" s="564">
        <v>40015</v>
      </c>
      <c r="I852" s="563">
        <v>3166.8</v>
      </c>
      <c r="J852" s="563">
        <v>-585</v>
      </c>
      <c r="K852" s="563">
        <f t="shared" si="36"/>
        <v>2581.8000000000002</v>
      </c>
      <c r="L852" s="563">
        <f t="shared" si="37"/>
        <v>2839.9800000000005</v>
      </c>
      <c r="M852" s="563">
        <f t="shared" si="38"/>
        <v>3483.4800000000005</v>
      </c>
      <c r="N852" s="580"/>
      <c r="O852" s="558"/>
      <c r="P852" s="564"/>
    </row>
    <row r="853" spans="4:16" x14ac:dyDescent="0.25">
      <c r="D853" s="559" t="s">
        <v>867</v>
      </c>
      <c r="E853" s="558">
        <v>100762</v>
      </c>
      <c r="F853" s="559">
        <v>100111</v>
      </c>
      <c r="G853" s="558" t="s">
        <v>4813</v>
      </c>
      <c r="H853" s="564">
        <v>40015</v>
      </c>
      <c r="I853" s="563">
        <v>1817.4</v>
      </c>
      <c r="J853" s="563">
        <v>-585</v>
      </c>
      <c r="K853" s="563">
        <f t="shared" si="36"/>
        <v>1232.4000000000001</v>
      </c>
      <c r="L853" s="563">
        <f t="shared" si="37"/>
        <v>1355.64</v>
      </c>
      <c r="M853" s="563">
        <f t="shared" si="38"/>
        <v>1999.1400000000003</v>
      </c>
      <c r="N853" s="580"/>
      <c r="O853" s="558"/>
      <c r="P853" s="564"/>
    </row>
    <row r="854" spans="4:16" x14ac:dyDescent="0.25">
      <c r="D854" s="559" t="s">
        <v>867</v>
      </c>
      <c r="E854" s="558">
        <v>100763</v>
      </c>
      <c r="F854" s="559">
        <v>102954</v>
      </c>
      <c r="G854" s="558" t="s">
        <v>4813</v>
      </c>
      <c r="H854" s="564">
        <v>40015</v>
      </c>
      <c r="I854" s="563">
        <v>3311.1</v>
      </c>
      <c r="J854" s="563">
        <v>-585</v>
      </c>
      <c r="K854" s="582">
        <f t="shared" si="36"/>
        <v>2726.1</v>
      </c>
      <c r="L854" s="563">
        <f t="shared" si="37"/>
        <v>2998.71</v>
      </c>
      <c r="M854" s="563">
        <f t="shared" si="38"/>
        <v>3642.21</v>
      </c>
      <c r="N854" s="580"/>
    </row>
    <row r="855" spans="4:16" x14ac:dyDescent="0.25">
      <c r="D855" s="559" t="s">
        <v>867</v>
      </c>
      <c r="E855" s="558">
        <v>100764</v>
      </c>
      <c r="F855" s="559">
        <v>102961</v>
      </c>
      <c r="G855" s="558" t="s">
        <v>4814</v>
      </c>
      <c r="H855" s="564">
        <v>40015</v>
      </c>
      <c r="I855" s="563">
        <v>7468.5</v>
      </c>
      <c r="J855" s="563">
        <v>-585</v>
      </c>
      <c r="K855" s="582">
        <f t="shared" si="36"/>
        <v>6883.5</v>
      </c>
      <c r="L855" s="563">
        <f t="shared" si="37"/>
        <v>7571.85</v>
      </c>
      <c r="M855" s="563">
        <f t="shared" si="38"/>
        <v>8215.35</v>
      </c>
      <c r="N855" s="580"/>
    </row>
    <row r="856" spans="4:16" x14ac:dyDescent="0.25">
      <c r="D856" s="559" t="s">
        <v>867</v>
      </c>
      <c r="E856" s="558">
        <v>100765</v>
      </c>
      <c r="F856" s="559">
        <v>102975</v>
      </c>
      <c r="G856" s="558" t="s">
        <v>4814</v>
      </c>
      <c r="H856" s="564">
        <v>40015</v>
      </c>
      <c r="I856" s="563">
        <v>2535</v>
      </c>
      <c r="J856" s="563">
        <v>-585</v>
      </c>
      <c r="K856" s="563">
        <f t="shared" si="36"/>
        <v>1950</v>
      </c>
      <c r="L856" s="563">
        <f t="shared" si="37"/>
        <v>2145</v>
      </c>
      <c r="M856" s="563">
        <f t="shared" si="38"/>
        <v>2788.5</v>
      </c>
      <c r="N856" s="580"/>
      <c r="O856" s="558"/>
      <c r="P856" s="564"/>
    </row>
    <row r="857" spans="4:16" x14ac:dyDescent="0.25">
      <c r="D857" s="559" t="s">
        <v>867</v>
      </c>
      <c r="E857" s="558">
        <v>100767</v>
      </c>
      <c r="F857" s="559">
        <v>102793</v>
      </c>
      <c r="G857" s="558" t="s">
        <v>4814</v>
      </c>
      <c r="H857" s="564">
        <v>40015</v>
      </c>
      <c r="I857" s="563">
        <v>132.6</v>
      </c>
      <c r="J857" s="563">
        <v>-132.6</v>
      </c>
      <c r="K857" s="582">
        <f t="shared" si="36"/>
        <v>0</v>
      </c>
      <c r="L857" s="563">
        <f t="shared" si="37"/>
        <v>0</v>
      </c>
      <c r="M857" s="563">
        <f t="shared" si="38"/>
        <v>145.86000000000001</v>
      </c>
      <c r="N857" s="580"/>
    </row>
    <row r="858" spans="4:16" x14ac:dyDescent="0.25">
      <c r="D858" s="559" t="s">
        <v>867</v>
      </c>
      <c r="E858" s="558">
        <v>100768</v>
      </c>
      <c r="F858" s="559">
        <v>101701</v>
      </c>
      <c r="G858" s="558" t="s">
        <v>4814</v>
      </c>
      <c r="H858" s="564">
        <v>40015</v>
      </c>
      <c r="I858" s="563">
        <v>5307.9</v>
      </c>
      <c r="J858" s="563">
        <v>-585</v>
      </c>
      <c r="K858" s="563">
        <f t="shared" si="36"/>
        <v>4722.8999999999996</v>
      </c>
      <c r="L858" s="563">
        <f t="shared" si="37"/>
        <v>5195.1899999999996</v>
      </c>
      <c r="M858" s="563">
        <f t="shared" si="38"/>
        <v>5838.6900000000005</v>
      </c>
      <c r="N858" s="580"/>
      <c r="O858" s="558"/>
      <c r="P858" s="564"/>
    </row>
    <row r="859" spans="4:16" x14ac:dyDescent="0.25">
      <c r="D859" s="559" t="s">
        <v>867</v>
      </c>
      <c r="E859" s="558">
        <v>100770</v>
      </c>
      <c r="F859" s="559">
        <v>102824</v>
      </c>
      <c r="G859" s="558" t="s">
        <v>4814</v>
      </c>
      <c r="H859" s="564">
        <v>40015</v>
      </c>
      <c r="I859" s="563">
        <v>265.2</v>
      </c>
      <c r="J859" s="563">
        <v>-265.2</v>
      </c>
      <c r="K859" s="582">
        <f t="shared" si="36"/>
        <v>0</v>
      </c>
      <c r="L859" s="563">
        <f t="shared" si="37"/>
        <v>0</v>
      </c>
      <c r="M859" s="563">
        <f t="shared" si="38"/>
        <v>291.72000000000003</v>
      </c>
      <c r="N859" s="580"/>
    </row>
    <row r="860" spans="4:16" x14ac:dyDescent="0.25">
      <c r="D860" s="559" t="s">
        <v>867</v>
      </c>
      <c r="E860" s="558">
        <v>100773</v>
      </c>
      <c r="F860" s="559">
        <v>102893</v>
      </c>
      <c r="G860" s="558" t="s">
        <v>4815</v>
      </c>
      <c r="H860" s="564">
        <v>40015</v>
      </c>
      <c r="I860" s="563">
        <v>2207.4</v>
      </c>
      <c r="J860" s="563">
        <v>-585</v>
      </c>
      <c r="K860" s="582">
        <f t="shared" si="36"/>
        <v>1622.4</v>
      </c>
      <c r="L860" s="563">
        <f t="shared" si="37"/>
        <v>1784.6400000000003</v>
      </c>
      <c r="M860" s="563">
        <f t="shared" si="38"/>
        <v>2428.1400000000003</v>
      </c>
      <c r="N860" s="580"/>
    </row>
    <row r="861" spans="4:16" x14ac:dyDescent="0.25">
      <c r="D861" s="559" t="s">
        <v>867</v>
      </c>
      <c r="E861" s="558">
        <v>100774</v>
      </c>
      <c r="F861" s="559">
        <v>100422</v>
      </c>
      <c r="G861" s="558" t="s">
        <v>4815</v>
      </c>
      <c r="H861" s="564">
        <v>40015</v>
      </c>
      <c r="I861" s="563">
        <v>959.4</v>
      </c>
      <c r="J861" s="563">
        <v>-585</v>
      </c>
      <c r="K861" s="563">
        <f t="shared" si="36"/>
        <v>374.4</v>
      </c>
      <c r="L861" s="563">
        <f t="shared" si="37"/>
        <v>411.84000000000003</v>
      </c>
      <c r="M861" s="563">
        <f t="shared" si="38"/>
        <v>1055.3400000000001</v>
      </c>
      <c r="N861" s="580"/>
      <c r="O861" s="558"/>
      <c r="P861" s="564"/>
    </row>
    <row r="862" spans="4:16" x14ac:dyDescent="0.25">
      <c r="D862" s="559" t="s">
        <v>867</v>
      </c>
      <c r="E862" s="558">
        <v>100775</v>
      </c>
      <c r="F862" s="559">
        <v>102928</v>
      </c>
      <c r="G862" s="558" t="s">
        <v>4815</v>
      </c>
      <c r="H862" s="564">
        <v>40015</v>
      </c>
      <c r="I862" s="563">
        <v>1778.4</v>
      </c>
      <c r="J862" s="563">
        <v>-585</v>
      </c>
      <c r="K862" s="563">
        <f t="shared" si="36"/>
        <v>1193.4000000000001</v>
      </c>
      <c r="L862" s="563">
        <f t="shared" si="37"/>
        <v>1312.7400000000002</v>
      </c>
      <c r="M862" s="563">
        <f t="shared" si="38"/>
        <v>1956.2400000000002</v>
      </c>
      <c r="N862" s="580"/>
      <c r="O862" s="558"/>
      <c r="P862" s="564"/>
    </row>
    <row r="863" spans="4:16" x14ac:dyDescent="0.25">
      <c r="D863" s="559" t="s">
        <v>867</v>
      </c>
      <c r="E863" s="558">
        <v>100777</v>
      </c>
      <c r="F863" s="559">
        <v>101779</v>
      </c>
      <c r="G863" s="558" t="s">
        <v>4815</v>
      </c>
      <c r="H863" s="564">
        <v>40015</v>
      </c>
      <c r="I863" s="563">
        <v>2145</v>
      </c>
      <c r="J863" s="563">
        <v>-585</v>
      </c>
      <c r="K863" s="563">
        <f t="shared" si="36"/>
        <v>1560</v>
      </c>
      <c r="L863" s="563">
        <f t="shared" si="37"/>
        <v>1716.0000000000002</v>
      </c>
      <c r="M863" s="563">
        <f t="shared" si="38"/>
        <v>2359.5</v>
      </c>
      <c r="N863" s="580"/>
      <c r="O863" s="558"/>
      <c r="P863" s="564"/>
    </row>
    <row r="864" spans="4:16" x14ac:dyDescent="0.25">
      <c r="D864" s="559" t="s">
        <v>867</v>
      </c>
      <c r="E864" s="558">
        <v>100778</v>
      </c>
      <c r="F864" s="559">
        <v>100173</v>
      </c>
      <c r="G864" s="558" t="s">
        <v>4815</v>
      </c>
      <c r="H864" s="564">
        <v>40015</v>
      </c>
      <c r="I864" s="563">
        <v>4602</v>
      </c>
      <c r="J864" s="563">
        <v>-585</v>
      </c>
      <c r="K864" s="582">
        <f t="shared" si="36"/>
        <v>4017</v>
      </c>
      <c r="L864" s="563">
        <f t="shared" si="37"/>
        <v>4418.7000000000007</v>
      </c>
      <c r="M864" s="563">
        <f t="shared" si="38"/>
        <v>5062.2000000000007</v>
      </c>
      <c r="N864" s="580"/>
    </row>
    <row r="865" spans="4:16" x14ac:dyDescent="0.25">
      <c r="D865" s="559" t="s">
        <v>867</v>
      </c>
      <c r="E865" s="558">
        <v>100779</v>
      </c>
      <c r="F865" s="559">
        <v>100448</v>
      </c>
      <c r="G865" s="558" t="s">
        <v>4816</v>
      </c>
      <c r="H865" s="564">
        <v>40015</v>
      </c>
      <c r="I865" s="563">
        <v>6282.9</v>
      </c>
      <c r="J865" s="563">
        <v>-585</v>
      </c>
      <c r="K865" s="563">
        <f t="shared" si="36"/>
        <v>5697.9</v>
      </c>
      <c r="L865" s="563">
        <f t="shared" si="37"/>
        <v>6267.6900000000005</v>
      </c>
      <c r="M865" s="563">
        <f t="shared" si="38"/>
        <v>6911.1900000000005</v>
      </c>
      <c r="N865" s="580"/>
      <c r="O865" s="558"/>
      <c r="P865" s="564"/>
    </row>
    <row r="866" spans="4:16" x14ac:dyDescent="0.25">
      <c r="D866" s="559" t="s">
        <v>867</v>
      </c>
      <c r="E866" s="558">
        <v>100781</v>
      </c>
      <c r="F866" s="559">
        <v>101708</v>
      </c>
      <c r="G866" s="558" t="s">
        <v>4816</v>
      </c>
      <c r="H866" s="564">
        <v>40015</v>
      </c>
      <c r="I866" s="563">
        <v>2913.3</v>
      </c>
      <c r="J866" s="563">
        <v>-585</v>
      </c>
      <c r="K866" s="563">
        <f t="shared" si="36"/>
        <v>2328.3000000000002</v>
      </c>
      <c r="L866" s="563">
        <f t="shared" si="37"/>
        <v>2561.1300000000006</v>
      </c>
      <c r="M866" s="563">
        <f t="shared" si="38"/>
        <v>3204.6300000000006</v>
      </c>
      <c r="N866" s="580"/>
      <c r="O866" s="558"/>
      <c r="P866" s="564"/>
    </row>
    <row r="867" spans="4:16" x14ac:dyDescent="0.25">
      <c r="D867" s="559" t="s">
        <v>867</v>
      </c>
      <c r="E867" s="558">
        <v>100782</v>
      </c>
      <c r="F867" s="559">
        <v>100462</v>
      </c>
      <c r="G867" s="558" t="s">
        <v>4816</v>
      </c>
      <c r="H867" s="564">
        <v>40015</v>
      </c>
      <c r="I867" s="563">
        <v>2301</v>
      </c>
      <c r="J867" s="563">
        <v>-585</v>
      </c>
      <c r="K867" s="563">
        <f t="shared" si="36"/>
        <v>1716</v>
      </c>
      <c r="L867" s="563">
        <f t="shared" si="37"/>
        <v>1887.6000000000001</v>
      </c>
      <c r="M867" s="563">
        <f t="shared" si="38"/>
        <v>2531.1000000000004</v>
      </c>
      <c r="N867" s="580"/>
      <c r="O867" s="558"/>
      <c r="P867" s="564"/>
    </row>
    <row r="868" spans="4:16" x14ac:dyDescent="0.25">
      <c r="D868" s="559" t="s">
        <v>867</v>
      </c>
      <c r="E868" s="558">
        <v>100783</v>
      </c>
      <c r="F868" s="559">
        <v>101112</v>
      </c>
      <c r="G868" s="558" t="s">
        <v>4816</v>
      </c>
      <c r="H868" s="564">
        <v>40015</v>
      </c>
      <c r="I868" s="563">
        <v>6633.9</v>
      </c>
      <c r="J868" s="563">
        <v>-585</v>
      </c>
      <c r="K868" s="582">
        <f t="shared" si="36"/>
        <v>6048.9</v>
      </c>
      <c r="L868" s="563">
        <f t="shared" si="37"/>
        <v>6653.79</v>
      </c>
      <c r="M868" s="563">
        <f t="shared" si="38"/>
        <v>7297.29</v>
      </c>
      <c r="N868" s="580"/>
    </row>
    <row r="869" spans="4:16" x14ac:dyDescent="0.25">
      <c r="D869" s="559" t="s">
        <v>867</v>
      </c>
      <c r="E869" s="558">
        <v>100790</v>
      </c>
      <c r="F869" s="559">
        <v>101794</v>
      </c>
      <c r="G869" s="558" t="s">
        <v>4816</v>
      </c>
      <c r="H869" s="564">
        <v>40015</v>
      </c>
      <c r="I869" s="563">
        <v>507</v>
      </c>
      <c r="J869" s="563">
        <v>-507</v>
      </c>
      <c r="K869" s="563">
        <f t="shared" si="36"/>
        <v>0</v>
      </c>
      <c r="L869" s="563">
        <f t="shared" si="37"/>
        <v>0</v>
      </c>
      <c r="M869" s="563">
        <f t="shared" si="38"/>
        <v>557.70000000000005</v>
      </c>
      <c r="N869" s="580"/>
      <c r="O869" s="558"/>
      <c r="P869" s="564"/>
    </row>
    <row r="870" spans="4:16" x14ac:dyDescent="0.25">
      <c r="D870" s="559" t="s">
        <v>867</v>
      </c>
      <c r="E870" s="558">
        <v>100795</v>
      </c>
      <c r="F870" s="559">
        <v>100304</v>
      </c>
      <c r="G870" s="558" t="s">
        <v>955</v>
      </c>
      <c r="H870" s="564">
        <v>40015</v>
      </c>
      <c r="I870" s="563">
        <v>89.7</v>
      </c>
      <c r="J870" s="563">
        <v>-89.7</v>
      </c>
      <c r="K870" s="563">
        <f t="shared" si="36"/>
        <v>0</v>
      </c>
      <c r="L870" s="563">
        <f t="shared" si="37"/>
        <v>0</v>
      </c>
      <c r="M870" s="563">
        <f t="shared" si="38"/>
        <v>98.670000000000016</v>
      </c>
      <c r="N870" s="580"/>
      <c r="O870" s="558"/>
      <c r="P870" s="564"/>
    </row>
    <row r="871" spans="4:16" x14ac:dyDescent="0.25">
      <c r="D871" s="559" t="s">
        <v>867</v>
      </c>
      <c r="E871" s="558">
        <v>100796</v>
      </c>
      <c r="F871" s="559">
        <v>302401</v>
      </c>
      <c r="G871" s="558" t="s">
        <v>955</v>
      </c>
      <c r="H871" s="564">
        <v>40015</v>
      </c>
      <c r="I871" s="563">
        <v>89.7</v>
      </c>
      <c r="J871" s="563">
        <v>-89.7</v>
      </c>
      <c r="K871" s="582">
        <f t="shared" si="36"/>
        <v>0</v>
      </c>
      <c r="L871" s="563">
        <f t="shared" si="37"/>
        <v>0</v>
      </c>
      <c r="M871" s="563">
        <f t="shared" si="38"/>
        <v>98.670000000000016</v>
      </c>
      <c r="N871" s="580"/>
    </row>
    <row r="872" spans="4:16" x14ac:dyDescent="0.25">
      <c r="D872" s="559" t="s">
        <v>867</v>
      </c>
      <c r="E872" s="558">
        <v>100803</v>
      </c>
      <c r="F872" s="559">
        <v>102660</v>
      </c>
      <c r="G872" s="558" t="s">
        <v>955</v>
      </c>
      <c r="H872" s="564">
        <v>40015</v>
      </c>
      <c r="I872" s="563">
        <v>17.55</v>
      </c>
      <c r="J872" s="563">
        <v>-17.55</v>
      </c>
      <c r="K872" s="582">
        <f t="shared" si="36"/>
        <v>0</v>
      </c>
      <c r="L872" s="563">
        <f t="shared" si="37"/>
        <v>0</v>
      </c>
      <c r="M872" s="563">
        <f t="shared" si="38"/>
        <v>19.305000000000003</v>
      </c>
      <c r="N872" s="580"/>
    </row>
    <row r="873" spans="4:16" x14ac:dyDescent="0.25">
      <c r="D873" s="559" t="s">
        <v>867</v>
      </c>
      <c r="E873" s="558">
        <v>100804</v>
      </c>
      <c r="F873" s="559">
        <v>101392</v>
      </c>
      <c r="G873" s="558" t="s">
        <v>955</v>
      </c>
      <c r="H873" s="564">
        <v>40015</v>
      </c>
      <c r="I873" s="563">
        <v>39</v>
      </c>
      <c r="J873" s="563">
        <v>-39</v>
      </c>
      <c r="K873" s="563">
        <f t="shared" ref="K873:K936" si="39">+I873+J873</f>
        <v>0</v>
      </c>
      <c r="L873" s="563">
        <f t="shared" ref="L873:L936" si="40">+K873*1.1</f>
        <v>0</v>
      </c>
      <c r="M873" s="563">
        <f t="shared" ref="M873:M936" si="41">+I873*1.1</f>
        <v>42.900000000000006</v>
      </c>
      <c r="N873" s="580"/>
      <c r="O873" s="558"/>
      <c r="P873" s="564"/>
    </row>
    <row r="874" spans="4:16" x14ac:dyDescent="0.25">
      <c r="D874" s="559" t="s">
        <v>867</v>
      </c>
      <c r="E874" s="558">
        <v>100806</v>
      </c>
      <c r="F874" s="559">
        <v>102686</v>
      </c>
      <c r="G874" s="558" t="s">
        <v>4817</v>
      </c>
      <c r="H874" s="564">
        <v>40015</v>
      </c>
      <c r="I874" s="563">
        <v>2659.8</v>
      </c>
      <c r="J874" s="563">
        <v>-585</v>
      </c>
      <c r="K874" s="563">
        <f t="shared" si="39"/>
        <v>2074.8000000000002</v>
      </c>
      <c r="L874" s="563">
        <f t="shared" si="40"/>
        <v>2282.2800000000002</v>
      </c>
      <c r="M874" s="563">
        <f t="shared" si="41"/>
        <v>2925.7800000000007</v>
      </c>
      <c r="N874" s="580"/>
      <c r="O874" s="558"/>
      <c r="P874" s="564"/>
    </row>
    <row r="875" spans="4:16" x14ac:dyDescent="0.25">
      <c r="D875" s="559" t="s">
        <v>867</v>
      </c>
      <c r="E875" s="558">
        <v>100807</v>
      </c>
      <c r="F875" s="559">
        <v>101499</v>
      </c>
      <c r="G875" s="558" t="s">
        <v>4817</v>
      </c>
      <c r="H875" s="564">
        <v>40015</v>
      </c>
      <c r="I875" s="563">
        <v>1298.7</v>
      </c>
      <c r="J875" s="563">
        <v>-585</v>
      </c>
      <c r="K875" s="582">
        <f t="shared" si="39"/>
        <v>713.7</v>
      </c>
      <c r="L875" s="563">
        <f t="shared" si="40"/>
        <v>785.07000000000016</v>
      </c>
      <c r="M875" s="563">
        <f t="shared" si="41"/>
        <v>1428.5700000000002</v>
      </c>
      <c r="N875" s="580"/>
    </row>
    <row r="876" spans="4:16" x14ac:dyDescent="0.25">
      <c r="D876" s="559" t="s">
        <v>867</v>
      </c>
      <c r="E876" s="558">
        <v>100808</v>
      </c>
      <c r="F876" s="559">
        <v>102943</v>
      </c>
      <c r="G876" s="558" t="s">
        <v>4817</v>
      </c>
      <c r="H876" s="564">
        <v>40015</v>
      </c>
      <c r="I876" s="563">
        <v>12.5</v>
      </c>
      <c r="J876" s="563">
        <v>-12.5</v>
      </c>
      <c r="K876" s="582">
        <f t="shared" si="39"/>
        <v>0</v>
      </c>
      <c r="L876" s="563">
        <f t="shared" si="40"/>
        <v>0</v>
      </c>
      <c r="M876" s="563">
        <f t="shared" si="41"/>
        <v>13.750000000000002</v>
      </c>
      <c r="N876" s="580"/>
    </row>
    <row r="877" spans="4:16" x14ac:dyDescent="0.25">
      <c r="D877" s="559" t="s">
        <v>867</v>
      </c>
      <c r="E877" s="558">
        <v>100810</v>
      </c>
      <c r="F877" s="559">
        <v>102928</v>
      </c>
      <c r="G877" s="558" t="s">
        <v>4817</v>
      </c>
      <c r="H877" s="564">
        <v>40015</v>
      </c>
      <c r="I877" s="563">
        <v>25.35</v>
      </c>
      <c r="J877" s="563">
        <v>-25.35</v>
      </c>
      <c r="K877" s="563">
        <f t="shared" si="39"/>
        <v>0</v>
      </c>
      <c r="L877" s="563">
        <f t="shared" si="40"/>
        <v>0</v>
      </c>
      <c r="M877" s="563">
        <f t="shared" si="41"/>
        <v>27.885000000000005</v>
      </c>
      <c r="N877" s="580"/>
      <c r="O877" s="558"/>
      <c r="P877" s="564"/>
    </row>
    <row r="878" spans="4:16" x14ac:dyDescent="0.25">
      <c r="D878" s="559" t="s">
        <v>867</v>
      </c>
      <c r="E878" s="558">
        <v>100811</v>
      </c>
      <c r="F878" s="559">
        <v>100422</v>
      </c>
      <c r="G878" s="558" t="s">
        <v>4818</v>
      </c>
      <c r="H878" s="564">
        <v>40015</v>
      </c>
      <c r="I878" s="563">
        <v>25.35</v>
      </c>
      <c r="J878" s="563">
        <v>-25.35</v>
      </c>
      <c r="K878" s="563">
        <f t="shared" si="39"/>
        <v>0</v>
      </c>
      <c r="L878" s="563">
        <f t="shared" si="40"/>
        <v>0</v>
      </c>
      <c r="M878" s="563">
        <f t="shared" si="41"/>
        <v>27.885000000000005</v>
      </c>
      <c r="N878" s="580"/>
      <c r="O878" s="558"/>
      <c r="P878" s="564"/>
    </row>
    <row r="879" spans="4:16" x14ac:dyDescent="0.25">
      <c r="D879" s="559" t="s">
        <v>867</v>
      </c>
      <c r="E879" s="558">
        <v>100817</v>
      </c>
      <c r="F879" s="559">
        <v>303285</v>
      </c>
      <c r="G879" s="558" t="s">
        <v>4818</v>
      </c>
      <c r="H879" s="564">
        <v>40015</v>
      </c>
      <c r="I879" s="563">
        <v>3120</v>
      </c>
      <c r="J879" s="563">
        <v>-585</v>
      </c>
      <c r="K879" s="582">
        <f t="shared" si="39"/>
        <v>2535</v>
      </c>
      <c r="L879" s="563">
        <f t="shared" si="40"/>
        <v>2788.5</v>
      </c>
      <c r="M879" s="563">
        <f t="shared" si="41"/>
        <v>3432.0000000000005</v>
      </c>
      <c r="N879" s="580"/>
    </row>
    <row r="880" spans="4:16" x14ac:dyDescent="0.25">
      <c r="D880" s="559" t="s">
        <v>867</v>
      </c>
      <c r="E880" s="558">
        <v>100819</v>
      </c>
      <c r="F880" s="559">
        <v>100693</v>
      </c>
      <c r="G880" s="558" t="s">
        <v>4818</v>
      </c>
      <c r="H880" s="564">
        <v>40015</v>
      </c>
      <c r="I880" s="563">
        <v>2932.8</v>
      </c>
      <c r="J880" s="563">
        <v>-585</v>
      </c>
      <c r="K880" s="563">
        <f t="shared" si="39"/>
        <v>2347.8000000000002</v>
      </c>
      <c r="L880" s="563">
        <f t="shared" si="40"/>
        <v>2582.5800000000004</v>
      </c>
      <c r="M880" s="563">
        <f t="shared" si="41"/>
        <v>3226.0800000000004</v>
      </c>
      <c r="N880" s="580"/>
      <c r="O880" s="558"/>
      <c r="P880" s="564"/>
    </row>
    <row r="881" spans="4:16" x14ac:dyDescent="0.25">
      <c r="D881" s="559" t="s">
        <v>867</v>
      </c>
      <c r="E881" s="558">
        <v>100820</v>
      </c>
      <c r="F881" s="559">
        <v>101658</v>
      </c>
      <c r="G881" s="558" t="s">
        <v>4818</v>
      </c>
      <c r="H881" s="564">
        <v>40015</v>
      </c>
      <c r="I881" s="563">
        <v>4765.8</v>
      </c>
      <c r="J881" s="563">
        <v>-585</v>
      </c>
      <c r="K881" s="563">
        <f t="shared" si="39"/>
        <v>4180.8</v>
      </c>
      <c r="L881" s="563">
        <f t="shared" si="40"/>
        <v>4598.880000000001</v>
      </c>
      <c r="M881" s="563">
        <f t="shared" si="41"/>
        <v>5242.380000000001</v>
      </c>
      <c r="N881" s="580"/>
      <c r="O881" s="558"/>
      <c r="P881" s="564"/>
    </row>
    <row r="882" spans="4:16" x14ac:dyDescent="0.25">
      <c r="D882" s="559" t="s">
        <v>867</v>
      </c>
      <c r="E882" s="558">
        <v>100822</v>
      </c>
      <c r="F882" s="559">
        <v>102688</v>
      </c>
      <c r="G882" s="558" t="s">
        <v>4818</v>
      </c>
      <c r="H882" s="564">
        <v>40015</v>
      </c>
      <c r="I882" s="563">
        <v>624</v>
      </c>
      <c r="J882" s="563">
        <v>-585</v>
      </c>
      <c r="K882" s="563">
        <f t="shared" si="39"/>
        <v>39</v>
      </c>
      <c r="L882" s="563">
        <f t="shared" si="40"/>
        <v>42.900000000000006</v>
      </c>
      <c r="M882" s="563">
        <f t="shared" si="41"/>
        <v>686.40000000000009</v>
      </c>
      <c r="N882" s="580"/>
      <c r="O882" s="558"/>
      <c r="P882" s="564"/>
    </row>
    <row r="883" spans="4:16" x14ac:dyDescent="0.25">
      <c r="D883" s="559" t="s">
        <v>867</v>
      </c>
      <c r="E883" s="558">
        <v>100824</v>
      </c>
      <c r="F883" s="559">
        <v>100190</v>
      </c>
      <c r="G883" s="558" t="s">
        <v>4819</v>
      </c>
      <c r="H883" s="564">
        <v>40015</v>
      </c>
      <c r="I883" s="563">
        <v>159.9</v>
      </c>
      <c r="J883" s="563">
        <v>-159.9</v>
      </c>
      <c r="K883" s="582">
        <f t="shared" si="39"/>
        <v>0</v>
      </c>
      <c r="L883" s="563">
        <f t="shared" si="40"/>
        <v>0</v>
      </c>
      <c r="M883" s="563">
        <f t="shared" si="41"/>
        <v>175.89000000000001</v>
      </c>
      <c r="N883" s="580"/>
    </row>
    <row r="884" spans="4:16" x14ac:dyDescent="0.25">
      <c r="D884" s="559" t="s">
        <v>867</v>
      </c>
      <c r="E884" s="558">
        <v>100825</v>
      </c>
      <c r="F884" s="559">
        <v>102908</v>
      </c>
      <c r="G884" s="558" t="s">
        <v>4819</v>
      </c>
      <c r="H884" s="564">
        <v>40015</v>
      </c>
      <c r="I884" s="563">
        <v>159.9</v>
      </c>
      <c r="J884" s="563">
        <v>-159.9</v>
      </c>
      <c r="K884" s="582">
        <f t="shared" si="39"/>
        <v>0</v>
      </c>
      <c r="L884" s="563">
        <f t="shared" si="40"/>
        <v>0</v>
      </c>
      <c r="M884" s="563">
        <f t="shared" si="41"/>
        <v>175.89000000000001</v>
      </c>
      <c r="N884" s="580"/>
    </row>
    <row r="885" spans="4:16" x14ac:dyDescent="0.25">
      <c r="D885" s="559" t="s">
        <v>867</v>
      </c>
      <c r="E885" s="558">
        <v>100826</v>
      </c>
      <c r="F885" s="559">
        <v>102904</v>
      </c>
      <c r="G885" s="558" t="s">
        <v>4819</v>
      </c>
      <c r="H885" s="564">
        <v>40015</v>
      </c>
      <c r="I885" s="563">
        <v>159.9</v>
      </c>
      <c r="J885" s="563">
        <v>-159.9</v>
      </c>
      <c r="K885" s="563">
        <f t="shared" si="39"/>
        <v>0</v>
      </c>
      <c r="L885" s="563">
        <f t="shared" si="40"/>
        <v>0</v>
      </c>
      <c r="M885" s="563">
        <f t="shared" si="41"/>
        <v>175.89000000000001</v>
      </c>
      <c r="N885" s="580"/>
      <c r="O885" s="558"/>
      <c r="P885" s="564"/>
    </row>
    <row r="886" spans="4:16" x14ac:dyDescent="0.25">
      <c r="D886" s="559" t="s">
        <v>867</v>
      </c>
      <c r="E886" s="558">
        <v>100827</v>
      </c>
      <c r="F886" s="559">
        <v>102804</v>
      </c>
      <c r="G886" s="558" t="s">
        <v>4819</v>
      </c>
      <c r="H886" s="564">
        <v>40015</v>
      </c>
      <c r="I886" s="563">
        <v>159.9</v>
      </c>
      <c r="J886" s="563">
        <v>-159.9</v>
      </c>
      <c r="K886" s="582">
        <f t="shared" si="39"/>
        <v>0</v>
      </c>
      <c r="L886" s="563">
        <f t="shared" si="40"/>
        <v>0</v>
      </c>
      <c r="M886" s="563">
        <f t="shared" si="41"/>
        <v>175.89000000000001</v>
      </c>
      <c r="N886" s="580"/>
    </row>
    <row r="887" spans="4:16" x14ac:dyDescent="0.25">
      <c r="D887" s="559" t="s">
        <v>867</v>
      </c>
      <c r="E887" s="558">
        <v>100828</v>
      </c>
      <c r="F887" s="559">
        <v>102757</v>
      </c>
      <c r="G887" s="558" t="s">
        <v>4819</v>
      </c>
      <c r="H887" s="564">
        <v>40015</v>
      </c>
      <c r="I887" s="563">
        <v>6782.1</v>
      </c>
      <c r="J887" s="563">
        <v>-585</v>
      </c>
      <c r="K887" s="563">
        <f t="shared" si="39"/>
        <v>6197.1</v>
      </c>
      <c r="L887" s="563">
        <f t="shared" si="40"/>
        <v>6816.8100000000013</v>
      </c>
      <c r="M887" s="563">
        <f t="shared" si="41"/>
        <v>7460.3100000000013</v>
      </c>
      <c r="N887" s="580"/>
      <c r="O887" s="558"/>
      <c r="P887" s="564"/>
    </row>
    <row r="888" spans="4:16" x14ac:dyDescent="0.25">
      <c r="D888" s="559" t="s">
        <v>867</v>
      </c>
      <c r="E888" s="558">
        <v>100829</v>
      </c>
      <c r="F888" s="559">
        <v>102895</v>
      </c>
      <c r="G888" s="558" t="s">
        <v>4820</v>
      </c>
      <c r="H888" s="564">
        <v>40015</v>
      </c>
      <c r="I888" s="563">
        <v>5112.8999999999996</v>
      </c>
      <c r="J888" s="563">
        <v>-585</v>
      </c>
      <c r="K888" s="582">
        <f t="shared" si="39"/>
        <v>4527.8999999999996</v>
      </c>
      <c r="L888" s="563">
        <f t="shared" si="40"/>
        <v>4980.6899999999996</v>
      </c>
      <c r="M888" s="563">
        <f t="shared" si="41"/>
        <v>5624.19</v>
      </c>
      <c r="N888" s="580"/>
    </row>
    <row r="889" spans="4:16" x14ac:dyDescent="0.25">
      <c r="D889" s="559" t="s">
        <v>867</v>
      </c>
      <c r="E889" s="558">
        <v>100830</v>
      </c>
      <c r="F889" s="559">
        <v>101753</v>
      </c>
      <c r="G889" s="558" t="s">
        <v>4820</v>
      </c>
      <c r="H889" s="564">
        <v>40015</v>
      </c>
      <c r="I889" s="563">
        <v>2616.9</v>
      </c>
      <c r="J889" s="563">
        <v>-585</v>
      </c>
      <c r="K889" s="563">
        <f t="shared" si="39"/>
        <v>2031.9</v>
      </c>
      <c r="L889" s="563">
        <f t="shared" si="40"/>
        <v>2235.09</v>
      </c>
      <c r="M889" s="563">
        <f t="shared" si="41"/>
        <v>2878.59</v>
      </c>
      <c r="N889" s="580"/>
      <c r="O889" s="558"/>
      <c r="P889" s="564"/>
    </row>
    <row r="890" spans="4:16" x14ac:dyDescent="0.25">
      <c r="D890" s="559" t="s">
        <v>867</v>
      </c>
      <c r="E890" s="558">
        <v>100831</v>
      </c>
      <c r="F890" s="559">
        <v>100786</v>
      </c>
      <c r="G890" s="558" t="s">
        <v>4820</v>
      </c>
      <c r="H890" s="564">
        <v>40015</v>
      </c>
      <c r="I890" s="563">
        <v>3120</v>
      </c>
      <c r="J890" s="563">
        <v>-585</v>
      </c>
      <c r="K890" s="582">
        <f t="shared" si="39"/>
        <v>2535</v>
      </c>
      <c r="L890" s="563">
        <f t="shared" si="40"/>
        <v>2788.5</v>
      </c>
      <c r="M890" s="563">
        <f t="shared" si="41"/>
        <v>3432.0000000000005</v>
      </c>
      <c r="N890" s="580"/>
    </row>
    <row r="891" spans="4:16" x14ac:dyDescent="0.25">
      <c r="D891" s="559" t="s">
        <v>867</v>
      </c>
      <c r="E891" s="558">
        <v>100832</v>
      </c>
      <c r="F891" s="559">
        <v>100787</v>
      </c>
      <c r="G891" s="558" t="s">
        <v>4820</v>
      </c>
      <c r="H891" s="564">
        <v>40015</v>
      </c>
      <c r="I891" s="563">
        <v>159.9</v>
      </c>
      <c r="J891" s="563">
        <v>-159.9</v>
      </c>
      <c r="K891" s="582">
        <f t="shared" si="39"/>
        <v>0</v>
      </c>
      <c r="L891" s="563">
        <f t="shared" si="40"/>
        <v>0</v>
      </c>
      <c r="M891" s="563">
        <f t="shared" si="41"/>
        <v>175.89000000000001</v>
      </c>
      <c r="N891" s="580"/>
    </row>
    <row r="892" spans="4:16" x14ac:dyDescent="0.25">
      <c r="D892" s="559" t="s">
        <v>867</v>
      </c>
      <c r="E892" s="558">
        <v>100833</v>
      </c>
      <c r="F892" s="559">
        <v>100678</v>
      </c>
      <c r="G892" s="558" t="s">
        <v>4820</v>
      </c>
      <c r="H892" s="564">
        <v>40015</v>
      </c>
      <c r="I892" s="563">
        <v>3708.9</v>
      </c>
      <c r="J892" s="563">
        <v>-585</v>
      </c>
      <c r="K892" s="563">
        <f t="shared" si="39"/>
        <v>3123.9</v>
      </c>
      <c r="L892" s="563">
        <f t="shared" si="40"/>
        <v>3436.2900000000004</v>
      </c>
      <c r="M892" s="563">
        <f t="shared" si="41"/>
        <v>4079.7900000000004</v>
      </c>
      <c r="N892" s="580"/>
      <c r="O892" s="558"/>
      <c r="P892" s="564"/>
    </row>
    <row r="893" spans="4:16" x14ac:dyDescent="0.25">
      <c r="D893" s="559" t="s">
        <v>867</v>
      </c>
      <c r="E893" s="558">
        <v>100836</v>
      </c>
      <c r="F893" s="559">
        <v>100631</v>
      </c>
      <c r="G893" s="558" t="s">
        <v>4821</v>
      </c>
      <c r="H893" s="564">
        <v>40015</v>
      </c>
      <c r="I893" s="563">
        <v>234</v>
      </c>
      <c r="J893" s="563">
        <v>-234</v>
      </c>
      <c r="K893" s="563">
        <f t="shared" si="39"/>
        <v>0</v>
      </c>
      <c r="L893" s="563">
        <f t="shared" si="40"/>
        <v>0</v>
      </c>
      <c r="M893" s="563">
        <f t="shared" si="41"/>
        <v>257.40000000000003</v>
      </c>
      <c r="N893" s="580"/>
      <c r="O893" s="558"/>
      <c r="P893" s="564"/>
    </row>
    <row r="894" spans="4:16" x14ac:dyDescent="0.25">
      <c r="D894" s="559" t="s">
        <v>867</v>
      </c>
      <c r="E894" s="558">
        <v>100837</v>
      </c>
      <c r="F894" s="559">
        <v>102944</v>
      </c>
      <c r="G894" s="558" t="s">
        <v>4821</v>
      </c>
      <c r="H894" s="564">
        <v>40015</v>
      </c>
      <c r="I894" s="563">
        <v>2340</v>
      </c>
      <c r="J894" s="563">
        <v>-585</v>
      </c>
      <c r="K894" s="582">
        <f t="shared" si="39"/>
        <v>1755</v>
      </c>
      <c r="L894" s="563">
        <f t="shared" si="40"/>
        <v>1930.5000000000002</v>
      </c>
      <c r="M894" s="563">
        <f t="shared" si="41"/>
        <v>2574</v>
      </c>
      <c r="N894" s="580"/>
    </row>
    <row r="895" spans="4:16" x14ac:dyDescent="0.25">
      <c r="D895" s="559" t="s">
        <v>867</v>
      </c>
      <c r="E895" s="558">
        <v>100838</v>
      </c>
      <c r="F895" s="559">
        <v>101197</v>
      </c>
      <c r="G895" s="558" t="s">
        <v>4821</v>
      </c>
      <c r="H895" s="564">
        <v>40015</v>
      </c>
      <c r="I895" s="563">
        <v>5023.2</v>
      </c>
      <c r="J895" s="563">
        <v>-585</v>
      </c>
      <c r="K895" s="582">
        <f t="shared" si="39"/>
        <v>4438.2</v>
      </c>
      <c r="L895" s="563">
        <f t="shared" si="40"/>
        <v>4882.0200000000004</v>
      </c>
      <c r="M895" s="563">
        <f t="shared" si="41"/>
        <v>5525.52</v>
      </c>
      <c r="N895" s="580"/>
    </row>
    <row r="896" spans="4:16" x14ac:dyDescent="0.25">
      <c r="D896" s="559" t="s">
        <v>867</v>
      </c>
      <c r="E896" s="558">
        <v>100839</v>
      </c>
      <c r="F896" s="559">
        <v>102661</v>
      </c>
      <c r="G896" s="558" t="s">
        <v>4821</v>
      </c>
      <c r="H896" s="564">
        <v>40015</v>
      </c>
      <c r="I896" s="563">
        <v>4902.3</v>
      </c>
      <c r="J896" s="563">
        <v>-585</v>
      </c>
      <c r="K896" s="563">
        <f t="shared" si="39"/>
        <v>4317.3</v>
      </c>
      <c r="L896" s="563">
        <f t="shared" si="40"/>
        <v>4749.0300000000007</v>
      </c>
      <c r="M896" s="563">
        <f t="shared" si="41"/>
        <v>5392.5300000000007</v>
      </c>
      <c r="N896" s="580"/>
      <c r="O896" s="558"/>
      <c r="P896" s="564"/>
    </row>
    <row r="897" spans="4:16" x14ac:dyDescent="0.25">
      <c r="D897" s="559" t="s">
        <v>867</v>
      </c>
      <c r="E897" s="558">
        <v>100841</v>
      </c>
      <c r="F897" s="559">
        <v>101040</v>
      </c>
      <c r="G897" s="558" t="s">
        <v>4821</v>
      </c>
      <c r="H897" s="564">
        <v>40015</v>
      </c>
      <c r="I897" s="563">
        <v>3525.6</v>
      </c>
      <c r="J897" s="563">
        <v>-585</v>
      </c>
      <c r="K897" s="582">
        <f t="shared" si="39"/>
        <v>2940.6</v>
      </c>
      <c r="L897" s="563">
        <f t="shared" si="40"/>
        <v>3234.6600000000003</v>
      </c>
      <c r="M897" s="563">
        <f t="shared" si="41"/>
        <v>3878.1600000000003</v>
      </c>
      <c r="N897" s="580"/>
    </row>
    <row r="898" spans="4:16" x14ac:dyDescent="0.25">
      <c r="D898" s="559" t="s">
        <v>867</v>
      </c>
      <c r="E898" s="558">
        <v>100842</v>
      </c>
      <c r="F898" s="559">
        <v>100779</v>
      </c>
      <c r="G898" s="558" t="s">
        <v>4822</v>
      </c>
      <c r="H898" s="564">
        <v>40015</v>
      </c>
      <c r="I898" s="563">
        <v>5892.9</v>
      </c>
      <c r="J898" s="563">
        <v>-585</v>
      </c>
      <c r="K898" s="563">
        <f t="shared" si="39"/>
        <v>5307.9</v>
      </c>
      <c r="L898" s="563">
        <f t="shared" si="40"/>
        <v>5838.6900000000005</v>
      </c>
      <c r="M898" s="563">
        <f t="shared" si="41"/>
        <v>6482.1900000000005</v>
      </c>
      <c r="N898" s="580"/>
      <c r="O898" s="558"/>
      <c r="P898" s="564"/>
    </row>
    <row r="899" spans="4:16" x14ac:dyDescent="0.25">
      <c r="D899" s="559" t="s">
        <v>867</v>
      </c>
      <c r="E899" s="558">
        <v>100843</v>
      </c>
      <c r="F899" s="559">
        <v>102692</v>
      </c>
      <c r="G899" s="558" t="s">
        <v>4822</v>
      </c>
      <c r="H899" s="564">
        <v>40015</v>
      </c>
      <c r="I899" s="563">
        <v>4648.8</v>
      </c>
      <c r="J899" s="563">
        <v>-585</v>
      </c>
      <c r="K899" s="563">
        <f t="shared" si="39"/>
        <v>4063.8</v>
      </c>
      <c r="L899" s="563">
        <f t="shared" si="40"/>
        <v>4470.18</v>
      </c>
      <c r="M899" s="563">
        <f t="shared" si="41"/>
        <v>5113.68</v>
      </c>
      <c r="N899" s="580"/>
      <c r="O899" s="558"/>
      <c r="P899" s="564"/>
    </row>
    <row r="900" spans="4:16" x14ac:dyDescent="0.25">
      <c r="D900" s="559" t="s">
        <v>867</v>
      </c>
      <c r="E900" s="558">
        <v>100845</v>
      </c>
      <c r="F900" s="559">
        <v>102938</v>
      </c>
      <c r="G900" s="558" t="s">
        <v>4822</v>
      </c>
      <c r="H900" s="564">
        <v>40015</v>
      </c>
      <c r="I900" s="563">
        <v>3790.8</v>
      </c>
      <c r="J900" s="563">
        <v>-585</v>
      </c>
      <c r="K900" s="563">
        <f t="shared" si="39"/>
        <v>3205.8</v>
      </c>
      <c r="L900" s="563">
        <f t="shared" si="40"/>
        <v>3526.3800000000006</v>
      </c>
      <c r="M900" s="563">
        <f t="shared" si="41"/>
        <v>4169.88</v>
      </c>
      <c r="N900" s="580"/>
      <c r="O900" s="558"/>
      <c r="P900" s="564"/>
    </row>
    <row r="901" spans="4:16" x14ac:dyDescent="0.25">
      <c r="D901" s="559" t="s">
        <v>867</v>
      </c>
      <c r="E901" s="558">
        <v>100846</v>
      </c>
      <c r="F901" s="559">
        <v>101118</v>
      </c>
      <c r="G901" s="558" t="s">
        <v>4822</v>
      </c>
      <c r="H901" s="564">
        <v>40015</v>
      </c>
      <c r="I901" s="563">
        <v>2343.9</v>
      </c>
      <c r="J901" s="563">
        <v>-585</v>
      </c>
      <c r="K901" s="563">
        <f t="shared" si="39"/>
        <v>1758.9</v>
      </c>
      <c r="L901" s="563">
        <f t="shared" si="40"/>
        <v>1934.7900000000002</v>
      </c>
      <c r="M901" s="563">
        <f t="shared" si="41"/>
        <v>2578.2900000000004</v>
      </c>
      <c r="N901" s="580"/>
      <c r="O901" s="558"/>
      <c r="P901" s="564"/>
    </row>
    <row r="902" spans="4:16" x14ac:dyDescent="0.25">
      <c r="D902" s="559" t="s">
        <v>867</v>
      </c>
      <c r="E902" s="558">
        <v>100851</v>
      </c>
      <c r="F902" s="559">
        <v>101289</v>
      </c>
      <c r="G902" s="558" t="s">
        <v>4822</v>
      </c>
      <c r="H902" s="564">
        <v>40015</v>
      </c>
      <c r="I902" s="563">
        <v>2347.8000000000002</v>
      </c>
      <c r="J902" s="563">
        <v>-585</v>
      </c>
      <c r="K902" s="563">
        <f t="shared" si="39"/>
        <v>1762.8000000000002</v>
      </c>
      <c r="L902" s="563">
        <f t="shared" si="40"/>
        <v>1939.0800000000004</v>
      </c>
      <c r="M902" s="563">
        <f t="shared" si="41"/>
        <v>2582.5800000000004</v>
      </c>
      <c r="N902" s="580"/>
      <c r="O902" s="558"/>
      <c r="P902" s="564"/>
    </row>
    <row r="903" spans="4:16" x14ac:dyDescent="0.25">
      <c r="D903" s="559" t="s">
        <v>867</v>
      </c>
      <c r="E903" s="558">
        <v>100852</v>
      </c>
      <c r="F903" s="559">
        <v>100454</v>
      </c>
      <c r="G903" s="558" t="s">
        <v>4823</v>
      </c>
      <c r="H903" s="564">
        <v>40015</v>
      </c>
      <c r="I903" s="563">
        <v>5623.8</v>
      </c>
      <c r="J903" s="563">
        <v>-585</v>
      </c>
      <c r="K903" s="563">
        <f t="shared" si="39"/>
        <v>5038.8</v>
      </c>
      <c r="L903" s="563">
        <f t="shared" si="40"/>
        <v>5542.68</v>
      </c>
      <c r="M903" s="563">
        <f t="shared" si="41"/>
        <v>6186.18</v>
      </c>
      <c r="N903" s="580"/>
      <c r="O903" s="558"/>
      <c r="P903" s="564"/>
    </row>
    <row r="904" spans="4:16" x14ac:dyDescent="0.25">
      <c r="D904" s="559" t="s">
        <v>867</v>
      </c>
      <c r="E904" s="558">
        <v>100853</v>
      </c>
      <c r="F904" s="559">
        <v>100438</v>
      </c>
      <c r="G904" s="558" t="s">
        <v>4823</v>
      </c>
      <c r="H904" s="564">
        <v>40015</v>
      </c>
      <c r="I904" s="563">
        <v>3283.8</v>
      </c>
      <c r="J904" s="563">
        <v>-585</v>
      </c>
      <c r="K904" s="563">
        <f t="shared" si="39"/>
        <v>2698.8</v>
      </c>
      <c r="L904" s="563">
        <f t="shared" si="40"/>
        <v>2968.6800000000003</v>
      </c>
      <c r="M904" s="563">
        <f t="shared" si="41"/>
        <v>3612.1800000000003</v>
      </c>
      <c r="N904" s="580"/>
      <c r="O904" s="558"/>
      <c r="P904" s="564"/>
    </row>
    <row r="905" spans="4:16" x14ac:dyDescent="0.25">
      <c r="D905" s="559" t="s">
        <v>867</v>
      </c>
      <c r="E905" s="558">
        <v>100854</v>
      </c>
      <c r="F905" s="559">
        <v>100622</v>
      </c>
      <c r="G905" s="558" t="s">
        <v>4823</v>
      </c>
      <c r="H905" s="564">
        <v>40015</v>
      </c>
      <c r="I905" s="563">
        <v>4726.8</v>
      </c>
      <c r="J905" s="563">
        <v>-585</v>
      </c>
      <c r="K905" s="563">
        <f t="shared" si="39"/>
        <v>4141.8</v>
      </c>
      <c r="L905" s="563">
        <f t="shared" si="40"/>
        <v>4555.9800000000005</v>
      </c>
      <c r="M905" s="563">
        <f t="shared" si="41"/>
        <v>5199.4800000000005</v>
      </c>
      <c r="N905" s="580"/>
      <c r="O905" s="558"/>
      <c r="P905" s="564"/>
    </row>
    <row r="906" spans="4:16" x14ac:dyDescent="0.25">
      <c r="D906" s="559" t="s">
        <v>867</v>
      </c>
      <c r="E906" s="558">
        <v>100855</v>
      </c>
      <c r="F906" s="559">
        <v>102940</v>
      </c>
      <c r="G906" s="558" t="s">
        <v>4823</v>
      </c>
      <c r="H906" s="564">
        <v>40015</v>
      </c>
      <c r="I906" s="563">
        <v>2932.8</v>
      </c>
      <c r="J906" s="563">
        <v>-585</v>
      </c>
      <c r="K906" s="582">
        <f t="shared" si="39"/>
        <v>2347.8000000000002</v>
      </c>
      <c r="L906" s="563">
        <f t="shared" si="40"/>
        <v>2582.5800000000004</v>
      </c>
      <c r="M906" s="563">
        <f t="shared" si="41"/>
        <v>3226.0800000000004</v>
      </c>
      <c r="N906" s="580"/>
    </row>
    <row r="907" spans="4:16" x14ac:dyDescent="0.25">
      <c r="D907" s="559" t="s">
        <v>867</v>
      </c>
      <c r="E907" s="558">
        <v>100856</v>
      </c>
      <c r="F907" s="559">
        <v>101500</v>
      </c>
      <c r="G907" s="558" t="s">
        <v>4823</v>
      </c>
      <c r="H907" s="564">
        <v>40015</v>
      </c>
      <c r="I907" s="563">
        <v>4453.8</v>
      </c>
      <c r="J907" s="563">
        <v>-585</v>
      </c>
      <c r="K907" s="563">
        <f t="shared" si="39"/>
        <v>3868.8</v>
      </c>
      <c r="L907" s="563">
        <f t="shared" si="40"/>
        <v>4255.68</v>
      </c>
      <c r="M907" s="563">
        <f t="shared" si="41"/>
        <v>4899.18</v>
      </c>
      <c r="N907" s="580"/>
      <c r="O907" s="558"/>
      <c r="P907" s="564"/>
    </row>
    <row r="908" spans="4:16" x14ac:dyDescent="0.25">
      <c r="D908" s="559" t="s">
        <v>867</v>
      </c>
      <c r="E908" s="558">
        <v>100857</v>
      </c>
      <c r="F908" s="559">
        <v>100485</v>
      </c>
      <c r="G908" s="558" t="s">
        <v>4824</v>
      </c>
      <c r="H908" s="564">
        <v>40015</v>
      </c>
      <c r="I908" s="563">
        <v>3556.8</v>
      </c>
      <c r="J908" s="563">
        <v>-585</v>
      </c>
      <c r="K908" s="563">
        <f t="shared" si="39"/>
        <v>2971.8</v>
      </c>
      <c r="L908" s="563">
        <f t="shared" si="40"/>
        <v>3268.9800000000005</v>
      </c>
      <c r="M908" s="563">
        <f t="shared" si="41"/>
        <v>3912.4800000000005</v>
      </c>
      <c r="N908" s="580"/>
      <c r="O908" s="558"/>
      <c r="P908" s="564"/>
    </row>
    <row r="909" spans="4:16" x14ac:dyDescent="0.25">
      <c r="D909" s="559" t="s">
        <v>867</v>
      </c>
      <c r="E909" s="558">
        <v>100858</v>
      </c>
      <c r="F909" s="559">
        <v>102585</v>
      </c>
      <c r="G909" s="558" t="s">
        <v>4824</v>
      </c>
      <c r="H909" s="564">
        <v>40015</v>
      </c>
      <c r="I909" s="563">
        <v>163.80000000000001</v>
      </c>
      <c r="J909" s="563">
        <v>-163.80000000000001</v>
      </c>
      <c r="K909" s="582">
        <f t="shared" si="39"/>
        <v>0</v>
      </c>
      <c r="L909" s="563">
        <f t="shared" si="40"/>
        <v>0</v>
      </c>
      <c r="M909" s="563">
        <f t="shared" si="41"/>
        <v>180.18000000000004</v>
      </c>
      <c r="N909" s="580"/>
    </row>
    <row r="910" spans="4:16" x14ac:dyDescent="0.25">
      <c r="D910" s="559" t="s">
        <v>867</v>
      </c>
      <c r="E910" s="558">
        <v>100859</v>
      </c>
      <c r="F910" s="559">
        <v>102551</v>
      </c>
      <c r="G910" s="558" t="s">
        <v>4824</v>
      </c>
      <c r="H910" s="564">
        <v>40015</v>
      </c>
      <c r="I910" s="563">
        <v>4882.8</v>
      </c>
      <c r="J910" s="563">
        <v>-585</v>
      </c>
      <c r="K910" s="582">
        <f t="shared" si="39"/>
        <v>4297.8</v>
      </c>
      <c r="L910" s="563">
        <f t="shared" si="40"/>
        <v>4727.5800000000008</v>
      </c>
      <c r="M910" s="563">
        <f t="shared" si="41"/>
        <v>5371.0800000000008</v>
      </c>
      <c r="N910" s="580"/>
    </row>
    <row r="911" spans="4:16" x14ac:dyDescent="0.25">
      <c r="D911" s="559" t="s">
        <v>867</v>
      </c>
      <c r="E911" s="558">
        <v>100861</v>
      </c>
      <c r="F911" s="559">
        <v>102215</v>
      </c>
      <c r="G911" s="558" t="s">
        <v>4824</v>
      </c>
      <c r="H911" s="564">
        <v>40015</v>
      </c>
      <c r="I911" s="563">
        <v>4531.8</v>
      </c>
      <c r="J911" s="563">
        <v>-585</v>
      </c>
      <c r="K911" s="563">
        <f t="shared" si="39"/>
        <v>3946.8</v>
      </c>
      <c r="L911" s="563">
        <f t="shared" si="40"/>
        <v>4341.4800000000005</v>
      </c>
      <c r="M911" s="563">
        <f t="shared" si="41"/>
        <v>4984.9800000000005</v>
      </c>
      <c r="N911" s="580"/>
      <c r="O911" s="558"/>
      <c r="P911" s="564"/>
    </row>
    <row r="912" spans="4:16" x14ac:dyDescent="0.25">
      <c r="D912" s="559" t="s">
        <v>867</v>
      </c>
      <c r="E912" s="558">
        <v>100862</v>
      </c>
      <c r="F912" s="559">
        <v>102816</v>
      </c>
      <c r="G912" s="558" t="s">
        <v>4824</v>
      </c>
      <c r="H912" s="564">
        <v>40015</v>
      </c>
      <c r="I912" s="563">
        <v>3264.3</v>
      </c>
      <c r="J912" s="563">
        <v>-585</v>
      </c>
      <c r="K912" s="563">
        <f t="shared" si="39"/>
        <v>2679.3</v>
      </c>
      <c r="L912" s="563">
        <f t="shared" si="40"/>
        <v>2947.2300000000005</v>
      </c>
      <c r="M912" s="563">
        <f t="shared" si="41"/>
        <v>3590.7300000000005</v>
      </c>
      <c r="N912" s="580"/>
      <c r="O912" s="558"/>
      <c r="P912" s="564"/>
    </row>
    <row r="913" spans="4:16" x14ac:dyDescent="0.25">
      <c r="D913" s="559" t="s">
        <v>867</v>
      </c>
      <c r="E913" s="558">
        <v>100865</v>
      </c>
      <c r="F913" s="559">
        <v>101755</v>
      </c>
      <c r="G913" s="558" t="s">
        <v>4825</v>
      </c>
      <c r="H913" s="564">
        <v>40015</v>
      </c>
      <c r="I913" s="563">
        <v>6006</v>
      </c>
      <c r="J913" s="563">
        <v>-585</v>
      </c>
      <c r="K913" s="563">
        <f t="shared" si="39"/>
        <v>5421</v>
      </c>
      <c r="L913" s="563">
        <f t="shared" si="40"/>
        <v>5963.1</v>
      </c>
      <c r="M913" s="563">
        <f t="shared" si="41"/>
        <v>6606.6</v>
      </c>
      <c r="N913" s="580"/>
      <c r="O913" s="558"/>
      <c r="P913" s="564"/>
    </row>
    <row r="914" spans="4:16" x14ac:dyDescent="0.25">
      <c r="D914" s="559" t="s">
        <v>867</v>
      </c>
      <c r="E914" s="558">
        <v>100866</v>
      </c>
      <c r="F914" s="559">
        <v>102907</v>
      </c>
      <c r="G914" s="558" t="s">
        <v>4825</v>
      </c>
      <c r="H914" s="564">
        <v>40015</v>
      </c>
      <c r="I914" s="563">
        <v>3205.8</v>
      </c>
      <c r="J914" s="563">
        <v>-585</v>
      </c>
      <c r="K914" s="582">
        <f t="shared" si="39"/>
        <v>2620.8000000000002</v>
      </c>
      <c r="L914" s="563">
        <f t="shared" si="40"/>
        <v>2882.8800000000006</v>
      </c>
      <c r="M914" s="563">
        <f t="shared" si="41"/>
        <v>3526.3800000000006</v>
      </c>
      <c r="N914" s="580"/>
    </row>
    <row r="915" spans="4:16" x14ac:dyDescent="0.25">
      <c r="D915" s="559" t="s">
        <v>867</v>
      </c>
      <c r="E915" s="558">
        <v>100867</v>
      </c>
      <c r="F915" s="559">
        <v>101556</v>
      </c>
      <c r="G915" s="558" t="s">
        <v>4825</v>
      </c>
      <c r="H915" s="564">
        <v>40015</v>
      </c>
      <c r="I915" s="563">
        <v>3907.8</v>
      </c>
      <c r="J915" s="563">
        <v>-585</v>
      </c>
      <c r="K915" s="582">
        <f t="shared" si="39"/>
        <v>3322.8</v>
      </c>
      <c r="L915" s="563">
        <f t="shared" si="40"/>
        <v>3655.0800000000004</v>
      </c>
      <c r="M915" s="563">
        <f t="shared" si="41"/>
        <v>4298.5800000000008</v>
      </c>
      <c r="N915" s="580"/>
    </row>
    <row r="916" spans="4:16" x14ac:dyDescent="0.25">
      <c r="D916" s="559" t="s">
        <v>867</v>
      </c>
      <c r="E916" s="558">
        <v>100868</v>
      </c>
      <c r="F916" s="559">
        <v>102970</v>
      </c>
      <c r="G916" s="558" t="s">
        <v>4825</v>
      </c>
      <c r="H916" s="564">
        <v>40015</v>
      </c>
      <c r="I916" s="563">
        <v>4531.8</v>
      </c>
      <c r="J916" s="563">
        <v>-585</v>
      </c>
      <c r="K916" s="563">
        <f t="shared" si="39"/>
        <v>3946.8</v>
      </c>
      <c r="L916" s="563">
        <f t="shared" si="40"/>
        <v>4341.4800000000005</v>
      </c>
      <c r="M916" s="563">
        <f t="shared" si="41"/>
        <v>4984.9800000000005</v>
      </c>
      <c r="N916" s="580"/>
      <c r="O916" s="558"/>
      <c r="P916" s="564"/>
    </row>
    <row r="917" spans="4:16" x14ac:dyDescent="0.25">
      <c r="D917" s="559" t="s">
        <v>867</v>
      </c>
      <c r="E917" s="558">
        <v>100869</v>
      </c>
      <c r="F917" s="559">
        <v>101337</v>
      </c>
      <c r="G917" s="558" t="s">
        <v>4825</v>
      </c>
      <c r="H917" s="564">
        <v>40015</v>
      </c>
      <c r="I917" s="563">
        <v>5389.8</v>
      </c>
      <c r="J917" s="563">
        <v>-585</v>
      </c>
      <c r="K917" s="563">
        <f t="shared" si="39"/>
        <v>4804.8</v>
      </c>
      <c r="L917" s="563">
        <f t="shared" si="40"/>
        <v>5285.2800000000007</v>
      </c>
      <c r="M917" s="563">
        <f t="shared" si="41"/>
        <v>5928.7800000000007</v>
      </c>
      <c r="N917" s="580"/>
      <c r="O917" s="558"/>
      <c r="P917" s="564"/>
    </row>
    <row r="918" spans="4:16" x14ac:dyDescent="0.25">
      <c r="D918" s="559" t="s">
        <v>867</v>
      </c>
      <c r="E918" s="558">
        <v>100870</v>
      </c>
      <c r="F918" s="559">
        <v>100614</v>
      </c>
      <c r="G918" s="558" t="s">
        <v>4826</v>
      </c>
      <c r="H918" s="564">
        <v>40015</v>
      </c>
      <c r="I918" s="563">
        <v>3322.8</v>
      </c>
      <c r="J918" s="563">
        <v>-585</v>
      </c>
      <c r="K918" s="563">
        <f t="shared" si="39"/>
        <v>2737.8</v>
      </c>
      <c r="L918" s="563">
        <f t="shared" si="40"/>
        <v>3011.5800000000004</v>
      </c>
      <c r="M918" s="563">
        <f t="shared" si="41"/>
        <v>3655.0800000000004</v>
      </c>
      <c r="N918" s="580"/>
      <c r="O918" s="558"/>
      <c r="P918" s="564"/>
    </row>
    <row r="919" spans="4:16" x14ac:dyDescent="0.25">
      <c r="D919" s="559" t="s">
        <v>867</v>
      </c>
      <c r="E919" s="558">
        <v>100871</v>
      </c>
      <c r="F919" s="559">
        <v>102985</v>
      </c>
      <c r="G919" s="558" t="s">
        <v>4826</v>
      </c>
      <c r="H919" s="564">
        <v>40015</v>
      </c>
      <c r="I919" s="563">
        <v>163.80000000000001</v>
      </c>
      <c r="J919" s="563">
        <v>-163.80000000000001</v>
      </c>
      <c r="K919" s="563">
        <f t="shared" si="39"/>
        <v>0</v>
      </c>
      <c r="L919" s="563">
        <f t="shared" si="40"/>
        <v>0</v>
      </c>
      <c r="M919" s="563">
        <f t="shared" si="41"/>
        <v>180.18000000000004</v>
      </c>
      <c r="N919" s="580"/>
      <c r="O919" s="558"/>
      <c r="P919" s="564"/>
    </row>
    <row r="920" spans="4:16" x14ac:dyDescent="0.25">
      <c r="D920" s="559" t="s">
        <v>867</v>
      </c>
      <c r="E920" s="558">
        <v>100872</v>
      </c>
      <c r="F920" s="559">
        <v>102372</v>
      </c>
      <c r="G920" s="558" t="s">
        <v>4826</v>
      </c>
      <c r="H920" s="564">
        <v>40015</v>
      </c>
      <c r="I920" s="563">
        <v>4531.8</v>
      </c>
      <c r="J920" s="563">
        <v>-585</v>
      </c>
      <c r="K920" s="563">
        <f t="shared" si="39"/>
        <v>3946.8</v>
      </c>
      <c r="L920" s="563">
        <f t="shared" si="40"/>
        <v>4341.4800000000005</v>
      </c>
      <c r="M920" s="563">
        <f t="shared" si="41"/>
        <v>4984.9800000000005</v>
      </c>
      <c r="N920" s="580"/>
      <c r="O920" s="558"/>
      <c r="P920" s="564"/>
    </row>
    <row r="921" spans="4:16" x14ac:dyDescent="0.25">
      <c r="D921" s="559" t="s">
        <v>867</v>
      </c>
      <c r="E921" s="558">
        <v>100873</v>
      </c>
      <c r="F921" s="559">
        <v>100574</v>
      </c>
      <c r="G921" s="558" t="s">
        <v>4826</v>
      </c>
      <c r="H921" s="564">
        <v>40015</v>
      </c>
      <c r="I921" s="563">
        <v>163.80000000000001</v>
      </c>
      <c r="J921" s="563">
        <v>-163.80000000000001</v>
      </c>
      <c r="K921" s="563">
        <f t="shared" si="39"/>
        <v>0</v>
      </c>
      <c r="L921" s="563">
        <f t="shared" si="40"/>
        <v>0</v>
      </c>
      <c r="M921" s="563">
        <f t="shared" si="41"/>
        <v>180.18000000000004</v>
      </c>
      <c r="N921" s="580"/>
      <c r="O921" s="558"/>
      <c r="P921" s="564"/>
    </row>
    <row r="922" spans="4:16" x14ac:dyDescent="0.25">
      <c r="D922" s="559" t="s">
        <v>867</v>
      </c>
      <c r="E922" s="558">
        <v>100875</v>
      </c>
      <c r="F922" s="559">
        <v>102936</v>
      </c>
      <c r="G922" s="558" t="s">
        <v>4826</v>
      </c>
      <c r="H922" s="564">
        <v>40015</v>
      </c>
      <c r="I922" s="563">
        <v>4477.2</v>
      </c>
      <c r="J922" s="563">
        <v>-585</v>
      </c>
      <c r="K922" s="563">
        <f t="shared" si="39"/>
        <v>3892.2</v>
      </c>
      <c r="L922" s="563">
        <f t="shared" si="40"/>
        <v>4281.42</v>
      </c>
      <c r="M922" s="563">
        <f t="shared" si="41"/>
        <v>4924.92</v>
      </c>
      <c r="N922" s="580"/>
      <c r="O922" s="558"/>
      <c r="P922" s="564"/>
    </row>
    <row r="923" spans="4:16" x14ac:dyDescent="0.25">
      <c r="D923" s="559" t="s">
        <v>867</v>
      </c>
      <c r="E923" s="558">
        <v>100876</v>
      </c>
      <c r="F923" s="559">
        <v>102698</v>
      </c>
      <c r="G923" s="558" t="s">
        <v>4827</v>
      </c>
      <c r="H923" s="564">
        <v>40015</v>
      </c>
      <c r="I923" s="563">
        <v>4024.8</v>
      </c>
      <c r="J923" s="563">
        <v>-585</v>
      </c>
      <c r="K923" s="563">
        <f t="shared" si="39"/>
        <v>3439.8</v>
      </c>
      <c r="L923" s="563">
        <f t="shared" si="40"/>
        <v>3783.7800000000007</v>
      </c>
      <c r="M923" s="563">
        <f t="shared" si="41"/>
        <v>4427.2800000000007</v>
      </c>
      <c r="N923" s="580"/>
      <c r="O923" s="558"/>
      <c r="P923" s="564"/>
    </row>
    <row r="924" spans="4:16" x14ac:dyDescent="0.25">
      <c r="D924" s="559" t="s">
        <v>867</v>
      </c>
      <c r="E924" s="558">
        <v>100877</v>
      </c>
      <c r="F924" s="559">
        <v>102710</v>
      </c>
      <c r="G924" s="558" t="s">
        <v>4827</v>
      </c>
      <c r="H924" s="564">
        <v>40015</v>
      </c>
      <c r="I924" s="563">
        <v>163.80000000000001</v>
      </c>
      <c r="J924" s="563">
        <v>-163.80000000000001</v>
      </c>
      <c r="K924" s="563">
        <f t="shared" si="39"/>
        <v>0</v>
      </c>
      <c r="L924" s="563">
        <f t="shared" si="40"/>
        <v>0</v>
      </c>
      <c r="M924" s="563">
        <f t="shared" si="41"/>
        <v>180.18000000000004</v>
      </c>
      <c r="N924" s="580"/>
      <c r="O924" s="558"/>
      <c r="P924" s="564"/>
    </row>
    <row r="925" spans="4:16" x14ac:dyDescent="0.25">
      <c r="D925" s="559" t="s">
        <v>867</v>
      </c>
      <c r="E925" s="558">
        <v>100878</v>
      </c>
      <c r="F925" s="559">
        <v>102710</v>
      </c>
      <c r="G925" s="558" t="s">
        <v>4827</v>
      </c>
      <c r="H925" s="564">
        <v>40015</v>
      </c>
      <c r="I925" s="563">
        <v>2503.8000000000002</v>
      </c>
      <c r="J925" s="563">
        <v>-585</v>
      </c>
      <c r="K925" s="563">
        <f t="shared" si="39"/>
        <v>1918.8000000000002</v>
      </c>
      <c r="L925" s="563">
        <f t="shared" si="40"/>
        <v>2110.6800000000003</v>
      </c>
      <c r="M925" s="563">
        <f t="shared" si="41"/>
        <v>2754.1800000000003</v>
      </c>
      <c r="N925" s="580"/>
      <c r="O925" s="558"/>
      <c r="P925" s="564"/>
    </row>
    <row r="926" spans="4:16" x14ac:dyDescent="0.25">
      <c r="D926" s="559" t="s">
        <v>867</v>
      </c>
      <c r="E926" s="558">
        <v>100883</v>
      </c>
      <c r="F926" s="559">
        <v>101419</v>
      </c>
      <c r="G926" s="558" t="s">
        <v>4827</v>
      </c>
      <c r="H926" s="564">
        <v>40015</v>
      </c>
      <c r="I926" s="563">
        <v>3081</v>
      </c>
      <c r="J926" s="563">
        <v>-585</v>
      </c>
      <c r="K926" s="563">
        <f t="shared" si="39"/>
        <v>2496</v>
      </c>
      <c r="L926" s="563">
        <f t="shared" si="40"/>
        <v>2745.6000000000004</v>
      </c>
      <c r="M926" s="563">
        <f t="shared" si="41"/>
        <v>3389.1000000000004</v>
      </c>
      <c r="N926" s="580"/>
      <c r="O926" s="558"/>
      <c r="P926" s="564"/>
    </row>
    <row r="927" spans="4:16" x14ac:dyDescent="0.25">
      <c r="D927" s="559" t="s">
        <v>867</v>
      </c>
      <c r="E927" s="558">
        <v>100954</v>
      </c>
      <c r="F927" s="559">
        <v>100937</v>
      </c>
      <c r="G927" s="558" t="s">
        <v>4827</v>
      </c>
      <c r="H927" s="564">
        <v>40015</v>
      </c>
      <c r="I927" s="563">
        <v>6378.45</v>
      </c>
      <c r="J927" s="563">
        <v>-585</v>
      </c>
      <c r="K927" s="563">
        <f t="shared" si="39"/>
        <v>5793.45</v>
      </c>
      <c r="L927" s="563">
        <f t="shared" si="40"/>
        <v>6372.7950000000001</v>
      </c>
      <c r="M927" s="563">
        <f t="shared" si="41"/>
        <v>7016.2950000000001</v>
      </c>
      <c r="N927" s="580"/>
      <c r="O927" s="558"/>
      <c r="P927" s="564"/>
    </row>
    <row r="928" spans="4:16" x14ac:dyDescent="0.25">
      <c r="D928" s="559" t="s">
        <v>867</v>
      </c>
      <c r="E928" s="558">
        <v>100955</v>
      </c>
      <c r="F928" s="559">
        <v>101147</v>
      </c>
      <c r="G928" s="558" t="s">
        <v>4828</v>
      </c>
      <c r="H928" s="564">
        <v>40015</v>
      </c>
      <c r="I928" s="563">
        <v>3666</v>
      </c>
      <c r="J928" s="563">
        <v>-585</v>
      </c>
      <c r="K928" s="582">
        <f t="shared" si="39"/>
        <v>3081</v>
      </c>
      <c r="L928" s="563">
        <f t="shared" si="40"/>
        <v>3389.1000000000004</v>
      </c>
      <c r="M928" s="563">
        <f t="shared" si="41"/>
        <v>4032.6000000000004</v>
      </c>
      <c r="N928" s="580"/>
    </row>
    <row r="929" spans="4:16" x14ac:dyDescent="0.25">
      <c r="D929" s="559" t="s">
        <v>867</v>
      </c>
      <c r="E929" s="558">
        <v>100957</v>
      </c>
      <c r="F929" s="559">
        <v>100017</v>
      </c>
      <c r="G929" s="558" t="s">
        <v>4828</v>
      </c>
      <c r="H929" s="564">
        <v>40015</v>
      </c>
      <c r="I929" s="563">
        <v>479.7</v>
      </c>
      <c r="J929" s="563">
        <v>-479.7</v>
      </c>
      <c r="K929" s="563">
        <f t="shared" si="39"/>
        <v>0</v>
      </c>
      <c r="L929" s="563">
        <f t="shared" si="40"/>
        <v>0</v>
      </c>
      <c r="M929" s="563">
        <f t="shared" si="41"/>
        <v>527.67000000000007</v>
      </c>
      <c r="N929" s="580"/>
      <c r="O929" s="558"/>
      <c r="P929" s="564"/>
    </row>
    <row r="930" spans="4:16" x14ac:dyDescent="0.25">
      <c r="D930" s="559" t="s">
        <v>867</v>
      </c>
      <c r="E930" s="558">
        <v>100958</v>
      </c>
      <c r="F930" s="559">
        <v>102628</v>
      </c>
      <c r="G930" s="558" t="s">
        <v>4828</v>
      </c>
      <c r="H930" s="564">
        <v>40015</v>
      </c>
      <c r="I930" s="563">
        <v>1735.5</v>
      </c>
      <c r="J930" s="563">
        <v>-585</v>
      </c>
      <c r="K930" s="582">
        <f t="shared" si="39"/>
        <v>1150.5</v>
      </c>
      <c r="L930" s="563">
        <f t="shared" si="40"/>
        <v>1265.5500000000002</v>
      </c>
      <c r="M930" s="563">
        <f t="shared" si="41"/>
        <v>1909.0500000000002</v>
      </c>
      <c r="N930" s="580"/>
    </row>
    <row r="931" spans="4:16" x14ac:dyDescent="0.25">
      <c r="D931" s="559" t="s">
        <v>867</v>
      </c>
      <c r="E931" s="558">
        <v>100959</v>
      </c>
      <c r="F931" s="559">
        <v>100023</v>
      </c>
      <c r="G931" s="558" t="s">
        <v>4828</v>
      </c>
      <c r="H931" s="564">
        <v>40015</v>
      </c>
      <c r="I931" s="563">
        <v>2905.5</v>
      </c>
      <c r="J931" s="563">
        <v>-585</v>
      </c>
      <c r="K931" s="582">
        <f t="shared" si="39"/>
        <v>2320.5</v>
      </c>
      <c r="L931" s="563">
        <f t="shared" si="40"/>
        <v>2552.5500000000002</v>
      </c>
      <c r="M931" s="563">
        <f t="shared" si="41"/>
        <v>3196.05</v>
      </c>
      <c r="N931" s="580"/>
    </row>
    <row r="932" spans="4:16" x14ac:dyDescent="0.25">
      <c r="D932" s="559" t="s">
        <v>867</v>
      </c>
      <c r="E932" s="558">
        <v>100961</v>
      </c>
      <c r="F932" s="559">
        <v>102742</v>
      </c>
      <c r="G932" s="558" t="s">
        <v>4828</v>
      </c>
      <c r="H932" s="564">
        <v>40015</v>
      </c>
      <c r="I932" s="563">
        <v>1758.9</v>
      </c>
      <c r="J932" s="563">
        <v>-585</v>
      </c>
      <c r="K932" s="582">
        <f t="shared" si="39"/>
        <v>1173.9000000000001</v>
      </c>
      <c r="L932" s="563">
        <f t="shared" si="40"/>
        <v>1291.2900000000002</v>
      </c>
      <c r="M932" s="563">
        <f t="shared" si="41"/>
        <v>1934.7900000000002</v>
      </c>
      <c r="N932" s="580"/>
    </row>
    <row r="933" spans="4:16" x14ac:dyDescent="0.25">
      <c r="D933" s="559" t="s">
        <v>867</v>
      </c>
      <c r="E933" s="558">
        <v>100962</v>
      </c>
      <c r="F933" s="559">
        <v>102929</v>
      </c>
      <c r="G933" s="558" t="s">
        <v>4829</v>
      </c>
      <c r="H933" s="564">
        <v>40015</v>
      </c>
      <c r="I933" s="563">
        <v>1680.9</v>
      </c>
      <c r="J933" s="563">
        <v>-585</v>
      </c>
      <c r="K933" s="563">
        <f t="shared" si="39"/>
        <v>1095.9000000000001</v>
      </c>
      <c r="L933" s="563">
        <f t="shared" si="40"/>
        <v>1205.4900000000002</v>
      </c>
      <c r="M933" s="563">
        <f t="shared" si="41"/>
        <v>1848.9900000000002</v>
      </c>
      <c r="N933" s="580"/>
      <c r="O933" s="558"/>
      <c r="P933" s="564"/>
    </row>
    <row r="934" spans="4:16" x14ac:dyDescent="0.25">
      <c r="D934" s="559" t="s">
        <v>867</v>
      </c>
      <c r="E934" s="558">
        <v>100963</v>
      </c>
      <c r="F934" s="559">
        <v>101112</v>
      </c>
      <c r="G934" s="558" t="s">
        <v>4829</v>
      </c>
      <c r="H934" s="564">
        <v>40015</v>
      </c>
      <c r="I934" s="563">
        <v>799.5</v>
      </c>
      <c r="J934" s="563">
        <v>-585</v>
      </c>
      <c r="K934" s="582">
        <f t="shared" si="39"/>
        <v>214.5</v>
      </c>
      <c r="L934" s="563">
        <f t="shared" si="40"/>
        <v>235.95000000000002</v>
      </c>
      <c r="M934" s="563">
        <f t="shared" si="41"/>
        <v>879.45</v>
      </c>
      <c r="N934" s="580"/>
    </row>
    <row r="935" spans="4:16" x14ac:dyDescent="0.25">
      <c r="D935" s="559" t="s">
        <v>867</v>
      </c>
      <c r="E935" s="558">
        <v>100964</v>
      </c>
      <c r="F935" s="559">
        <v>102286</v>
      </c>
      <c r="G935" s="558" t="s">
        <v>4829</v>
      </c>
      <c r="H935" s="564">
        <v>40015</v>
      </c>
      <c r="I935" s="563">
        <v>5772</v>
      </c>
      <c r="J935" s="563">
        <v>-585</v>
      </c>
      <c r="K935" s="563">
        <f t="shared" si="39"/>
        <v>5187</v>
      </c>
      <c r="L935" s="563">
        <f t="shared" si="40"/>
        <v>5705.7000000000007</v>
      </c>
      <c r="M935" s="563">
        <f t="shared" si="41"/>
        <v>6349.2000000000007</v>
      </c>
      <c r="N935" s="580"/>
      <c r="O935" s="558"/>
      <c r="P935" s="564"/>
    </row>
    <row r="936" spans="4:16" x14ac:dyDescent="0.25">
      <c r="D936" s="559" t="s">
        <v>867</v>
      </c>
      <c r="E936" s="558">
        <v>100965</v>
      </c>
      <c r="F936" s="559">
        <v>100862</v>
      </c>
      <c r="G936" s="558" t="s">
        <v>4829</v>
      </c>
      <c r="H936" s="564">
        <v>40015</v>
      </c>
      <c r="I936" s="563">
        <v>5530.2</v>
      </c>
      <c r="J936" s="563">
        <v>-585</v>
      </c>
      <c r="K936" s="563">
        <f t="shared" si="39"/>
        <v>4945.2</v>
      </c>
      <c r="L936" s="563">
        <f t="shared" si="40"/>
        <v>5439.72</v>
      </c>
      <c r="M936" s="563">
        <f t="shared" si="41"/>
        <v>6083.22</v>
      </c>
      <c r="N936" s="580"/>
      <c r="O936" s="558"/>
      <c r="P936" s="564"/>
    </row>
    <row r="937" spans="4:16" x14ac:dyDescent="0.25">
      <c r="D937" s="559" t="s">
        <v>867</v>
      </c>
      <c r="E937" s="558">
        <v>100966</v>
      </c>
      <c r="F937" s="559">
        <v>100063</v>
      </c>
      <c r="G937" s="558" t="s">
        <v>4829</v>
      </c>
      <c r="H937" s="564">
        <v>40015</v>
      </c>
      <c r="I937" s="563">
        <v>351</v>
      </c>
      <c r="J937" s="563">
        <v>-351</v>
      </c>
      <c r="K937" s="563">
        <f t="shared" ref="K937:K1000" si="42">+I937+J937</f>
        <v>0</v>
      </c>
      <c r="L937" s="563">
        <f t="shared" ref="L937:L1000" si="43">+K937*1.1</f>
        <v>0</v>
      </c>
      <c r="M937" s="563">
        <f t="shared" ref="M937:M1000" si="44">+I937*1.1</f>
        <v>386.1</v>
      </c>
      <c r="N937" s="580"/>
      <c r="O937" s="558"/>
      <c r="P937" s="564"/>
    </row>
    <row r="938" spans="4:16" x14ac:dyDescent="0.25">
      <c r="D938" s="559" t="s">
        <v>867</v>
      </c>
      <c r="E938" s="558">
        <v>101024</v>
      </c>
      <c r="F938" s="559">
        <v>100420</v>
      </c>
      <c r="G938" s="558" t="s">
        <v>873</v>
      </c>
      <c r="H938" s="564">
        <v>40015</v>
      </c>
      <c r="I938" s="563">
        <v>2047.5</v>
      </c>
      <c r="J938" s="563">
        <v>-585</v>
      </c>
      <c r="K938" s="563">
        <f t="shared" si="42"/>
        <v>1462.5</v>
      </c>
      <c r="L938" s="563">
        <f t="shared" si="43"/>
        <v>1608.7500000000002</v>
      </c>
      <c r="M938" s="563">
        <f t="shared" si="44"/>
        <v>2252.25</v>
      </c>
      <c r="N938" s="580"/>
      <c r="O938" s="558"/>
      <c r="P938" s="564"/>
    </row>
    <row r="939" spans="4:16" x14ac:dyDescent="0.25">
      <c r="D939" s="559" t="s">
        <v>867</v>
      </c>
      <c r="E939" s="558">
        <v>120023</v>
      </c>
      <c r="F939" s="559">
        <v>100692</v>
      </c>
      <c r="G939" s="558" t="s">
        <v>873</v>
      </c>
      <c r="H939" s="564">
        <v>40015</v>
      </c>
      <c r="I939" s="563">
        <v>2043.6</v>
      </c>
      <c r="J939" s="563">
        <v>-585</v>
      </c>
      <c r="K939" s="582">
        <f t="shared" si="42"/>
        <v>1458.6</v>
      </c>
      <c r="L939" s="563">
        <f t="shared" si="43"/>
        <v>1604.46</v>
      </c>
      <c r="M939" s="563">
        <f t="shared" si="44"/>
        <v>2247.96</v>
      </c>
      <c r="N939" s="580"/>
    </row>
    <row r="940" spans="4:16" x14ac:dyDescent="0.25">
      <c r="D940" s="559" t="s">
        <v>867</v>
      </c>
      <c r="E940" s="558">
        <v>120346</v>
      </c>
      <c r="F940" s="559">
        <v>102205</v>
      </c>
      <c r="G940" s="558" t="s">
        <v>878</v>
      </c>
      <c r="H940" s="564">
        <v>40015</v>
      </c>
      <c r="I940" s="563">
        <v>787.8</v>
      </c>
      <c r="J940" s="563">
        <v>-585</v>
      </c>
      <c r="K940" s="563">
        <f t="shared" si="42"/>
        <v>202.79999999999995</v>
      </c>
      <c r="L940" s="563">
        <f t="shared" si="43"/>
        <v>223.07999999999996</v>
      </c>
      <c r="M940" s="563">
        <f t="shared" si="44"/>
        <v>866.58</v>
      </c>
      <c r="N940" s="580"/>
      <c r="O940" s="558"/>
      <c r="P940" s="564"/>
    </row>
    <row r="941" spans="4:16" x14ac:dyDescent="0.25">
      <c r="D941" s="559" t="s">
        <v>867</v>
      </c>
      <c r="E941" s="558">
        <v>130747</v>
      </c>
      <c r="F941" s="559">
        <v>101336</v>
      </c>
      <c r="G941" s="558" t="s">
        <v>765</v>
      </c>
      <c r="H941" s="564">
        <v>40015</v>
      </c>
      <c r="I941" s="563">
        <v>2901.6</v>
      </c>
      <c r="J941" s="563">
        <v>-585</v>
      </c>
      <c r="K941" s="563">
        <f t="shared" si="42"/>
        <v>2316.6</v>
      </c>
      <c r="L941" s="563">
        <f t="shared" si="43"/>
        <v>2548.2600000000002</v>
      </c>
      <c r="M941" s="563">
        <f t="shared" si="44"/>
        <v>3191.76</v>
      </c>
      <c r="N941" s="580"/>
      <c r="O941" s="558"/>
      <c r="P941" s="564"/>
    </row>
    <row r="942" spans="4:16" x14ac:dyDescent="0.25">
      <c r="D942" s="559" t="s">
        <v>867</v>
      </c>
      <c r="E942" s="558">
        <v>140018</v>
      </c>
      <c r="F942" s="559">
        <v>100462</v>
      </c>
      <c r="G942" s="558" t="s">
        <v>768</v>
      </c>
      <c r="H942" s="564">
        <v>40015</v>
      </c>
      <c r="I942" s="563">
        <v>4689.75</v>
      </c>
      <c r="J942" s="563">
        <v>-585</v>
      </c>
      <c r="K942" s="563">
        <f t="shared" si="42"/>
        <v>4104.75</v>
      </c>
      <c r="L942" s="563">
        <f t="shared" si="43"/>
        <v>4515.2250000000004</v>
      </c>
      <c r="M942" s="563">
        <f t="shared" si="44"/>
        <v>5158.7250000000004</v>
      </c>
      <c r="N942" s="580"/>
      <c r="O942" s="558"/>
      <c r="P942" s="564"/>
    </row>
    <row r="943" spans="4:16" x14ac:dyDescent="0.25">
      <c r="D943" s="559" t="s">
        <v>867</v>
      </c>
      <c r="E943" s="558">
        <v>140686</v>
      </c>
      <c r="F943" s="559">
        <v>100508</v>
      </c>
      <c r="G943" s="558" t="s">
        <v>769</v>
      </c>
      <c r="H943" s="564">
        <v>40015</v>
      </c>
      <c r="I943" s="563">
        <v>19273.8</v>
      </c>
      <c r="J943" s="563">
        <v>-585</v>
      </c>
      <c r="K943" s="563">
        <f t="shared" si="42"/>
        <v>18688.8</v>
      </c>
      <c r="L943" s="563">
        <f t="shared" si="43"/>
        <v>20557.68</v>
      </c>
      <c r="M943" s="563">
        <f t="shared" si="44"/>
        <v>21201.18</v>
      </c>
      <c r="N943" s="580"/>
      <c r="O943" s="558"/>
      <c r="P943" s="564"/>
    </row>
    <row r="944" spans="4:16" x14ac:dyDescent="0.25">
      <c r="D944" s="559" t="s">
        <v>867</v>
      </c>
      <c r="E944" s="558">
        <v>150725</v>
      </c>
      <c r="F944" s="559">
        <v>101201</v>
      </c>
      <c r="G944" s="558" t="s">
        <v>769</v>
      </c>
      <c r="H944" s="564">
        <v>40015</v>
      </c>
      <c r="I944" s="563">
        <v>1528.8</v>
      </c>
      <c r="J944" s="563">
        <v>-585</v>
      </c>
      <c r="K944" s="582">
        <f t="shared" si="42"/>
        <v>943.8</v>
      </c>
      <c r="L944" s="563">
        <f t="shared" si="43"/>
        <v>1038.18</v>
      </c>
      <c r="M944" s="563">
        <f t="shared" si="44"/>
        <v>1681.68</v>
      </c>
      <c r="N944" s="580"/>
    </row>
    <row r="945" spans="4:16" x14ac:dyDescent="0.25">
      <c r="D945" s="559" t="s">
        <v>867</v>
      </c>
      <c r="E945" s="558">
        <v>160206</v>
      </c>
      <c r="F945" s="559">
        <v>102424</v>
      </c>
      <c r="G945" s="558" t="s">
        <v>769</v>
      </c>
      <c r="H945" s="564">
        <v>40015</v>
      </c>
      <c r="I945" s="563">
        <v>1209</v>
      </c>
      <c r="J945" s="563">
        <v>-585</v>
      </c>
      <c r="K945" s="582">
        <f t="shared" si="42"/>
        <v>624</v>
      </c>
      <c r="L945" s="563">
        <f t="shared" si="43"/>
        <v>686.40000000000009</v>
      </c>
      <c r="M945" s="563">
        <f t="shared" si="44"/>
        <v>1329.9</v>
      </c>
      <c r="N945" s="580"/>
    </row>
    <row r="946" spans="4:16" x14ac:dyDescent="0.25">
      <c r="D946" s="559" t="s">
        <v>867</v>
      </c>
      <c r="E946" s="558">
        <v>160371</v>
      </c>
      <c r="F946" s="559">
        <v>102988</v>
      </c>
      <c r="G946" s="558" t="s">
        <v>769</v>
      </c>
      <c r="H946" s="564">
        <v>40015</v>
      </c>
      <c r="I946" s="563">
        <v>15.6</v>
      </c>
      <c r="J946" s="563">
        <v>-15.6</v>
      </c>
      <c r="K946" s="582">
        <f t="shared" si="42"/>
        <v>0</v>
      </c>
      <c r="L946" s="563">
        <f t="shared" si="43"/>
        <v>0</v>
      </c>
      <c r="M946" s="563">
        <f t="shared" si="44"/>
        <v>17.16</v>
      </c>
      <c r="N946" s="580"/>
    </row>
    <row r="947" spans="4:16" x14ac:dyDescent="0.25">
      <c r="D947" s="559" t="s">
        <v>867</v>
      </c>
      <c r="E947" s="558">
        <v>160467</v>
      </c>
      <c r="F947" s="559">
        <v>101569</v>
      </c>
      <c r="G947" s="558" t="s">
        <v>883</v>
      </c>
      <c r="H947" s="564">
        <v>40015</v>
      </c>
      <c r="I947" s="563">
        <v>1014</v>
      </c>
      <c r="J947" s="563">
        <v>-585</v>
      </c>
      <c r="K947" s="563">
        <f t="shared" si="42"/>
        <v>429</v>
      </c>
      <c r="L947" s="563">
        <f t="shared" si="43"/>
        <v>471.90000000000003</v>
      </c>
      <c r="M947" s="563">
        <f t="shared" si="44"/>
        <v>1115.4000000000001</v>
      </c>
      <c r="N947" s="580"/>
      <c r="O947" s="558"/>
      <c r="P947" s="564"/>
    </row>
    <row r="948" spans="4:16" x14ac:dyDescent="0.25">
      <c r="D948" s="559" t="s">
        <v>867</v>
      </c>
      <c r="E948" s="558">
        <v>160712</v>
      </c>
      <c r="F948" s="559">
        <v>102808</v>
      </c>
      <c r="G948" s="558" t="s">
        <v>883</v>
      </c>
      <c r="H948" s="564">
        <v>40015</v>
      </c>
      <c r="I948" s="563">
        <v>70.2</v>
      </c>
      <c r="J948" s="563">
        <v>-70.2</v>
      </c>
      <c r="K948" s="582">
        <f t="shared" si="42"/>
        <v>0</v>
      </c>
      <c r="L948" s="563">
        <f t="shared" si="43"/>
        <v>0</v>
      </c>
      <c r="M948" s="563">
        <f t="shared" si="44"/>
        <v>77.220000000000013</v>
      </c>
      <c r="N948" s="580"/>
    </row>
    <row r="949" spans="4:16" x14ac:dyDescent="0.25">
      <c r="D949" s="559" t="s">
        <v>867</v>
      </c>
      <c r="E949" s="558">
        <v>160743</v>
      </c>
      <c r="F949" s="559">
        <v>100473</v>
      </c>
      <c r="G949" s="558" t="s">
        <v>883</v>
      </c>
      <c r="H949" s="564">
        <v>40015</v>
      </c>
      <c r="I949" s="563">
        <v>1380.6</v>
      </c>
      <c r="J949" s="563">
        <v>-585</v>
      </c>
      <c r="K949" s="563">
        <f t="shared" si="42"/>
        <v>795.59999999999991</v>
      </c>
      <c r="L949" s="563">
        <f t="shared" si="43"/>
        <v>875.16</v>
      </c>
      <c r="M949" s="563">
        <f t="shared" si="44"/>
        <v>1518.66</v>
      </c>
      <c r="N949" s="580"/>
      <c r="O949" s="558"/>
      <c r="P949" s="564"/>
    </row>
    <row r="950" spans="4:16" x14ac:dyDescent="0.25">
      <c r="D950" s="559" t="s">
        <v>867</v>
      </c>
      <c r="E950" s="558">
        <v>160951</v>
      </c>
      <c r="F950" s="559">
        <v>101170</v>
      </c>
      <c r="G950" s="558" t="s">
        <v>883</v>
      </c>
      <c r="H950" s="564">
        <v>40015</v>
      </c>
      <c r="I950" s="563">
        <v>10537.8</v>
      </c>
      <c r="J950" s="563">
        <v>-585</v>
      </c>
      <c r="K950" s="563">
        <f t="shared" si="42"/>
        <v>9952.7999999999993</v>
      </c>
      <c r="L950" s="563">
        <f t="shared" si="43"/>
        <v>10948.08</v>
      </c>
      <c r="M950" s="563">
        <f t="shared" si="44"/>
        <v>11591.58</v>
      </c>
      <c r="N950" s="580"/>
      <c r="O950" s="558"/>
      <c r="P950" s="564"/>
    </row>
    <row r="951" spans="4:16" x14ac:dyDescent="0.25">
      <c r="D951" s="559" t="s">
        <v>867</v>
      </c>
      <c r="E951" s="558">
        <v>170952</v>
      </c>
      <c r="F951" s="559">
        <v>101446</v>
      </c>
      <c r="G951" s="558" t="s">
        <v>884</v>
      </c>
      <c r="H951" s="564">
        <v>40015</v>
      </c>
      <c r="I951" s="563">
        <v>3361.8</v>
      </c>
      <c r="J951" s="563">
        <v>-585</v>
      </c>
      <c r="K951" s="563">
        <f t="shared" si="42"/>
        <v>2776.8</v>
      </c>
      <c r="L951" s="563">
        <f t="shared" si="43"/>
        <v>3054.4800000000005</v>
      </c>
      <c r="M951" s="563">
        <f t="shared" si="44"/>
        <v>3697.9800000000005</v>
      </c>
      <c r="N951" s="580"/>
      <c r="O951" s="558"/>
      <c r="P951" s="564"/>
    </row>
    <row r="952" spans="4:16" x14ac:dyDescent="0.25">
      <c r="D952" s="559" t="s">
        <v>867</v>
      </c>
      <c r="E952" s="558">
        <v>180786</v>
      </c>
      <c r="F952" s="559">
        <v>101236</v>
      </c>
      <c r="G952" s="558" t="s">
        <v>884</v>
      </c>
      <c r="H952" s="564">
        <v>40015</v>
      </c>
      <c r="I952" s="563">
        <v>74.099999999999994</v>
      </c>
      <c r="J952" s="563">
        <v>-74.099999999999994</v>
      </c>
      <c r="K952" s="563">
        <f t="shared" si="42"/>
        <v>0</v>
      </c>
      <c r="L952" s="563">
        <f t="shared" si="43"/>
        <v>0</v>
      </c>
      <c r="M952" s="563">
        <f t="shared" si="44"/>
        <v>81.510000000000005</v>
      </c>
      <c r="N952" s="580"/>
      <c r="O952" s="558"/>
      <c r="P952" s="564"/>
    </row>
    <row r="953" spans="4:16" x14ac:dyDescent="0.25">
      <c r="D953" s="559" t="s">
        <v>867</v>
      </c>
      <c r="E953" s="558">
        <v>180787</v>
      </c>
      <c r="F953" s="559">
        <v>100065</v>
      </c>
      <c r="G953" s="558" t="s">
        <v>884</v>
      </c>
      <c r="H953" s="564">
        <v>40015</v>
      </c>
      <c r="I953" s="563">
        <v>74.099999999999994</v>
      </c>
      <c r="J953" s="563">
        <v>-74.099999999999994</v>
      </c>
      <c r="K953" s="563">
        <f t="shared" si="42"/>
        <v>0</v>
      </c>
      <c r="L953" s="563">
        <f t="shared" si="43"/>
        <v>0</v>
      </c>
      <c r="M953" s="563">
        <f t="shared" si="44"/>
        <v>81.510000000000005</v>
      </c>
      <c r="N953" s="580"/>
      <c r="O953" s="558"/>
      <c r="P953" s="564"/>
    </row>
    <row r="954" spans="4:16" x14ac:dyDescent="0.25">
      <c r="D954" s="559" t="s">
        <v>867</v>
      </c>
      <c r="E954" s="558">
        <v>180788</v>
      </c>
      <c r="F954" s="559">
        <v>100066</v>
      </c>
      <c r="G954" s="558" t="s">
        <v>884</v>
      </c>
      <c r="H954" s="564">
        <v>40015</v>
      </c>
      <c r="I954" s="563">
        <v>74.099999999999994</v>
      </c>
      <c r="J954" s="563">
        <v>-74.099999999999994</v>
      </c>
      <c r="K954" s="563">
        <f t="shared" si="42"/>
        <v>0</v>
      </c>
      <c r="L954" s="563">
        <f t="shared" si="43"/>
        <v>0</v>
      </c>
      <c r="M954" s="563">
        <f t="shared" si="44"/>
        <v>81.510000000000005</v>
      </c>
      <c r="N954" s="580"/>
      <c r="O954" s="558"/>
      <c r="P954" s="564"/>
    </row>
    <row r="955" spans="4:16" x14ac:dyDescent="0.25">
      <c r="D955" s="559" t="s">
        <v>867</v>
      </c>
      <c r="E955" s="558">
        <v>180840</v>
      </c>
      <c r="F955" s="559">
        <v>100659</v>
      </c>
      <c r="G955" s="558" t="s">
        <v>885</v>
      </c>
      <c r="H955" s="564">
        <v>40015</v>
      </c>
      <c r="I955" s="563">
        <v>3474.9</v>
      </c>
      <c r="J955" s="563">
        <v>-585</v>
      </c>
      <c r="K955" s="563">
        <f t="shared" si="42"/>
        <v>2889.9</v>
      </c>
      <c r="L955" s="563">
        <f t="shared" si="43"/>
        <v>3178.8900000000003</v>
      </c>
      <c r="M955" s="563">
        <f t="shared" si="44"/>
        <v>3822.3900000000003</v>
      </c>
      <c r="N955" s="580"/>
      <c r="O955" s="558"/>
      <c r="P955" s="564"/>
    </row>
    <row r="956" spans="4:16" x14ac:dyDescent="0.25">
      <c r="D956" s="559" t="s">
        <v>867</v>
      </c>
      <c r="E956" s="558">
        <v>180844</v>
      </c>
      <c r="F956" s="559">
        <v>100067</v>
      </c>
      <c r="G956" s="558" t="s">
        <v>885</v>
      </c>
      <c r="H956" s="564">
        <v>40015</v>
      </c>
      <c r="I956" s="563">
        <v>163.80000000000001</v>
      </c>
      <c r="J956" s="563">
        <v>-163.80000000000001</v>
      </c>
      <c r="K956" s="563">
        <f t="shared" si="42"/>
        <v>0</v>
      </c>
      <c r="L956" s="563">
        <f t="shared" si="43"/>
        <v>0</v>
      </c>
      <c r="M956" s="563">
        <f t="shared" si="44"/>
        <v>180.18000000000004</v>
      </c>
      <c r="N956" s="580"/>
      <c r="O956" s="558"/>
      <c r="P956" s="564"/>
    </row>
    <row r="957" spans="4:16" x14ac:dyDescent="0.25">
      <c r="D957" s="559" t="s">
        <v>867</v>
      </c>
      <c r="E957" s="558">
        <v>180847</v>
      </c>
      <c r="F957" s="559">
        <v>100068</v>
      </c>
      <c r="G957" s="558" t="s">
        <v>885</v>
      </c>
      <c r="H957" s="564">
        <v>40015</v>
      </c>
      <c r="I957" s="563">
        <v>163.80000000000001</v>
      </c>
      <c r="J957" s="563">
        <v>-163.80000000000001</v>
      </c>
      <c r="K957" s="563">
        <f t="shared" si="42"/>
        <v>0</v>
      </c>
      <c r="L957" s="563">
        <f t="shared" si="43"/>
        <v>0</v>
      </c>
      <c r="M957" s="563">
        <f t="shared" si="44"/>
        <v>180.18000000000004</v>
      </c>
      <c r="N957" s="580"/>
      <c r="O957" s="558"/>
      <c r="P957" s="564"/>
    </row>
    <row r="958" spans="4:16" x14ac:dyDescent="0.25">
      <c r="D958" s="559" t="s">
        <v>867</v>
      </c>
      <c r="E958" s="558">
        <v>180848</v>
      </c>
      <c r="F958" s="559">
        <v>100069</v>
      </c>
      <c r="G958" s="558" t="s">
        <v>885</v>
      </c>
      <c r="H958" s="564">
        <v>40015</v>
      </c>
      <c r="I958" s="563">
        <v>163.80000000000001</v>
      </c>
      <c r="J958" s="563">
        <v>-163.80000000000001</v>
      </c>
      <c r="K958" s="563">
        <f t="shared" si="42"/>
        <v>0</v>
      </c>
      <c r="L958" s="563">
        <f t="shared" si="43"/>
        <v>0</v>
      </c>
      <c r="M958" s="563">
        <f t="shared" si="44"/>
        <v>180.18000000000004</v>
      </c>
      <c r="N958" s="580"/>
      <c r="O958" s="558"/>
      <c r="P958" s="564"/>
    </row>
    <row r="959" spans="4:16" x14ac:dyDescent="0.25">
      <c r="D959" s="559" t="s">
        <v>867</v>
      </c>
      <c r="E959" s="558">
        <v>180849</v>
      </c>
      <c r="F959" s="559">
        <v>100070</v>
      </c>
      <c r="G959" s="558" t="s">
        <v>4830</v>
      </c>
      <c r="H959" s="564">
        <v>40015</v>
      </c>
      <c r="I959" s="563">
        <v>163.80000000000001</v>
      </c>
      <c r="J959" s="563">
        <v>-163.80000000000001</v>
      </c>
      <c r="K959" s="563">
        <f t="shared" si="42"/>
        <v>0</v>
      </c>
      <c r="L959" s="563">
        <f t="shared" si="43"/>
        <v>0</v>
      </c>
      <c r="M959" s="563">
        <f t="shared" si="44"/>
        <v>180.18000000000004</v>
      </c>
      <c r="N959" s="580"/>
      <c r="O959" s="558"/>
      <c r="P959" s="564"/>
    </row>
    <row r="960" spans="4:16" x14ac:dyDescent="0.25">
      <c r="D960" s="559" t="s">
        <v>867</v>
      </c>
      <c r="E960" s="558">
        <v>180850</v>
      </c>
      <c r="F960" s="559">
        <v>100071</v>
      </c>
      <c r="G960" s="558" t="s">
        <v>4830</v>
      </c>
      <c r="H960" s="564">
        <v>40015</v>
      </c>
      <c r="I960" s="563">
        <v>163.80000000000001</v>
      </c>
      <c r="J960" s="563">
        <v>-163.80000000000001</v>
      </c>
      <c r="K960" s="563">
        <f t="shared" si="42"/>
        <v>0</v>
      </c>
      <c r="L960" s="563">
        <f t="shared" si="43"/>
        <v>0</v>
      </c>
      <c r="M960" s="563">
        <f t="shared" si="44"/>
        <v>180.18000000000004</v>
      </c>
      <c r="N960" s="580"/>
      <c r="O960" s="558"/>
      <c r="P960" s="564"/>
    </row>
    <row r="961" spans="4:16" x14ac:dyDescent="0.25">
      <c r="D961" s="559" t="s">
        <v>867</v>
      </c>
      <c r="E961" s="558">
        <v>180864</v>
      </c>
      <c r="F961" s="559">
        <v>100072</v>
      </c>
      <c r="G961" s="558" t="s">
        <v>4830</v>
      </c>
      <c r="H961" s="564">
        <v>40015</v>
      </c>
      <c r="I961" s="563">
        <v>163.80000000000001</v>
      </c>
      <c r="J961" s="563">
        <v>-163.80000000000001</v>
      </c>
      <c r="K961" s="563">
        <f t="shared" si="42"/>
        <v>0</v>
      </c>
      <c r="L961" s="563">
        <f t="shared" si="43"/>
        <v>0</v>
      </c>
      <c r="M961" s="563">
        <f t="shared" si="44"/>
        <v>180.18000000000004</v>
      </c>
      <c r="N961" s="580"/>
      <c r="O961" s="558"/>
      <c r="P961" s="564"/>
    </row>
    <row r="962" spans="4:16" x14ac:dyDescent="0.25">
      <c r="D962" s="559" t="s">
        <v>867</v>
      </c>
      <c r="E962" s="558">
        <v>310002</v>
      </c>
      <c r="F962" s="559">
        <v>300120</v>
      </c>
      <c r="G962" s="558" t="s">
        <v>4830</v>
      </c>
      <c r="H962" s="564">
        <v>40015</v>
      </c>
      <c r="I962" s="563">
        <v>1170</v>
      </c>
      <c r="J962" s="563">
        <v>-585</v>
      </c>
      <c r="K962" s="582">
        <f t="shared" si="42"/>
        <v>585</v>
      </c>
      <c r="L962" s="563">
        <f t="shared" si="43"/>
        <v>643.5</v>
      </c>
      <c r="M962" s="563">
        <f t="shared" si="44"/>
        <v>1287</v>
      </c>
      <c r="N962" s="580"/>
    </row>
    <row r="963" spans="4:16" x14ac:dyDescent="0.25">
      <c r="D963" s="559" t="s">
        <v>867</v>
      </c>
      <c r="E963" s="558">
        <v>310003</v>
      </c>
      <c r="F963" s="559">
        <v>301280</v>
      </c>
      <c r="G963" s="558" t="s">
        <v>4830</v>
      </c>
      <c r="H963" s="564">
        <v>40015</v>
      </c>
      <c r="I963" s="563">
        <v>961.35</v>
      </c>
      <c r="J963" s="563">
        <v>-585</v>
      </c>
      <c r="K963" s="582">
        <f t="shared" si="42"/>
        <v>376.35</v>
      </c>
      <c r="L963" s="563">
        <f t="shared" si="43"/>
        <v>413.98500000000007</v>
      </c>
      <c r="M963" s="563">
        <f t="shared" si="44"/>
        <v>1057.4850000000001</v>
      </c>
      <c r="N963" s="580"/>
    </row>
    <row r="964" spans="4:16" x14ac:dyDescent="0.25">
      <c r="D964" s="559" t="s">
        <v>867</v>
      </c>
      <c r="E964" s="558">
        <v>310006</v>
      </c>
      <c r="F964" s="559">
        <v>300492</v>
      </c>
      <c r="G964" s="558" t="s">
        <v>2079</v>
      </c>
      <c r="H964" s="564">
        <v>40015</v>
      </c>
      <c r="I964" s="563">
        <v>181.35</v>
      </c>
      <c r="J964" s="563">
        <v>-181.35</v>
      </c>
      <c r="K964" s="582">
        <f t="shared" si="42"/>
        <v>0</v>
      </c>
      <c r="L964" s="563">
        <f t="shared" si="43"/>
        <v>0</v>
      </c>
      <c r="M964" s="563">
        <f t="shared" si="44"/>
        <v>199.48500000000001</v>
      </c>
      <c r="N964" s="580"/>
    </row>
    <row r="965" spans="4:16" x14ac:dyDescent="0.25">
      <c r="D965" s="559" t="s">
        <v>867</v>
      </c>
      <c r="E965" s="558">
        <v>310008</v>
      </c>
      <c r="F965" s="559">
        <v>300406</v>
      </c>
      <c r="G965" s="558" t="s">
        <v>2079</v>
      </c>
      <c r="H965" s="564">
        <v>40015</v>
      </c>
      <c r="I965" s="563">
        <v>181.35</v>
      </c>
      <c r="J965" s="563">
        <v>-181.35</v>
      </c>
      <c r="K965" s="582">
        <f t="shared" si="42"/>
        <v>0</v>
      </c>
      <c r="L965" s="563">
        <f t="shared" si="43"/>
        <v>0</v>
      </c>
      <c r="M965" s="563">
        <f t="shared" si="44"/>
        <v>199.48500000000001</v>
      </c>
      <c r="N965" s="580"/>
    </row>
    <row r="966" spans="4:16" x14ac:dyDescent="0.25">
      <c r="D966" s="559" t="s">
        <v>867</v>
      </c>
      <c r="E966" s="558">
        <v>310009</v>
      </c>
      <c r="F966" s="559">
        <v>301345</v>
      </c>
      <c r="G966" s="558" t="s">
        <v>2079</v>
      </c>
      <c r="H966" s="564">
        <v>40015</v>
      </c>
      <c r="I966" s="563">
        <v>292.5</v>
      </c>
      <c r="J966" s="563">
        <v>-292.5</v>
      </c>
      <c r="K966" s="582">
        <f t="shared" si="42"/>
        <v>0</v>
      </c>
      <c r="L966" s="563">
        <f t="shared" si="43"/>
        <v>0</v>
      </c>
      <c r="M966" s="563">
        <f t="shared" si="44"/>
        <v>321.75</v>
      </c>
      <c r="N966" s="580"/>
    </row>
    <row r="967" spans="4:16" x14ac:dyDescent="0.25">
      <c r="D967" s="559" t="s">
        <v>867</v>
      </c>
      <c r="E967" s="558">
        <v>310010</v>
      </c>
      <c r="F967" s="559">
        <v>301133</v>
      </c>
      <c r="G967" s="558" t="s">
        <v>2079</v>
      </c>
      <c r="H967" s="564">
        <v>40015</v>
      </c>
      <c r="I967" s="563">
        <v>337.35</v>
      </c>
      <c r="J967" s="563">
        <v>-337.35</v>
      </c>
      <c r="K967" s="582">
        <f t="shared" si="42"/>
        <v>0</v>
      </c>
      <c r="L967" s="563">
        <f t="shared" si="43"/>
        <v>0</v>
      </c>
      <c r="M967" s="563">
        <f t="shared" si="44"/>
        <v>371.08500000000004</v>
      </c>
      <c r="N967" s="580"/>
    </row>
    <row r="968" spans="4:16" x14ac:dyDescent="0.25">
      <c r="D968" s="559" t="s">
        <v>867</v>
      </c>
      <c r="E968" s="558">
        <v>310013</v>
      </c>
      <c r="F968" s="559">
        <v>300537</v>
      </c>
      <c r="G968" s="558" t="s">
        <v>2079</v>
      </c>
      <c r="H968" s="564">
        <v>40015</v>
      </c>
      <c r="I968" s="563">
        <v>273</v>
      </c>
      <c r="J968" s="563">
        <v>-273</v>
      </c>
      <c r="K968" s="582">
        <f t="shared" si="42"/>
        <v>0</v>
      </c>
      <c r="L968" s="563">
        <f t="shared" si="43"/>
        <v>0</v>
      </c>
      <c r="M968" s="563">
        <f t="shared" si="44"/>
        <v>300.3</v>
      </c>
      <c r="N968" s="580"/>
    </row>
    <row r="969" spans="4:16" x14ac:dyDescent="0.25">
      <c r="D969" s="559" t="s">
        <v>867</v>
      </c>
      <c r="E969" s="558">
        <v>310014</v>
      </c>
      <c r="F969" s="559">
        <v>301802</v>
      </c>
      <c r="G969" s="558" t="s">
        <v>2080</v>
      </c>
      <c r="H969" s="564">
        <v>40015</v>
      </c>
      <c r="I969" s="563">
        <v>284.7</v>
      </c>
      <c r="J969" s="563">
        <v>-284.7</v>
      </c>
      <c r="K969" s="582">
        <f t="shared" si="42"/>
        <v>0</v>
      </c>
      <c r="L969" s="563">
        <f t="shared" si="43"/>
        <v>0</v>
      </c>
      <c r="M969" s="563">
        <f t="shared" si="44"/>
        <v>313.17</v>
      </c>
      <c r="N969" s="580"/>
    </row>
    <row r="970" spans="4:16" x14ac:dyDescent="0.25">
      <c r="D970" s="559" t="s">
        <v>867</v>
      </c>
      <c r="E970" s="558">
        <v>310019</v>
      </c>
      <c r="F970" s="559">
        <v>301848</v>
      </c>
      <c r="G970" s="558" t="s">
        <v>2080</v>
      </c>
      <c r="H970" s="564">
        <v>40015</v>
      </c>
      <c r="I970" s="563">
        <v>292.5</v>
      </c>
      <c r="J970" s="563">
        <v>-292.5</v>
      </c>
      <c r="K970" s="582">
        <f t="shared" si="42"/>
        <v>0</v>
      </c>
      <c r="L970" s="563">
        <f t="shared" si="43"/>
        <v>0</v>
      </c>
      <c r="M970" s="563">
        <f t="shared" si="44"/>
        <v>321.75</v>
      </c>
      <c r="N970" s="580"/>
    </row>
    <row r="971" spans="4:16" x14ac:dyDescent="0.25">
      <c r="D971" s="559" t="s">
        <v>867</v>
      </c>
      <c r="E971" s="558">
        <v>310020</v>
      </c>
      <c r="F971" s="559">
        <v>300797</v>
      </c>
      <c r="G971" s="558" t="s">
        <v>2080</v>
      </c>
      <c r="H971" s="564">
        <v>40015</v>
      </c>
      <c r="I971" s="563">
        <v>292.5</v>
      </c>
      <c r="J971" s="563">
        <v>-292.5</v>
      </c>
      <c r="K971" s="582">
        <f t="shared" si="42"/>
        <v>0</v>
      </c>
      <c r="L971" s="563">
        <f t="shared" si="43"/>
        <v>0</v>
      </c>
      <c r="M971" s="563">
        <f t="shared" si="44"/>
        <v>321.75</v>
      </c>
      <c r="N971" s="580"/>
    </row>
    <row r="972" spans="4:16" x14ac:dyDescent="0.25">
      <c r="D972" s="559" t="s">
        <v>867</v>
      </c>
      <c r="E972" s="558">
        <v>310021</v>
      </c>
      <c r="F972" s="559">
        <v>300570</v>
      </c>
      <c r="G972" s="558" t="s">
        <v>2080</v>
      </c>
      <c r="H972" s="564">
        <v>40015</v>
      </c>
      <c r="I972" s="563">
        <v>292.5</v>
      </c>
      <c r="J972" s="563">
        <v>-292.5</v>
      </c>
      <c r="K972" s="582">
        <f t="shared" si="42"/>
        <v>0</v>
      </c>
      <c r="L972" s="563">
        <f t="shared" si="43"/>
        <v>0</v>
      </c>
      <c r="M972" s="563">
        <f t="shared" si="44"/>
        <v>321.75</v>
      </c>
      <c r="N972" s="580"/>
    </row>
    <row r="973" spans="4:16" x14ac:dyDescent="0.25">
      <c r="D973" s="559" t="s">
        <v>867</v>
      </c>
      <c r="E973" s="558">
        <v>310022</v>
      </c>
      <c r="F973" s="559">
        <v>301308</v>
      </c>
      <c r="G973" s="558" t="s">
        <v>2080</v>
      </c>
      <c r="H973" s="564">
        <v>40015</v>
      </c>
      <c r="I973" s="563">
        <v>292.5</v>
      </c>
      <c r="J973" s="563">
        <v>-292.5</v>
      </c>
      <c r="K973" s="582">
        <f t="shared" si="42"/>
        <v>0</v>
      </c>
      <c r="L973" s="563">
        <f t="shared" si="43"/>
        <v>0</v>
      </c>
      <c r="M973" s="563">
        <f t="shared" si="44"/>
        <v>321.75</v>
      </c>
      <c r="N973" s="580"/>
    </row>
    <row r="974" spans="4:16" x14ac:dyDescent="0.25">
      <c r="D974" s="559" t="s">
        <v>867</v>
      </c>
      <c r="E974" s="558">
        <v>310023</v>
      </c>
      <c r="F974" s="559">
        <v>300144</v>
      </c>
      <c r="G974" s="558" t="s">
        <v>4831</v>
      </c>
      <c r="H974" s="564">
        <v>40015</v>
      </c>
      <c r="I974" s="563">
        <v>292.5</v>
      </c>
      <c r="J974" s="563">
        <v>-292.5</v>
      </c>
      <c r="K974" s="582">
        <f t="shared" si="42"/>
        <v>0</v>
      </c>
      <c r="L974" s="563">
        <f t="shared" si="43"/>
        <v>0</v>
      </c>
      <c r="M974" s="563">
        <f t="shared" si="44"/>
        <v>321.75</v>
      </c>
      <c r="N974" s="580"/>
    </row>
    <row r="975" spans="4:16" x14ac:dyDescent="0.25">
      <c r="D975" s="559" t="s">
        <v>867</v>
      </c>
      <c r="E975" s="558">
        <v>310024</v>
      </c>
      <c r="F975" s="559">
        <v>302128</v>
      </c>
      <c r="G975" s="558" t="s">
        <v>4831</v>
      </c>
      <c r="H975" s="564">
        <v>40015</v>
      </c>
      <c r="I975" s="563">
        <v>844.35</v>
      </c>
      <c r="J975" s="563">
        <v>-585</v>
      </c>
      <c r="K975" s="582">
        <f t="shared" si="42"/>
        <v>259.35000000000002</v>
      </c>
      <c r="L975" s="563">
        <f t="shared" si="43"/>
        <v>285.28500000000003</v>
      </c>
      <c r="M975" s="563">
        <f t="shared" si="44"/>
        <v>928.78500000000008</v>
      </c>
      <c r="N975" s="580"/>
    </row>
    <row r="976" spans="4:16" x14ac:dyDescent="0.25">
      <c r="D976" s="559" t="s">
        <v>867</v>
      </c>
      <c r="E976" s="558">
        <v>310025</v>
      </c>
      <c r="F976" s="559">
        <v>300912</v>
      </c>
      <c r="G976" s="558" t="s">
        <v>4831</v>
      </c>
      <c r="H976" s="564">
        <v>40015</v>
      </c>
      <c r="I976" s="563">
        <v>292.5</v>
      </c>
      <c r="J976" s="563">
        <v>-292.5</v>
      </c>
      <c r="K976" s="582">
        <f t="shared" si="42"/>
        <v>0</v>
      </c>
      <c r="L976" s="563">
        <f t="shared" si="43"/>
        <v>0</v>
      </c>
      <c r="M976" s="563">
        <f t="shared" si="44"/>
        <v>321.75</v>
      </c>
      <c r="N976" s="580"/>
    </row>
    <row r="977" spans="4:16" x14ac:dyDescent="0.25">
      <c r="D977" s="559" t="s">
        <v>867</v>
      </c>
      <c r="E977" s="558">
        <v>310026</v>
      </c>
      <c r="F977" s="559">
        <v>300564</v>
      </c>
      <c r="G977" s="558" t="s">
        <v>4831</v>
      </c>
      <c r="H977" s="564">
        <v>40015</v>
      </c>
      <c r="I977" s="563">
        <v>292.5</v>
      </c>
      <c r="J977" s="563">
        <v>-292.5</v>
      </c>
      <c r="K977" s="582">
        <f t="shared" si="42"/>
        <v>0</v>
      </c>
      <c r="L977" s="563">
        <f t="shared" si="43"/>
        <v>0</v>
      </c>
      <c r="M977" s="563">
        <f t="shared" si="44"/>
        <v>321.75</v>
      </c>
      <c r="N977" s="580"/>
    </row>
    <row r="978" spans="4:16" x14ac:dyDescent="0.25">
      <c r="D978" s="559" t="s">
        <v>867</v>
      </c>
      <c r="E978" s="558">
        <v>310027</v>
      </c>
      <c r="F978" s="559">
        <v>301684</v>
      </c>
      <c r="G978" s="558" t="s">
        <v>4831</v>
      </c>
      <c r="H978" s="564">
        <v>40015</v>
      </c>
      <c r="I978" s="563">
        <v>415.35</v>
      </c>
      <c r="J978" s="563">
        <v>-415.35</v>
      </c>
      <c r="K978" s="563">
        <f t="shared" si="42"/>
        <v>0</v>
      </c>
      <c r="L978" s="563">
        <f t="shared" si="43"/>
        <v>0</v>
      </c>
      <c r="M978" s="563">
        <f t="shared" si="44"/>
        <v>456.88500000000005</v>
      </c>
      <c r="N978" s="580"/>
      <c r="O978" s="558"/>
      <c r="P978" s="564"/>
    </row>
    <row r="979" spans="4:16" x14ac:dyDescent="0.25">
      <c r="D979" s="559" t="s">
        <v>867</v>
      </c>
      <c r="E979" s="558">
        <v>310030</v>
      </c>
      <c r="F979" s="559">
        <v>300054</v>
      </c>
      <c r="G979" s="558" t="s">
        <v>2081</v>
      </c>
      <c r="H979" s="564">
        <v>40015</v>
      </c>
      <c r="I979" s="563">
        <v>493.35</v>
      </c>
      <c r="J979" s="563">
        <v>-493.35</v>
      </c>
      <c r="K979" s="582">
        <f t="shared" si="42"/>
        <v>0</v>
      </c>
      <c r="L979" s="563">
        <f t="shared" si="43"/>
        <v>0</v>
      </c>
      <c r="M979" s="563">
        <f t="shared" si="44"/>
        <v>542.68500000000006</v>
      </c>
      <c r="N979" s="580"/>
    </row>
    <row r="980" spans="4:16" x14ac:dyDescent="0.25">
      <c r="D980" s="559" t="s">
        <v>867</v>
      </c>
      <c r="E980" s="558">
        <v>310031</v>
      </c>
      <c r="F980" s="559">
        <v>303589</v>
      </c>
      <c r="G980" s="558" t="s">
        <v>2081</v>
      </c>
      <c r="H980" s="564">
        <v>40015</v>
      </c>
      <c r="I980" s="563">
        <v>493.35</v>
      </c>
      <c r="J980" s="563">
        <v>-493.35</v>
      </c>
      <c r="K980" s="582">
        <f t="shared" si="42"/>
        <v>0</v>
      </c>
      <c r="L980" s="563">
        <f t="shared" si="43"/>
        <v>0</v>
      </c>
      <c r="M980" s="563">
        <f t="shared" si="44"/>
        <v>542.68500000000006</v>
      </c>
      <c r="N980" s="580"/>
    </row>
    <row r="981" spans="4:16" x14ac:dyDescent="0.25">
      <c r="D981" s="559" t="s">
        <v>867</v>
      </c>
      <c r="E981" s="558">
        <v>310032</v>
      </c>
      <c r="F981" s="559">
        <v>302021</v>
      </c>
      <c r="G981" s="558" t="s">
        <v>2081</v>
      </c>
      <c r="H981" s="564">
        <v>40015</v>
      </c>
      <c r="I981" s="563">
        <v>1053</v>
      </c>
      <c r="J981" s="563">
        <v>-585</v>
      </c>
      <c r="K981" s="582">
        <f t="shared" si="42"/>
        <v>468</v>
      </c>
      <c r="L981" s="563">
        <f t="shared" si="43"/>
        <v>514.80000000000007</v>
      </c>
      <c r="M981" s="563">
        <f t="shared" si="44"/>
        <v>1158.3000000000002</v>
      </c>
      <c r="N981" s="580"/>
    </row>
    <row r="982" spans="4:16" x14ac:dyDescent="0.25">
      <c r="D982" s="559" t="s">
        <v>867</v>
      </c>
      <c r="E982" s="558">
        <v>310033</v>
      </c>
      <c r="F982" s="559">
        <v>300778</v>
      </c>
      <c r="G982" s="558" t="s">
        <v>2081</v>
      </c>
      <c r="H982" s="564">
        <v>40015</v>
      </c>
      <c r="I982" s="563">
        <v>493.35</v>
      </c>
      <c r="J982" s="563">
        <v>-493.35</v>
      </c>
      <c r="K982" s="582">
        <f t="shared" si="42"/>
        <v>0</v>
      </c>
      <c r="L982" s="563">
        <f t="shared" si="43"/>
        <v>0</v>
      </c>
      <c r="M982" s="563">
        <f t="shared" si="44"/>
        <v>542.68500000000006</v>
      </c>
      <c r="N982" s="580"/>
    </row>
    <row r="983" spans="4:16" x14ac:dyDescent="0.25">
      <c r="D983" s="559" t="s">
        <v>867</v>
      </c>
      <c r="E983" s="558">
        <v>310035</v>
      </c>
      <c r="F983" s="559">
        <v>301663</v>
      </c>
      <c r="G983" s="558" t="s">
        <v>2081</v>
      </c>
      <c r="H983" s="564">
        <v>40015</v>
      </c>
      <c r="I983" s="563">
        <v>493.35</v>
      </c>
      <c r="J983" s="563">
        <v>-493.35</v>
      </c>
      <c r="K983" s="582">
        <f t="shared" si="42"/>
        <v>0</v>
      </c>
      <c r="L983" s="563">
        <f t="shared" si="43"/>
        <v>0</v>
      </c>
      <c r="M983" s="563">
        <f t="shared" si="44"/>
        <v>542.68500000000006</v>
      </c>
      <c r="N983" s="580"/>
    </row>
    <row r="984" spans="4:16" x14ac:dyDescent="0.25">
      <c r="D984" s="559" t="s">
        <v>867</v>
      </c>
      <c r="E984" s="558">
        <v>310036</v>
      </c>
      <c r="F984" s="559">
        <v>300339</v>
      </c>
      <c r="G984" s="558" t="s">
        <v>2082</v>
      </c>
      <c r="H984" s="564">
        <v>40015</v>
      </c>
      <c r="I984" s="563">
        <v>741</v>
      </c>
      <c r="J984" s="563">
        <v>-585</v>
      </c>
      <c r="K984" s="582">
        <f t="shared" si="42"/>
        <v>156</v>
      </c>
      <c r="L984" s="563">
        <f t="shared" si="43"/>
        <v>171.60000000000002</v>
      </c>
      <c r="M984" s="563">
        <f t="shared" si="44"/>
        <v>815.1</v>
      </c>
      <c r="N984" s="580"/>
    </row>
    <row r="985" spans="4:16" x14ac:dyDescent="0.25">
      <c r="D985" s="559" t="s">
        <v>867</v>
      </c>
      <c r="E985" s="558">
        <v>310037</v>
      </c>
      <c r="F985" s="559">
        <v>300571</v>
      </c>
      <c r="G985" s="558" t="s">
        <v>2082</v>
      </c>
      <c r="H985" s="564">
        <v>40015</v>
      </c>
      <c r="I985" s="563">
        <v>493.35</v>
      </c>
      <c r="J985" s="563">
        <v>-493.35</v>
      </c>
      <c r="K985" s="582">
        <f t="shared" si="42"/>
        <v>0</v>
      </c>
      <c r="L985" s="563">
        <f t="shared" si="43"/>
        <v>0</v>
      </c>
      <c r="M985" s="563">
        <f t="shared" si="44"/>
        <v>542.68500000000006</v>
      </c>
      <c r="N985" s="580"/>
    </row>
    <row r="986" spans="4:16" x14ac:dyDescent="0.25">
      <c r="D986" s="559" t="s">
        <v>867</v>
      </c>
      <c r="E986" s="558">
        <v>310038</v>
      </c>
      <c r="F986" s="559">
        <v>300531</v>
      </c>
      <c r="G986" s="558" t="s">
        <v>2082</v>
      </c>
      <c r="H986" s="564">
        <v>40015</v>
      </c>
      <c r="I986" s="563">
        <v>493.35</v>
      </c>
      <c r="J986" s="563">
        <v>-493.35</v>
      </c>
      <c r="K986" s="582">
        <f t="shared" si="42"/>
        <v>0</v>
      </c>
      <c r="L986" s="563">
        <f t="shared" si="43"/>
        <v>0</v>
      </c>
      <c r="M986" s="563">
        <f t="shared" si="44"/>
        <v>542.68500000000006</v>
      </c>
      <c r="N986" s="580"/>
    </row>
    <row r="987" spans="4:16" x14ac:dyDescent="0.25">
      <c r="D987" s="559" t="s">
        <v>867</v>
      </c>
      <c r="E987" s="558">
        <v>310039</v>
      </c>
      <c r="F987" s="559">
        <v>300717</v>
      </c>
      <c r="G987" s="558" t="s">
        <v>2082</v>
      </c>
      <c r="H987" s="564">
        <v>40015</v>
      </c>
      <c r="I987" s="563">
        <v>493.35</v>
      </c>
      <c r="J987" s="563">
        <v>-493.35</v>
      </c>
      <c r="K987" s="582">
        <f t="shared" si="42"/>
        <v>0</v>
      </c>
      <c r="L987" s="563">
        <f t="shared" si="43"/>
        <v>0</v>
      </c>
      <c r="M987" s="563">
        <f t="shared" si="44"/>
        <v>542.68500000000006</v>
      </c>
      <c r="N987" s="580"/>
    </row>
    <row r="988" spans="4:16" x14ac:dyDescent="0.25">
      <c r="D988" s="559" t="s">
        <v>867</v>
      </c>
      <c r="E988" s="558">
        <v>310043</v>
      </c>
      <c r="F988" s="559">
        <v>300588</v>
      </c>
      <c r="G988" s="558" t="s">
        <v>2082</v>
      </c>
      <c r="H988" s="564">
        <v>40015</v>
      </c>
      <c r="I988" s="563">
        <v>649.35</v>
      </c>
      <c r="J988" s="563">
        <v>-585</v>
      </c>
      <c r="K988" s="582">
        <f t="shared" si="42"/>
        <v>64.350000000000023</v>
      </c>
      <c r="L988" s="563">
        <f t="shared" si="43"/>
        <v>70.785000000000025</v>
      </c>
      <c r="M988" s="563">
        <f t="shared" si="44"/>
        <v>714.28500000000008</v>
      </c>
      <c r="N988" s="580"/>
    </row>
    <row r="989" spans="4:16" x14ac:dyDescent="0.25">
      <c r="D989" s="559" t="s">
        <v>867</v>
      </c>
      <c r="E989" s="558">
        <v>310048</v>
      </c>
      <c r="F989" s="559">
        <v>301325</v>
      </c>
      <c r="G989" s="558" t="s">
        <v>2083</v>
      </c>
      <c r="H989" s="564">
        <v>40015</v>
      </c>
      <c r="I989" s="563">
        <v>649.35</v>
      </c>
      <c r="J989" s="563">
        <v>-585</v>
      </c>
      <c r="K989" s="582">
        <f t="shared" si="42"/>
        <v>64.350000000000023</v>
      </c>
      <c r="L989" s="563">
        <f t="shared" si="43"/>
        <v>70.785000000000025</v>
      </c>
      <c r="M989" s="563">
        <f t="shared" si="44"/>
        <v>714.28500000000008</v>
      </c>
      <c r="N989" s="580"/>
    </row>
    <row r="990" spans="4:16" x14ac:dyDescent="0.25">
      <c r="D990" s="559" t="s">
        <v>867</v>
      </c>
      <c r="E990" s="558">
        <v>310049</v>
      </c>
      <c r="F990" s="559">
        <v>300923</v>
      </c>
      <c r="G990" s="558" t="s">
        <v>2083</v>
      </c>
      <c r="H990" s="564">
        <v>40015</v>
      </c>
      <c r="I990" s="563">
        <v>649.35</v>
      </c>
      <c r="J990" s="563">
        <v>-585</v>
      </c>
      <c r="K990" s="582">
        <f t="shared" si="42"/>
        <v>64.350000000000023</v>
      </c>
      <c r="L990" s="563">
        <f t="shared" si="43"/>
        <v>70.785000000000025</v>
      </c>
      <c r="M990" s="563">
        <f t="shared" si="44"/>
        <v>714.28500000000008</v>
      </c>
      <c r="N990" s="580"/>
    </row>
    <row r="991" spans="4:16" x14ac:dyDescent="0.25">
      <c r="D991" s="559" t="s">
        <v>867</v>
      </c>
      <c r="E991" s="558">
        <v>310052</v>
      </c>
      <c r="F991" s="559">
        <v>302182</v>
      </c>
      <c r="G991" s="558" t="s">
        <v>2083</v>
      </c>
      <c r="H991" s="564">
        <v>40015</v>
      </c>
      <c r="I991" s="563">
        <v>649.35</v>
      </c>
      <c r="J991" s="563">
        <v>-585</v>
      </c>
      <c r="K991" s="582">
        <f t="shared" si="42"/>
        <v>64.350000000000023</v>
      </c>
      <c r="L991" s="563">
        <f t="shared" si="43"/>
        <v>70.785000000000025</v>
      </c>
      <c r="M991" s="563">
        <f t="shared" si="44"/>
        <v>714.28500000000008</v>
      </c>
      <c r="N991" s="580"/>
    </row>
    <row r="992" spans="4:16" x14ac:dyDescent="0.25">
      <c r="D992" s="559" t="s">
        <v>867</v>
      </c>
      <c r="E992" s="558">
        <v>310053</v>
      </c>
      <c r="F992" s="559">
        <v>302234</v>
      </c>
      <c r="G992" s="558" t="s">
        <v>2083</v>
      </c>
      <c r="H992" s="564">
        <v>40015</v>
      </c>
      <c r="I992" s="563">
        <v>649.35</v>
      </c>
      <c r="J992" s="563">
        <v>-585</v>
      </c>
      <c r="K992" s="582">
        <f t="shared" si="42"/>
        <v>64.350000000000023</v>
      </c>
      <c r="L992" s="563">
        <f t="shared" si="43"/>
        <v>70.785000000000025</v>
      </c>
      <c r="M992" s="563">
        <f t="shared" si="44"/>
        <v>714.28500000000008</v>
      </c>
      <c r="N992" s="580"/>
    </row>
    <row r="993" spans="4:14" x14ac:dyDescent="0.25">
      <c r="D993" s="559" t="s">
        <v>867</v>
      </c>
      <c r="E993" s="558">
        <v>310056</v>
      </c>
      <c r="F993" s="559">
        <v>301974</v>
      </c>
      <c r="G993" s="558" t="s">
        <v>2083</v>
      </c>
      <c r="H993" s="564">
        <v>40015</v>
      </c>
      <c r="I993" s="563">
        <v>610.35</v>
      </c>
      <c r="J993" s="563">
        <v>-585</v>
      </c>
      <c r="K993" s="582">
        <f t="shared" si="42"/>
        <v>25.350000000000023</v>
      </c>
      <c r="L993" s="563">
        <f t="shared" si="43"/>
        <v>27.885000000000026</v>
      </c>
      <c r="M993" s="563">
        <f t="shared" si="44"/>
        <v>671.3850000000001</v>
      </c>
      <c r="N993" s="580"/>
    </row>
    <row r="994" spans="4:14" x14ac:dyDescent="0.25">
      <c r="D994" s="559" t="s">
        <v>867</v>
      </c>
      <c r="E994" s="558">
        <v>310058</v>
      </c>
      <c r="F994" s="559">
        <v>300737</v>
      </c>
      <c r="G994" s="558" t="s">
        <v>2084</v>
      </c>
      <c r="H994" s="564">
        <v>40015</v>
      </c>
      <c r="I994" s="563">
        <v>649.35</v>
      </c>
      <c r="J994" s="563">
        <v>-585</v>
      </c>
      <c r="K994" s="582">
        <f t="shared" si="42"/>
        <v>64.350000000000023</v>
      </c>
      <c r="L994" s="563">
        <f t="shared" si="43"/>
        <v>70.785000000000025</v>
      </c>
      <c r="M994" s="563">
        <f t="shared" si="44"/>
        <v>714.28500000000008</v>
      </c>
      <c r="N994" s="580"/>
    </row>
    <row r="995" spans="4:14" x14ac:dyDescent="0.25">
      <c r="D995" s="559" t="s">
        <v>867</v>
      </c>
      <c r="E995" s="558">
        <v>310059</v>
      </c>
      <c r="F995" s="559">
        <v>300727</v>
      </c>
      <c r="G995" s="558" t="s">
        <v>2084</v>
      </c>
      <c r="H995" s="564">
        <v>40015</v>
      </c>
      <c r="I995" s="563">
        <v>649.35</v>
      </c>
      <c r="J995" s="563">
        <v>-585</v>
      </c>
      <c r="K995" s="582">
        <f t="shared" si="42"/>
        <v>64.350000000000023</v>
      </c>
      <c r="L995" s="563">
        <f t="shared" si="43"/>
        <v>70.785000000000025</v>
      </c>
      <c r="M995" s="563">
        <f t="shared" si="44"/>
        <v>714.28500000000008</v>
      </c>
      <c r="N995" s="580"/>
    </row>
    <row r="996" spans="4:14" x14ac:dyDescent="0.25">
      <c r="D996" s="559" t="s">
        <v>867</v>
      </c>
      <c r="E996" s="558">
        <v>310060</v>
      </c>
      <c r="F996" s="559">
        <v>300227</v>
      </c>
      <c r="G996" s="558" t="s">
        <v>2084</v>
      </c>
      <c r="H996" s="564">
        <v>40015</v>
      </c>
      <c r="I996" s="563">
        <v>649.35</v>
      </c>
      <c r="J996" s="563">
        <v>-585</v>
      </c>
      <c r="K996" s="582">
        <f t="shared" si="42"/>
        <v>64.350000000000023</v>
      </c>
      <c r="L996" s="563">
        <f t="shared" si="43"/>
        <v>70.785000000000025</v>
      </c>
      <c r="M996" s="563">
        <f t="shared" si="44"/>
        <v>714.28500000000008</v>
      </c>
      <c r="N996" s="580"/>
    </row>
    <row r="997" spans="4:14" x14ac:dyDescent="0.25">
      <c r="D997" s="559" t="s">
        <v>867</v>
      </c>
      <c r="E997" s="558">
        <v>310061</v>
      </c>
      <c r="F997" s="559">
        <v>302131</v>
      </c>
      <c r="G997" s="558" t="s">
        <v>2084</v>
      </c>
      <c r="H997" s="564">
        <v>40015</v>
      </c>
      <c r="I997" s="563">
        <v>649.35</v>
      </c>
      <c r="J997" s="563">
        <v>-585</v>
      </c>
      <c r="K997" s="582">
        <f t="shared" si="42"/>
        <v>64.350000000000023</v>
      </c>
      <c r="L997" s="563">
        <f t="shared" si="43"/>
        <v>70.785000000000025</v>
      </c>
      <c r="M997" s="563">
        <f t="shared" si="44"/>
        <v>714.28500000000008</v>
      </c>
      <c r="N997" s="580"/>
    </row>
    <row r="998" spans="4:14" x14ac:dyDescent="0.25">
      <c r="D998" s="559" t="s">
        <v>867</v>
      </c>
      <c r="E998" s="558">
        <v>310063</v>
      </c>
      <c r="F998" s="559">
        <v>300403</v>
      </c>
      <c r="G998" s="558" t="s">
        <v>2084</v>
      </c>
      <c r="H998" s="564">
        <v>40015</v>
      </c>
      <c r="I998" s="563">
        <v>649.35</v>
      </c>
      <c r="J998" s="563">
        <v>-585</v>
      </c>
      <c r="K998" s="582">
        <f t="shared" si="42"/>
        <v>64.350000000000023</v>
      </c>
      <c r="L998" s="563">
        <f t="shared" si="43"/>
        <v>70.785000000000025</v>
      </c>
      <c r="M998" s="563">
        <f t="shared" si="44"/>
        <v>714.28500000000008</v>
      </c>
      <c r="N998" s="580"/>
    </row>
    <row r="999" spans="4:14" x14ac:dyDescent="0.25">
      <c r="D999" s="559" t="s">
        <v>867</v>
      </c>
      <c r="E999" s="558">
        <v>310064</v>
      </c>
      <c r="F999" s="559">
        <v>301765</v>
      </c>
      <c r="G999" s="558" t="s">
        <v>2085</v>
      </c>
      <c r="H999" s="564">
        <v>40015</v>
      </c>
      <c r="I999" s="563">
        <v>805.35</v>
      </c>
      <c r="J999" s="563">
        <v>-585</v>
      </c>
      <c r="K999" s="582">
        <f t="shared" si="42"/>
        <v>220.35000000000002</v>
      </c>
      <c r="L999" s="563">
        <f t="shared" si="43"/>
        <v>242.38500000000005</v>
      </c>
      <c r="M999" s="563">
        <f t="shared" si="44"/>
        <v>885.8850000000001</v>
      </c>
      <c r="N999" s="580"/>
    </row>
    <row r="1000" spans="4:14" x14ac:dyDescent="0.25">
      <c r="D1000" s="559" t="s">
        <v>867</v>
      </c>
      <c r="E1000" s="558">
        <v>310069</v>
      </c>
      <c r="F1000" s="559">
        <v>301233</v>
      </c>
      <c r="G1000" s="558" t="s">
        <v>2085</v>
      </c>
      <c r="H1000" s="564">
        <v>40015</v>
      </c>
      <c r="I1000" s="563">
        <v>649.35</v>
      </c>
      <c r="J1000" s="563">
        <v>-585</v>
      </c>
      <c r="K1000" s="582">
        <f t="shared" si="42"/>
        <v>64.350000000000023</v>
      </c>
      <c r="L1000" s="563">
        <f t="shared" si="43"/>
        <v>70.785000000000025</v>
      </c>
      <c r="M1000" s="563">
        <f t="shared" si="44"/>
        <v>714.28500000000008</v>
      </c>
      <c r="N1000" s="580"/>
    </row>
    <row r="1001" spans="4:14" x14ac:dyDescent="0.25">
      <c r="D1001" s="559" t="s">
        <v>867</v>
      </c>
      <c r="E1001" s="558">
        <v>310072</v>
      </c>
      <c r="F1001" s="559">
        <v>301205</v>
      </c>
      <c r="G1001" s="558" t="s">
        <v>2085</v>
      </c>
      <c r="H1001" s="564">
        <v>40015</v>
      </c>
      <c r="I1001" s="563">
        <v>649.35</v>
      </c>
      <c r="J1001" s="563">
        <v>-585</v>
      </c>
      <c r="K1001" s="582">
        <f t="shared" ref="K1001:K1064" si="45">+I1001+J1001</f>
        <v>64.350000000000023</v>
      </c>
      <c r="L1001" s="563">
        <f t="shared" ref="L1001:L1064" si="46">+K1001*1.1</f>
        <v>70.785000000000025</v>
      </c>
      <c r="M1001" s="563">
        <f t="shared" ref="M1001:M1064" si="47">+I1001*1.1</f>
        <v>714.28500000000008</v>
      </c>
      <c r="N1001" s="580"/>
    </row>
    <row r="1002" spans="4:14" x14ac:dyDescent="0.25">
      <c r="D1002" s="559" t="s">
        <v>867</v>
      </c>
      <c r="E1002" s="558">
        <v>310074</v>
      </c>
      <c r="F1002" s="559">
        <v>300511</v>
      </c>
      <c r="G1002" s="558" t="s">
        <v>2085</v>
      </c>
      <c r="H1002" s="564">
        <v>40015</v>
      </c>
      <c r="I1002" s="563">
        <v>649.35</v>
      </c>
      <c r="J1002" s="563">
        <v>-585</v>
      </c>
      <c r="K1002" s="582">
        <f t="shared" si="45"/>
        <v>64.350000000000023</v>
      </c>
      <c r="L1002" s="563">
        <f t="shared" si="46"/>
        <v>70.785000000000025</v>
      </c>
      <c r="M1002" s="563">
        <f t="shared" si="47"/>
        <v>714.28500000000008</v>
      </c>
      <c r="N1002" s="580"/>
    </row>
    <row r="1003" spans="4:14" x14ac:dyDescent="0.25">
      <c r="D1003" s="559" t="s">
        <v>867</v>
      </c>
      <c r="E1003" s="558">
        <v>310075</v>
      </c>
      <c r="F1003" s="559">
        <v>300980</v>
      </c>
      <c r="G1003" s="558" t="s">
        <v>2085</v>
      </c>
      <c r="H1003" s="564">
        <v>40015</v>
      </c>
      <c r="I1003" s="563">
        <v>688.35</v>
      </c>
      <c r="J1003" s="563">
        <v>-585</v>
      </c>
      <c r="K1003" s="582">
        <f t="shared" si="45"/>
        <v>103.35000000000002</v>
      </c>
      <c r="L1003" s="563">
        <f t="shared" si="46"/>
        <v>113.68500000000003</v>
      </c>
      <c r="M1003" s="563">
        <f t="shared" si="47"/>
        <v>757.18500000000006</v>
      </c>
      <c r="N1003" s="580"/>
    </row>
    <row r="1004" spans="4:14" x14ac:dyDescent="0.25">
      <c r="D1004" s="559" t="s">
        <v>867</v>
      </c>
      <c r="E1004" s="558">
        <v>310078</v>
      </c>
      <c r="F1004" s="559">
        <v>300025</v>
      </c>
      <c r="G1004" s="558" t="s">
        <v>2086</v>
      </c>
      <c r="H1004" s="564">
        <v>40015</v>
      </c>
      <c r="I1004" s="563">
        <v>649.35</v>
      </c>
      <c r="J1004" s="563">
        <v>-585</v>
      </c>
      <c r="K1004" s="582">
        <f t="shared" si="45"/>
        <v>64.350000000000023</v>
      </c>
      <c r="L1004" s="563">
        <f t="shared" si="46"/>
        <v>70.785000000000025</v>
      </c>
      <c r="M1004" s="563">
        <f t="shared" si="47"/>
        <v>714.28500000000008</v>
      </c>
      <c r="N1004" s="580"/>
    </row>
    <row r="1005" spans="4:14" x14ac:dyDescent="0.25">
      <c r="D1005" s="559" t="s">
        <v>867</v>
      </c>
      <c r="E1005" s="558">
        <v>310079</v>
      </c>
      <c r="F1005" s="559">
        <v>301505</v>
      </c>
      <c r="G1005" s="558" t="s">
        <v>2086</v>
      </c>
      <c r="H1005" s="564">
        <v>40015</v>
      </c>
      <c r="I1005" s="563">
        <v>649.35</v>
      </c>
      <c r="J1005" s="563">
        <v>-585</v>
      </c>
      <c r="K1005" s="582">
        <f t="shared" si="45"/>
        <v>64.350000000000023</v>
      </c>
      <c r="L1005" s="563">
        <f t="shared" si="46"/>
        <v>70.785000000000025</v>
      </c>
      <c r="M1005" s="563">
        <f t="shared" si="47"/>
        <v>714.28500000000008</v>
      </c>
      <c r="N1005" s="580"/>
    </row>
    <row r="1006" spans="4:14" x14ac:dyDescent="0.25">
      <c r="D1006" s="559" t="s">
        <v>867</v>
      </c>
      <c r="E1006" s="558">
        <v>310080</v>
      </c>
      <c r="F1006" s="559">
        <v>300090</v>
      </c>
      <c r="G1006" s="558" t="s">
        <v>2086</v>
      </c>
      <c r="H1006" s="564">
        <v>40015</v>
      </c>
      <c r="I1006" s="563">
        <v>649.35</v>
      </c>
      <c r="J1006" s="563">
        <v>-585</v>
      </c>
      <c r="K1006" s="582">
        <f t="shared" si="45"/>
        <v>64.350000000000023</v>
      </c>
      <c r="L1006" s="563">
        <f t="shared" si="46"/>
        <v>70.785000000000025</v>
      </c>
      <c r="M1006" s="563">
        <f t="shared" si="47"/>
        <v>714.28500000000008</v>
      </c>
      <c r="N1006" s="580"/>
    </row>
    <row r="1007" spans="4:14" x14ac:dyDescent="0.25">
      <c r="D1007" s="559" t="s">
        <v>867</v>
      </c>
      <c r="E1007" s="558">
        <v>310083</v>
      </c>
      <c r="F1007" s="559">
        <v>301460</v>
      </c>
      <c r="G1007" s="558" t="s">
        <v>2086</v>
      </c>
      <c r="H1007" s="564">
        <v>40015</v>
      </c>
      <c r="I1007" s="563">
        <v>273</v>
      </c>
      <c r="J1007" s="563">
        <v>-273</v>
      </c>
      <c r="K1007" s="582">
        <f t="shared" si="45"/>
        <v>0</v>
      </c>
      <c r="L1007" s="563">
        <f t="shared" si="46"/>
        <v>0</v>
      </c>
      <c r="M1007" s="563">
        <f t="shared" si="47"/>
        <v>300.3</v>
      </c>
      <c r="N1007" s="580"/>
    </row>
    <row r="1008" spans="4:14" x14ac:dyDescent="0.25">
      <c r="D1008" s="559" t="s">
        <v>867</v>
      </c>
      <c r="E1008" s="558">
        <v>310084</v>
      </c>
      <c r="F1008" s="559">
        <v>301561</v>
      </c>
      <c r="G1008" s="558" t="s">
        <v>2086</v>
      </c>
      <c r="H1008" s="564">
        <v>40015</v>
      </c>
      <c r="I1008" s="563">
        <v>649.35</v>
      </c>
      <c r="J1008" s="563">
        <v>-585</v>
      </c>
      <c r="K1008" s="582">
        <f t="shared" si="45"/>
        <v>64.350000000000023</v>
      </c>
      <c r="L1008" s="563">
        <f t="shared" si="46"/>
        <v>70.785000000000025</v>
      </c>
      <c r="M1008" s="563">
        <f t="shared" si="47"/>
        <v>714.28500000000008</v>
      </c>
      <c r="N1008" s="580"/>
    </row>
    <row r="1009" spans="4:14" x14ac:dyDescent="0.25">
      <c r="D1009" s="559" t="s">
        <v>867</v>
      </c>
      <c r="E1009" s="558">
        <v>310085</v>
      </c>
      <c r="F1009" s="559">
        <v>301080</v>
      </c>
      <c r="G1009" s="558" t="s">
        <v>2087</v>
      </c>
      <c r="H1009" s="564">
        <v>40015</v>
      </c>
      <c r="I1009" s="563">
        <v>649.35</v>
      </c>
      <c r="J1009" s="563">
        <v>-585</v>
      </c>
      <c r="K1009" s="582">
        <f t="shared" si="45"/>
        <v>64.350000000000023</v>
      </c>
      <c r="L1009" s="563">
        <f t="shared" si="46"/>
        <v>70.785000000000025</v>
      </c>
      <c r="M1009" s="563">
        <f t="shared" si="47"/>
        <v>714.28500000000008</v>
      </c>
      <c r="N1009" s="580"/>
    </row>
    <row r="1010" spans="4:14" x14ac:dyDescent="0.25">
      <c r="D1010" s="559" t="s">
        <v>867</v>
      </c>
      <c r="E1010" s="558">
        <v>310086</v>
      </c>
      <c r="F1010" s="559">
        <v>300509</v>
      </c>
      <c r="G1010" s="558" t="s">
        <v>2087</v>
      </c>
      <c r="H1010" s="564">
        <v>40015</v>
      </c>
      <c r="I1010" s="563">
        <v>649.35</v>
      </c>
      <c r="J1010" s="563">
        <v>-585</v>
      </c>
      <c r="K1010" s="582">
        <f t="shared" si="45"/>
        <v>64.350000000000023</v>
      </c>
      <c r="L1010" s="563">
        <f t="shared" si="46"/>
        <v>70.785000000000025</v>
      </c>
      <c r="M1010" s="563">
        <f t="shared" si="47"/>
        <v>714.28500000000008</v>
      </c>
      <c r="N1010" s="580"/>
    </row>
    <row r="1011" spans="4:14" x14ac:dyDescent="0.25">
      <c r="D1011" s="559" t="s">
        <v>867</v>
      </c>
      <c r="E1011" s="558">
        <v>310087</v>
      </c>
      <c r="F1011" s="559">
        <v>300498</v>
      </c>
      <c r="G1011" s="558" t="s">
        <v>2087</v>
      </c>
      <c r="H1011" s="564">
        <v>40015</v>
      </c>
      <c r="I1011" s="563">
        <v>649.35</v>
      </c>
      <c r="J1011" s="563">
        <v>-585</v>
      </c>
      <c r="K1011" s="582">
        <f t="shared" si="45"/>
        <v>64.350000000000023</v>
      </c>
      <c r="L1011" s="563">
        <f t="shared" si="46"/>
        <v>70.785000000000025</v>
      </c>
      <c r="M1011" s="563">
        <f t="shared" si="47"/>
        <v>714.28500000000008</v>
      </c>
      <c r="N1011" s="580"/>
    </row>
    <row r="1012" spans="4:14" x14ac:dyDescent="0.25">
      <c r="D1012" s="559" t="s">
        <v>867</v>
      </c>
      <c r="E1012" s="558">
        <v>310088</v>
      </c>
      <c r="F1012" s="559">
        <v>302108</v>
      </c>
      <c r="G1012" s="558" t="s">
        <v>2087</v>
      </c>
      <c r="H1012" s="564">
        <v>40015</v>
      </c>
      <c r="I1012" s="563">
        <v>805.35</v>
      </c>
      <c r="J1012" s="563">
        <v>-585</v>
      </c>
      <c r="K1012" s="582">
        <f t="shared" si="45"/>
        <v>220.35000000000002</v>
      </c>
      <c r="L1012" s="563">
        <f t="shared" si="46"/>
        <v>242.38500000000005</v>
      </c>
      <c r="M1012" s="563">
        <f t="shared" si="47"/>
        <v>885.8850000000001</v>
      </c>
      <c r="N1012" s="580"/>
    </row>
    <row r="1013" spans="4:14" x14ac:dyDescent="0.25">
      <c r="D1013" s="559" t="s">
        <v>867</v>
      </c>
      <c r="E1013" s="558">
        <v>310090</v>
      </c>
      <c r="F1013" s="559">
        <v>301090</v>
      </c>
      <c r="G1013" s="558" t="s">
        <v>2087</v>
      </c>
      <c r="H1013" s="564">
        <v>40015</v>
      </c>
      <c r="I1013" s="563">
        <v>649.35</v>
      </c>
      <c r="J1013" s="563">
        <v>-585</v>
      </c>
      <c r="K1013" s="582">
        <f t="shared" si="45"/>
        <v>64.350000000000023</v>
      </c>
      <c r="L1013" s="563">
        <f t="shared" si="46"/>
        <v>70.785000000000025</v>
      </c>
      <c r="M1013" s="563">
        <f t="shared" si="47"/>
        <v>714.28500000000008</v>
      </c>
      <c r="N1013" s="580"/>
    </row>
    <row r="1014" spans="4:14" x14ac:dyDescent="0.25">
      <c r="D1014" s="559" t="s">
        <v>867</v>
      </c>
      <c r="E1014" s="558">
        <v>310091</v>
      </c>
      <c r="F1014" s="559">
        <v>300519</v>
      </c>
      <c r="G1014" s="558" t="s">
        <v>2088</v>
      </c>
      <c r="H1014" s="564">
        <v>40015</v>
      </c>
      <c r="I1014" s="563">
        <v>649.35</v>
      </c>
      <c r="J1014" s="563">
        <v>-585</v>
      </c>
      <c r="K1014" s="582">
        <f t="shared" si="45"/>
        <v>64.350000000000023</v>
      </c>
      <c r="L1014" s="563">
        <f t="shared" si="46"/>
        <v>70.785000000000025</v>
      </c>
      <c r="M1014" s="563">
        <f t="shared" si="47"/>
        <v>714.28500000000008</v>
      </c>
      <c r="N1014" s="580"/>
    </row>
    <row r="1015" spans="4:14" x14ac:dyDescent="0.25">
      <c r="D1015" s="559" t="s">
        <v>867</v>
      </c>
      <c r="E1015" s="558">
        <v>310092</v>
      </c>
      <c r="F1015" s="559">
        <v>301913</v>
      </c>
      <c r="G1015" s="558" t="s">
        <v>2088</v>
      </c>
      <c r="H1015" s="564">
        <v>40015</v>
      </c>
      <c r="I1015" s="563">
        <v>649.35</v>
      </c>
      <c r="J1015" s="563">
        <v>-585</v>
      </c>
      <c r="K1015" s="582">
        <f t="shared" si="45"/>
        <v>64.350000000000023</v>
      </c>
      <c r="L1015" s="563">
        <f t="shared" si="46"/>
        <v>70.785000000000025</v>
      </c>
      <c r="M1015" s="563">
        <f t="shared" si="47"/>
        <v>714.28500000000008</v>
      </c>
      <c r="N1015" s="580"/>
    </row>
    <row r="1016" spans="4:14" x14ac:dyDescent="0.25">
      <c r="D1016" s="559" t="s">
        <v>867</v>
      </c>
      <c r="E1016" s="558">
        <v>310093</v>
      </c>
      <c r="F1016" s="559">
        <v>301831</v>
      </c>
      <c r="G1016" s="558" t="s">
        <v>2088</v>
      </c>
      <c r="H1016" s="564">
        <v>40015</v>
      </c>
      <c r="I1016" s="563">
        <v>571.35</v>
      </c>
      <c r="J1016" s="563">
        <v>-571.35</v>
      </c>
      <c r="K1016" s="582">
        <f t="shared" si="45"/>
        <v>0</v>
      </c>
      <c r="L1016" s="563">
        <f t="shared" si="46"/>
        <v>0</v>
      </c>
      <c r="M1016" s="563">
        <f t="shared" si="47"/>
        <v>628.48500000000013</v>
      </c>
      <c r="N1016" s="580"/>
    </row>
    <row r="1017" spans="4:14" x14ac:dyDescent="0.25">
      <c r="D1017" s="559" t="s">
        <v>867</v>
      </c>
      <c r="E1017" s="558">
        <v>310094</v>
      </c>
      <c r="F1017" s="559">
        <v>301319</v>
      </c>
      <c r="G1017" s="558" t="s">
        <v>2088</v>
      </c>
      <c r="H1017" s="564">
        <v>40015</v>
      </c>
      <c r="I1017" s="563">
        <v>571.35</v>
      </c>
      <c r="J1017" s="563">
        <v>-571.35</v>
      </c>
      <c r="K1017" s="582">
        <f t="shared" si="45"/>
        <v>0</v>
      </c>
      <c r="L1017" s="563">
        <f t="shared" si="46"/>
        <v>0</v>
      </c>
      <c r="M1017" s="563">
        <f t="shared" si="47"/>
        <v>628.48500000000013</v>
      </c>
      <c r="N1017" s="580"/>
    </row>
    <row r="1018" spans="4:14" x14ac:dyDescent="0.25">
      <c r="D1018" s="559" t="s">
        <v>867</v>
      </c>
      <c r="E1018" s="558">
        <v>310095</v>
      </c>
      <c r="F1018" s="559">
        <v>300607</v>
      </c>
      <c r="G1018" s="558" t="s">
        <v>2088</v>
      </c>
      <c r="H1018" s="564">
        <v>40015</v>
      </c>
      <c r="I1018" s="563">
        <v>571.35</v>
      </c>
      <c r="J1018" s="563">
        <v>-571.35</v>
      </c>
      <c r="K1018" s="582">
        <f t="shared" si="45"/>
        <v>0</v>
      </c>
      <c r="L1018" s="563">
        <f t="shared" si="46"/>
        <v>0</v>
      </c>
      <c r="M1018" s="563">
        <f t="shared" si="47"/>
        <v>628.48500000000013</v>
      </c>
      <c r="N1018" s="580"/>
    </row>
    <row r="1019" spans="4:14" x14ac:dyDescent="0.25">
      <c r="D1019" s="559" t="s">
        <v>867</v>
      </c>
      <c r="E1019" s="558">
        <v>310101</v>
      </c>
      <c r="F1019" s="559">
        <v>301411</v>
      </c>
      <c r="G1019" s="558" t="s">
        <v>2089</v>
      </c>
      <c r="H1019" s="564">
        <v>40015</v>
      </c>
      <c r="I1019" s="563">
        <v>571.35</v>
      </c>
      <c r="J1019" s="563">
        <v>-571.35</v>
      </c>
      <c r="K1019" s="582">
        <f t="shared" si="45"/>
        <v>0</v>
      </c>
      <c r="L1019" s="563">
        <f t="shared" si="46"/>
        <v>0</v>
      </c>
      <c r="M1019" s="563">
        <f t="shared" si="47"/>
        <v>628.48500000000013</v>
      </c>
      <c r="N1019" s="580"/>
    </row>
    <row r="1020" spans="4:14" x14ac:dyDescent="0.25">
      <c r="D1020" s="559" t="s">
        <v>867</v>
      </c>
      <c r="E1020" s="558">
        <v>310105</v>
      </c>
      <c r="F1020" s="559">
        <v>300190</v>
      </c>
      <c r="G1020" s="558" t="s">
        <v>2089</v>
      </c>
      <c r="H1020" s="564">
        <v>40015</v>
      </c>
      <c r="I1020" s="563">
        <v>571.35</v>
      </c>
      <c r="J1020" s="563">
        <v>-571.35</v>
      </c>
      <c r="K1020" s="582">
        <f t="shared" si="45"/>
        <v>0</v>
      </c>
      <c r="L1020" s="563">
        <f t="shared" si="46"/>
        <v>0</v>
      </c>
      <c r="M1020" s="563">
        <f t="shared" si="47"/>
        <v>628.48500000000013</v>
      </c>
      <c r="N1020" s="580"/>
    </row>
    <row r="1021" spans="4:14" x14ac:dyDescent="0.25">
      <c r="D1021" s="559" t="s">
        <v>867</v>
      </c>
      <c r="E1021" s="558">
        <v>310120</v>
      </c>
      <c r="F1021" s="559">
        <v>301267</v>
      </c>
      <c r="G1021" s="558" t="s">
        <v>2089</v>
      </c>
      <c r="H1021" s="564">
        <v>40015</v>
      </c>
      <c r="I1021" s="563">
        <v>415.35</v>
      </c>
      <c r="J1021" s="563">
        <v>-415.35</v>
      </c>
      <c r="K1021" s="582">
        <f t="shared" si="45"/>
        <v>0</v>
      </c>
      <c r="L1021" s="563">
        <f t="shared" si="46"/>
        <v>0</v>
      </c>
      <c r="M1021" s="563">
        <f t="shared" si="47"/>
        <v>456.88500000000005</v>
      </c>
      <c r="N1021" s="580"/>
    </row>
    <row r="1022" spans="4:14" x14ac:dyDescent="0.25">
      <c r="D1022" s="559" t="s">
        <v>867</v>
      </c>
      <c r="E1022" s="558">
        <v>310127</v>
      </c>
      <c r="F1022" s="559">
        <v>302004</v>
      </c>
      <c r="G1022" s="558" t="s">
        <v>2089</v>
      </c>
      <c r="H1022" s="564">
        <v>40015</v>
      </c>
      <c r="I1022" s="563">
        <v>415.35</v>
      </c>
      <c r="J1022" s="563">
        <v>-415.35</v>
      </c>
      <c r="K1022" s="582">
        <f t="shared" si="45"/>
        <v>0</v>
      </c>
      <c r="L1022" s="563">
        <f t="shared" si="46"/>
        <v>0</v>
      </c>
      <c r="M1022" s="563">
        <f t="shared" si="47"/>
        <v>456.88500000000005</v>
      </c>
      <c r="N1022" s="580"/>
    </row>
    <row r="1023" spans="4:14" x14ac:dyDescent="0.25">
      <c r="D1023" s="559" t="s">
        <v>867</v>
      </c>
      <c r="E1023" s="558">
        <v>310137</v>
      </c>
      <c r="F1023" s="559">
        <v>300389</v>
      </c>
      <c r="G1023" s="558" t="s">
        <v>2089</v>
      </c>
      <c r="H1023" s="564">
        <v>40015</v>
      </c>
      <c r="I1023" s="563">
        <v>415.35</v>
      </c>
      <c r="J1023" s="563">
        <v>-415.35</v>
      </c>
      <c r="K1023" s="582">
        <f t="shared" si="45"/>
        <v>0</v>
      </c>
      <c r="L1023" s="563">
        <f t="shared" si="46"/>
        <v>0</v>
      </c>
      <c r="M1023" s="563">
        <f t="shared" si="47"/>
        <v>456.88500000000005</v>
      </c>
      <c r="N1023" s="580"/>
    </row>
    <row r="1024" spans="4:14" x14ac:dyDescent="0.25">
      <c r="D1024" s="559" t="s">
        <v>867</v>
      </c>
      <c r="E1024" s="558">
        <v>310160</v>
      </c>
      <c r="F1024" s="559">
        <v>302136</v>
      </c>
      <c r="G1024" s="558" t="s">
        <v>2090</v>
      </c>
      <c r="H1024" s="564">
        <v>40015</v>
      </c>
      <c r="I1024" s="563">
        <v>415.35</v>
      </c>
      <c r="J1024" s="563">
        <v>-415.35</v>
      </c>
      <c r="K1024" s="582">
        <f t="shared" si="45"/>
        <v>0</v>
      </c>
      <c r="L1024" s="563">
        <f t="shared" si="46"/>
        <v>0</v>
      </c>
      <c r="M1024" s="563">
        <f t="shared" si="47"/>
        <v>456.88500000000005</v>
      </c>
      <c r="N1024" s="580"/>
    </row>
    <row r="1025" spans="4:14" x14ac:dyDescent="0.25">
      <c r="D1025" s="559" t="s">
        <v>867</v>
      </c>
      <c r="E1025" s="558">
        <v>310169</v>
      </c>
      <c r="F1025" s="559">
        <v>300004</v>
      </c>
      <c r="G1025" s="558" t="s">
        <v>2090</v>
      </c>
      <c r="H1025" s="564">
        <v>40015</v>
      </c>
      <c r="I1025" s="563">
        <v>727.35</v>
      </c>
      <c r="J1025" s="563">
        <v>-585</v>
      </c>
      <c r="K1025" s="582">
        <f t="shared" si="45"/>
        <v>142.35000000000002</v>
      </c>
      <c r="L1025" s="563">
        <f t="shared" si="46"/>
        <v>156.58500000000004</v>
      </c>
      <c r="M1025" s="563">
        <f t="shared" si="47"/>
        <v>800.08500000000004</v>
      </c>
      <c r="N1025" s="580"/>
    </row>
    <row r="1026" spans="4:14" x14ac:dyDescent="0.25">
      <c r="D1026" s="559" t="s">
        <v>867</v>
      </c>
      <c r="E1026" s="558">
        <v>310175</v>
      </c>
      <c r="F1026" s="559">
        <v>302074</v>
      </c>
      <c r="G1026" s="558" t="s">
        <v>2090</v>
      </c>
      <c r="H1026" s="564">
        <v>40015</v>
      </c>
      <c r="I1026" s="563">
        <v>571.35</v>
      </c>
      <c r="J1026" s="563">
        <v>-571.35</v>
      </c>
      <c r="K1026" s="582">
        <f t="shared" si="45"/>
        <v>0</v>
      </c>
      <c r="L1026" s="563">
        <f t="shared" si="46"/>
        <v>0</v>
      </c>
      <c r="M1026" s="563">
        <f t="shared" si="47"/>
        <v>628.48500000000013</v>
      </c>
      <c r="N1026" s="580"/>
    </row>
    <row r="1027" spans="4:14" x14ac:dyDescent="0.25">
      <c r="D1027" s="559" t="s">
        <v>867</v>
      </c>
      <c r="E1027" s="558">
        <v>310176</v>
      </c>
      <c r="F1027" s="559">
        <v>301400</v>
      </c>
      <c r="G1027" s="558" t="s">
        <v>2090</v>
      </c>
      <c r="H1027" s="564">
        <v>40015</v>
      </c>
      <c r="I1027" s="563">
        <v>571.35</v>
      </c>
      <c r="J1027" s="563">
        <v>-571.35</v>
      </c>
      <c r="K1027" s="582">
        <f t="shared" si="45"/>
        <v>0</v>
      </c>
      <c r="L1027" s="563">
        <f t="shared" si="46"/>
        <v>0</v>
      </c>
      <c r="M1027" s="563">
        <f t="shared" si="47"/>
        <v>628.48500000000013</v>
      </c>
      <c r="N1027" s="580"/>
    </row>
    <row r="1028" spans="4:14" x14ac:dyDescent="0.25">
      <c r="D1028" s="559" t="s">
        <v>867</v>
      </c>
      <c r="E1028" s="558">
        <v>310185</v>
      </c>
      <c r="F1028" s="559">
        <v>300512</v>
      </c>
      <c r="G1028" s="558" t="s">
        <v>2090</v>
      </c>
      <c r="H1028" s="564">
        <v>40015</v>
      </c>
      <c r="I1028" s="563">
        <v>25.35</v>
      </c>
      <c r="J1028" s="563">
        <v>-25.35</v>
      </c>
      <c r="K1028" s="582">
        <f t="shared" si="45"/>
        <v>0</v>
      </c>
      <c r="L1028" s="563">
        <f t="shared" si="46"/>
        <v>0</v>
      </c>
      <c r="M1028" s="563">
        <f t="shared" si="47"/>
        <v>27.885000000000005</v>
      </c>
      <c r="N1028" s="580"/>
    </row>
    <row r="1029" spans="4:14" x14ac:dyDescent="0.25">
      <c r="D1029" s="559" t="s">
        <v>867</v>
      </c>
      <c r="E1029" s="558">
        <v>310334</v>
      </c>
      <c r="F1029" s="559">
        <v>303284</v>
      </c>
      <c r="G1029" s="558" t="s">
        <v>2091</v>
      </c>
      <c r="H1029" s="564">
        <v>40015</v>
      </c>
      <c r="I1029" s="563">
        <v>189.15</v>
      </c>
      <c r="J1029" s="563">
        <v>-189.15</v>
      </c>
      <c r="K1029" s="582">
        <f t="shared" si="45"/>
        <v>0</v>
      </c>
      <c r="L1029" s="563">
        <f t="shared" si="46"/>
        <v>0</v>
      </c>
      <c r="M1029" s="563">
        <f t="shared" si="47"/>
        <v>208.06500000000003</v>
      </c>
      <c r="N1029" s="580"/>
    </row>
    <row r="1030" spans="4:14" x14ac:dyDescent="0.25">
      <c r="D1030" s="559" t="s">
        <v>867</v>
      </c>
      <c r="E1030" s="558">
        <v>310352</v>
      </c>
      <c r="F1030" s="559">
        <v>300033</v>
      </c>
      <c r="G1030" s="558" t="s">
        <v>2091</v>
      </c>
      <c r="H1030" s="564">
        <v>40015</v>
      </c>
      <c r="I1030" s="563">
        <v>189.15</v>
      </c>
      <c r="J1030" s="563">
        <v>-189.15</v>
      </c>
      <c r="K1030" s="582">
        <f t="shared" si="45"/>
        <v>0</v>
      </c>
      <c r="L1030" s="563">
        <f t="shared" si="46"/>
        <v>0</v>
      </c>
      <c r="M1030" s="563">
        <f t="shared" si="47"/>
        <v>208.06500000000003</v>
      </c>
      <c r="N1030" s="580"/>
    </row>
    <row r="1031" spans="4:14" x14ac:dyDescent="0.25">
      <c r="D1031" s="559" t="s">
        <v>867</v>
      </c>
      <c r="E1031" s="558">
        <v>310358</v>
      </c>
      <c r="F1031" s="559">
        <v>301028</v>
      </c>
      <c r="G1031" s="558" t="s">
        <v>2091</v>
      </c>
      <c r="H1031" s="564">
        <v>40015</v>
      </c>
      <c r="I1031" s="563">
        <v>189.15</v>
      </c>
      <c r="J1031" s="563">
        <v>-189.15</v>
      </c>
      <c r="K1031" s="582">
        <f t="shared" si="45"/>
        <v>0</v>
      </c>
      <c r="L1031" s="563">
        <f t="shared" si="46"/>
        <v>0</v>
      </c>
      <c r="M1031" s="563">
        <f t="shared" si="47"/>
        <v>208.06500000000003</v>
      </c>
      <c r="N1031" s="580"/>
    </row>
    <row r="1032" spans="4:14" x14ac:dyDescent="0.25">
      <c r="D1032" s="559" t="s">
        <v>867</v>
      </c>
      <c r="E1032" s="558">
        <v>310365</v>
      </c>
      <c r="F1032" s="559">
        <v>300734</v>
      </c>
      <c r="G1032" s="558" t="s">
        <v>2091</v>
      </c>
      <c r="H1032" s="564">
        <v>40015</v>
      </c>
      <c r="I1032" s="563">
        <v>189.15</v>
      </c>
      <c r="J1032" s="563">
        <v>-189.15</v>
      </c>
      <c r="K1032" s="582">
        <f t="shared" si="45"/>
        <v>0</v>
      </c>
      <c r="L1032" s="563">
        <f t="shared" si="46"/>
        <v>0</v>
      </c>
      <c r="M1032" s="563">
        <f t="shared" si="47"/>
        <v>208.06500000000003</v>
      </c>
      <c r="N1032" s="580"/>
    </row>
    <row r="1033" spans="4:14" x14ac:dyDescent="0.25">
      <c r="D1033" s="559" t="s">
        <v>867</v>
      </c>
      <c r="E1033" s="558">
        <v>310372</v>
      </c>
      <c r="F1033" s="559">
        <v>300168</v>
      </c>
      <c r="G1033" s="558" t="s">
        <v>2091</v>
      </c>
      <c r="H1033" s="564">
        <v>40015</v>
      </c>
      <c r="I1033" s="563">
        <v>189.15</v>
      </c>
      <c r="J1033" s="563">
        <v>-189.15</v>
      </c>
      <c r="K1033" s="582">
        <f t="shared" si="45"/>
        <v>0</v>
      </c>
      <c r="L1033" s="563">
        <f t="shared" si="46"/>
        <v>0</v>
      </c>
      <c r="M1033" s="563">
        <f t="shared" si="47"/>
        <v>208.06500000000003</v>
      </c>
      <c r="N1033" s="580"/>
    </row>
    <row r="1034" spans="4:14" x14ac:dyDescent="0.25">
      <c r="D1034" s="559" t="s">
        <v>867</v>
      </c>
      <c r="E1034" s="558">
        <v>310375</v>
      </c>
      <c r="F1034" s="559">
        <v>301054</v>
      </c>
      <c r="G1034" s="558" t="s">
        <v>2092</v>
      </c>
      <c r="H1034" s="564">
        <v>40015</v>
      </c>
      <c r="I1034" s="563">
        <v>189.15</v>
      </c>
      <c r="J1034" s="563">
        <v>-189.15</v>
      </c>
      <c r="K1034" s="582">
        <f t="shared" si="45"/>
        <v>0</v>
      </c>
      <c r="L1034" s="563">
        <f t="shared" si="46"/>
        <v>0</v>
      </c>
      <c r="M1034" s="563">
        <f t="shared" si="47"/>
        <v>208.06500000000003</v>
      </c>
      <c r="N1034" s="580"/>
    </row>
    <row r="1035" spans="4:14" x14ac:dyDescent="0.25">
      <c r="D1035" s="559" t="s">
        <v>867</v>
      </c>
      <c r="E1035" s="558">
        <v>310402</v>
      </c>
      <c r="F1035" s="559">
        <v>301833</v>
      </c>
      <c r="G1035" s="558" t="s">
        <v>2092</v>
      </c>
      <c r="H1035" s="564">
        <v>40015</v>
      </c>
      <c r="I1035" s="563">
        <v>189.15</v>
      </c>
      <c r="J1035" s="563">
        <v>-189.15</v>
      </c>
      <c r="K1035" s="582">
        <f t="shared" si="45"/>
        <v>0</v>
      </c>
      <c r="L1035" s="563">
        <f t="shared" si="46"/>
        <v>0</v>
      </c>
      <c r="M1035" s="563">
        <f t="shared" si="47"/>
        <v>208.06500000000003</v>
      </c>
      <c r="N1035" s="580"/>
    </row>
    <row r="1036" spans="4:14" x14ac:dyDescent="0.25">
      <c r="D1036" s="559" t="s">
        <v>867</v>
      </c>
      <c r="E1036" s="558">
        <v>310410</v>
      </c>
      <c r="F1036" s="559">
        <v>300217</v>
      </c>
      <c r="G1036" s="558" t="s">
        <v>2092</v>
      </c>
      <c r="H1036" s="564">
        <v>40015</v>
      </c>
      <c r="I1036" s="563">
        <v>189.15</v>
      </c>
      <c r="J1036" s="563">
        <v>-189.15</v>
      </c>
      <c r="K1036" s="582">
        <f t="shared" si="45"/>
        <v>0</v>
      </c>
      <c r="L1036" s="563">
        <f t="shared" si="46"/>
        <v>0</v>
      </c>
      <c r="M1036" s="563">
        <f t="shared" si="47"/>
        <v>208.06500000000003</v>
      </c>
      <c r="N1036" s="580"/>
    </row>
    <row r="1037" spans="4:14" x14ac:dyDescent="0.25">
      <c r="D1037" s="559" t="s">
        <v>867</v>
      </c>
      <c r="E1037" s="558">
        <v>310413</v>
      </c>
      <c r="F1037" s="559">
        <v>300191</v>
      </c>
      <c r="G1037" s="558" t="s">
        <v>2092</v>
      </c>
      <c r="H1037" s="564">
        <v>40015</v>
      </c>
      <c r="I1037" s="563">
        <v>189.15</v>
      </c>
      <c r="J1037" s="563">
        <v>-189.15</v>
      </c>
      <c r="K1037" s="582">
        <f t="shared" si="45"/>
        <v>0</v>
      </c>
      <c r="L1037" s="563">
        <f t="shared" si="46"/>
        <v>0</v>
      </c>
      <c r="M1037" s="563">
        <f t="shared" si="47"/>
        <v>208.06500000000003</v>
      </c>
      <c r="N1037" s="580"/>
    </row>
    <row r="1038" spans="4:14" x14ac:dyDescent="0.25">
      <c r="D1038" s="559" t="s">
        <v>867</v>
      </c>
      <c r="E1038" s="558">
        <v>310415</v>
      </c>
      <c r="F1038" s="559">
        <v>300677</v>
      </c>
      <c r="G1038" s="558" t="s">
        <v>2092</v>
      </c>
      <c r="H1038" s="564">
        <v>40015</v>
      </c>
      <c r="I1038" s="563">
        <v>189.15</v>
      </c>
      <c r="J1038" s="563">
        <v>-189.15</v>
      </c>
      <c r="K1038" s="582">
        <f t="shared" si="45"/>
        <v>0</v>
      </c>
      <c r="L1038" s="563">
        <f t="shared" si="46"/>
        <v>0</v>
      </c>
      <c r="M1038" s="563">
        <f t="shared" si="47"/>
        <v>208.06500000000003</v>
      </c>
      <c r="N1038" s="580"/>
    </row>
    <row r="1039" spans="4:14" x14ac:dyDescent="0.25">
      <c r="D1039" s="559" t="s">
        <v>867</v>
      </c>
      <c r="E1039" s="558">
        <v>310427</v>
      </c>
      <c r="F1039" s="559">
        <v>301389</v>
      </c>
      <c r="G1039" s="558" t="s">
        <v>2093</v>
      </c>
      <c r="H1039" s="564">
        <v>40015</v>
      </c>
      <c r="I1039" s="563">
        <v>189.15</v>
      </c>
      <c r="J1039" s="563">
        <v>-189.15</v>
      </c>
      <c r="K1039" s="582">
        <f t="shared" si="45"/>
        <v>0</v>
      </c>
      <c r="L1039" s="563">
        <f t="shared" si="46"/>
        <v>0</v>
      </c>
      <c r="M1039" s="563">
        <f t="shared" si="47"/>
        <v>208.06500000000003</v>
      </c>
      <c r="N1039" s="580"/>
    </row>
    <row r="1040" spans="4:14" x14ac:dyDescent="0.25">
      <c r="D1040" s="559" t="s">
        <v>867</v>
      </c>
      <c r="E1040" s="558">
        <v>310443</v>
      </c>
      <c r="F1040" s="559">
        <v>300606</v>
      </c>
      <c r="G1040" s="558" t="s">
        <v>2093</v>
      </c>
      <c r="H1040" s="564">
        <v>40015</v>
      </c>
      <c r="I1040" s="563">
        <v>189.15</v>
      </c>
      <c r="J1040" s="563">
        <v>-189.15</v>
      </c>
      <c r="K1040" s="582">
        <f t="shared" si="45"/>
        <v>0</v>
      </c>
      <c r="L1040" s="563">
        <f t="shared" si="46"/>
        <v>0</v>
      </c>
      <c r="M1040" s="563">
        <f t="shared" si="47"/>
        <v>208.06500000000003</v>
      </c>
      <c r="N1040" s="580"/>
    </row>
    <row r="1041" spans="4:14" x14ac:dyDescent="0.25">
      <c r="D1041" s="559" t="s">
        <v>867</v>
      </c>
      <c r="E1041" s="558">
        <v>310450</v>
      </c>
      <c r="F1041" s="559">
        <v>301450</v>
      </c>
      <c r="G1041" s="558" t="s">
        <v>2093</v>
      </c>
      <c r="H1041" s="564">
        <v>40015</v>
      </c>
      <c r="I1041" s="563">
        <v>189.15</v>
      </c>
      <c r="J1041" s="563">
        <v>-189.15</v>
      </c>
      <c r="K1041" s="582">
        <f t="shared" si="45"/>
        <v>0</v>
      </c>
      <c r="L1041" s="563">
        <f t="shared" si="46"/>
        <v>0</v>
      </c>
      <c r="M1041" s="563">
        <f t="shared" si="47"/>
        <v>208.06500000000003</v>
      </c>
      <c r="N1041" s="580"/>
    </row>
    <row r="1042" spans="4:14" x14ac:dyDescent="0.25">
      <c r="D1042" s="559" t="s">
        <v>867</v>
      </c>
      <c r="E1042" s="558">
        <v>310462</v>
      </c>
      <c r="F1042" s="559">
        <v>300858</v>
      </c>
      <c r="G1042" s="558" t="s">
        <v>2093</v>
      </c>
      <c r="H1042" s="564">
        <v>40015</v>
      </c>
      <c r="I1042" s="563">
        <v>189.15</v>
      </c>
      <c r="J1042" s="563">
        <v>-189.15</v>
      </c>
      <c r="K1042" s="582">
        <f t="shared" si="45"/>
        <v>0</v>
      </c>
      <c r="L1042" s="563">
        <f t="shared" si="46"/>
        <v>0</v>
      </c>
      <c r="M1042" s="563">
        <f t="shared" si="47"/>
        <v>208.06500000000003</v>
      </c>
      <c r="N1042" s="580"/>
    </row>
    <row r="1043" spans="4:14" x14ac:dyDescent="0.25">
      <c r="D1043" s="559" t="s">
        <v>867</v>
      </c>
      <c r="E1043" s="558">
        <v>310465</v>
      </c>
      <c r="F1043" s="559">
        <v>301781</v>
      </c>
      <c r="G1043" s="558" t="s">
        <v>2093</v>
      </c>
      <c r="H1043" s="564">
        <v>40015</v>
      </c>
      <c r="I1043" s="563">
        <v>189.15</v>
      </c>
      <c r="J1043" s="563">
        <v>-189.15</v>
      </c>
      <c r="K1043" s="582">
        <f t="shared" si="45"/>
        <v>0</v>
      </c>
      <c r="L1043" s="563">
        <f t="shared" si="46"/>
        <v>0</v>
      </c>
      <c r="M1043" s="563">
        <f t="shared" si="47"/>
        <v>208.06500000000003</v>
      </c>
      <c r="N1043" s="580"/>
    </row>
    <row r="1044" spans="4:14" x14ac:dyDescent="0.25">
      <c r="D1044" s="559" t="s">
        <v>867</v>
      </c>
      <c r="E1044" s="558">
        <v>310484</v>
      </c>
      <c r="F1044" s="559">
        <v>302022</v>
      </c>
      <c r="G1044" s="558" t="s">
        <v>2094</v>
      </c>
      <c r="H1044" s="564">
        <v>40015</v>
      </c>
      <c r="I1044" s="563">
        <v>189.15</v>
      </c>
      <c r="J1044" s="563">
        <v>-189.15</v>
      </c>
      <c r="K1044" s="582">
        <f t="shared" si="45"/>
        <v>0</v>
      </c>
      <c r="L1044" s="563">
        <f t="shared" si="46"/>
        <v>0</v>
      </c>
      <c r="M1044" s="563">
        <f t="shared" si="47"/>
        <v>208.06500000000003</v>
      </c>
      <c r="N1044" s="580"/>
    </row>
    <row r="1045" spans="4:14" x14ac:dyDescent="0.25">
      <c r="D1045" s="559" t="s">
        <v>867</v>
      </c>
      <c r="E1045" s="558">
        <v>310490</v>
      </c>
      <c r="F1045" s="559">
        <v>300707</v>
      </c>
      <c r="G1045" s="558" t="s">
        <v>2094</v>
      </c>
      <c r="H1045" s="564">
        <v>40015</v>
      </c>
      <c r="I1045" s="563">
        <v>189.15</v>
      </c>
      <c r="J1045" s="563">
        <v>-189.15</v>
      </c>
      <c r="K1045" s="582">
        <f t="shared" si="45"/>
        <v>0</v>
      </c>
      <c r="L1045" s="563">
        <f t="shared" si="46"/>
        <v>0</v>
      </c>
      <c r="M1045" s="563">
        <f t="shared" si="47"/>
        <v>208.06500000000003</v>
      </c>
      <c r="N1045" s="580"/>
    </row>
    <row r="1046" spans="4:14" x14ac:dyDescent="0.25">
      <c r="D1046" s="559" t="s">
        <v>867</v>
      </c>
      <c r="E1046" s="558">
        <v>310498</v>
      </c>
      <c r="F1046" s="559">
        <v>300605</v>
      </c>
      <c r="G1046" s="558" t="s">
        <v>2094</v>
      </c>
      <c r="H1046" s="564">
        <v>40015</v>
      </c>
      <c r="I1046" s="563">
        <v>189.15</v>
      </c>
      <c r="J1046" s="563">
        <v>-189.15</v>
      </c>
      <c r="K1046" s="582">
        <f t="shared" si="45"/>
        <v>0</v>
      </c>
      <c r="L1046" s="563">
        <f t="shared" si="46"/>
        <v>0</v>
      </c>
      <c r="M1046" s="563">
        <f t="shared" si="47"/>
        <v>208.06500000000003</v>
      </c>
      <c r="N1046" s="580"/>
    </row>
    <row r="1047" spans="4:14" x14ac:dyDescent="0.25">
      <c r="D1047" s="559" t="s">
        <v>867</v>
      </c>
      <c r="E1047" s="558">
        <v>310501</v>
      </c>
      <c r="F1047" s="559">
        <v>300602</v>
      </c>
      <c r="G1047" s="558" t="s">
        <v>2094</v>
      </c>
      <c r="H1047" s="564">
        <v>40015</v>
      </c>
      <c r="I1047" s="563">
        <v>189.15</v>
      </c>
      <c r="J1047" s="563">
        <v>-189.15</v>
      </c>
      <c r="K1047" s="582">
        <f t="shared" si="45"/>
        <v>0</v>
      </c>
      <c r="L1047" s="563">
        <f t="shared" si="46"/>
        <v>0</v>
      </c>
      <c r="M1047" s="563">
        <f t="shared" si="47"/>
        <v>208.06500000000003</v>
      </c>
      <c r="N1047" s="580"/>
    </row>
    <row r="1048" spans="4:14" x14ac:dyDescent="0.25">
      <c r="D1048" s="559" t="s">
        <v>867</v>
      </c>
      <c r="E1048" s="558">
        <v>310508</v>
      </c>
      <c r="F1048" s="559">
        <v>301984</v>
      </c>
      <c r="G1048" s="558" t="s">
        <v>2094</v>
      </c>
      <c r="H1048" s="564">
        <v>40015</v>
      </c>
      <c r="I1048" s="563">
        <v>189.15</v>
      </c>
      <c r="J1048" s="563">
        <v>-189.15</v>
      </c>
      <c r="K1048" s="582">
        <f t="shared" si="45"/>
        <v>0</v>
      </c>
      <c r="L1048" s="563">
        <f t="shared" si="46"/>
        <v>0</v>
      </c>
      <c r="M1048" s="563">
        <f t="shared" si="47"/>
        <v>208.06500000000003</v>
      </c>
      <c r="N1048" s="580"/>
    </row>
    <row r="1049" spans="4:14" x14ac:dyDescent="0.25">
      <c r="D1049" s="559" t="s">
        <v>867</v>
      </c>
      <c r="E1049" s="558">
        <v>310512</v>
      </c>
      <c r="F1049" s="559">
        <v>301836</v>
      </c>
      <c r="G1049" s="558" t="s">
        <v>2095</v>
      </c>
      <c r="H1049" s="564">
        <v>40015</v>
      </c>
      <c r="I1049" s="563">
        <v>189.15</v>
      </c>
      <c r="J1049" s="563">
        <v>-189.15</v>
      </c>
      <c r="K1049" s="582">
        <f t="shared" si="45"/>
        <v>0</v>
      </c>
      <c r="L1049" s="563">
        <f t="shared" si="46"/>
        <v>0</v>
      </c>
      <c r="M1049" s="563">
        <f t="shared" si="47"/>
        <v>208.06500000000003</v>
      </c>
      <c r="N1049" s="580"/>
    </row>
    <row r="1050" spans="4:14" x14ac:dyDescent="0.25">
      <c r="D1050" s="559" t="s">
        <v>867</v>
      </c>
      <c r="E1050" s="558">
        <v>310528</v>
      </c>
      <c r="F1050" s="559">
        <v>300013</v>
      </c>
      <c r="G1050" s="558" t="s">
        <v>2095</v>
      </c>
      <c r="H1050" s="564">
        <v>40015</v>
      </c>
      <c r="I1050" s="563">
        <v>189.15</v>
      </c>
      <c r="J1050" s="563">
        <v>-189.15</v>
      </c>
      <c r="K1050" s="582">
        <f t="shared" si="45"/>
        <v>0</v>
      </c>
      <c r="L1050" s="563">
        <f t="shared" si="46"/>
        <v>0</v>
      </c>
      <c r="M1050" s="563">
        <f t="shared" si="47"/>
        <v>208.06500000000003</v>
      </c>
      <c r="N1050" s="580"/>
    </row>
    <row r="1051" spans="4:14" x14ac:dyDescent="0.25">
      <c r="D1051" s="559" t="s">
        <v>867</v>
      </c>
      <c r="E1051" s="558">
        <v>310540</v>
      </c>
      <c r="F1051" s="559">
        <v>300754</v>
      </c>
      <c r="G1051" s="558" t="s">
        <v>2095</v>
      </c>
      <c r="H1051" s="564">
        <v>40015</v>
      </c>
      <c r="I1051" s="563">
        <v>883.35</v>
      </c>
      <c r="J1051" s="563">
        <v>-585</v>
      </c>
      <c r="K1051" s="582">
        <f t="shared" si="45"/>
        <v>298.35000000000002</v>
      </c>
      <c r="L1051" s="563">
        <f t="shared" si="46"/>
        <v>328.18500000000006</v>
      </c>
      <c r="M1051" s="563">
        <f t="shared" si="47"/>
        <v>971.68500000000006</v>
      </c>
      <c r="N1051" s="580"/>
    </row>
    <row r="1052" spans="4:14" x14ac:dyDescent="0.25">
      <c r="D1052" s="559" t="s">
        <v>867</v>
      </c>
      <c r="E1052" s="558">
        <v>310541</v>
      </c>
      <c r="F1052" s="559">
        <v>301193</v>
      </c>
      <c r="G1052" s="558" t="s">
        <v>2095</v>
      </c>
      <c r="H1052" s="564">
        <v>40015</v>
      </c>
      <c r="I1052" s="563">
        <v>805.35</v>
      </c>
      <c r="J1052" s="563">
        <v>-585</v>
      </c>
      <c r="K1052" s="582">
        <f t="shared" si="45"/>
        <v>220.35000000000002</v>
      </c>
      <c r="L1052" s="563">
        <f t="shared" si="46"/>
        <v>242.38500000000005</v>
      </c>
      <c r="M1052" s="563">
        <f t="shared" si="47"/>
        <v>885.8850000000001</v>
      </c>
      <c r="N1052" s="580"/>
    </row>
    <row r="1053" spans="4:14" x14ac:dyDescent="0.25">
      <c r="D1053" s="559" t="s">
        <v>867</v>
      </c>
      <c r="E1053" s="558">
        <v>310542</v>
      </c>
      <c r="F1053" s="559">
        <v>300603</v>
      </c>
      <c r="G1053" s="558" t="s">
        <v>2095</v>
      </c>
      <c r="H1053" s="564">
        <v>40015</v>
      </c>
      <c r="I1053" s="563">
        <v>727.35</v>
      </c>
      <c r="J1053" s="563">
        <v>-585</v>
      </c>
      <c r="K1053" s="582">
        <f t="shared" si="45"/>
        <v>142.35000000000002</v>
      </c>
      <c r="L1053" s="563">
        <f t="shared" si="46"/>
        <v>156.58500000000004</v>
      </c>
      <c r="M1053" s="563">
        <f t="shared" si="47"/>
        <v>800.08500000000004</v>
      </c>
      <c r="N1053" s="580"/>
    </row>
    <row r="1054" spans="4:14" x14ac:dyDescent="0.25">
      <c r="D1054" s="559" t="s">
        <v>867</v>
      </c>
      <c r="E1054" s="558">
        <v>310569</v>
      </c>
      <c r="F1054" s="559">
        <v>301430</v>
      </c>
      <c r="G1054" s="558" t="s">
        <v>2096</v>
      </c>
      <c r="H1054" s="564">
        <v>40015</v>
      </c>
      <c r="I1054" s="563">
        <v>532.35</v>
      </c>
      <c r="J1054" s="563">
        <v>-532.35</v>
      </c>
      <c r="K1054" s="582">
        <f t="shared" si="45"/>
        <v>0</v>
      </c>
      <c r="L1054" s="563">
        <f t="shared" si="46"/>
        <v>0</v>
      </c>
      <c r="M1054" s="563">
        <f t="shared" si="47"/>
        <v>585.58500000000004</v>
      </c>
      <c r="N1054" s="580"/>
    </row>
    <row r="1055" spans="4:14" x14ac:dyDescent="0.25">
      <c r="D1055" s="559" t="s">
        <v>867</v>
      </c>
      <c r="E1055" s="558">
        <v>310570</v>
      </c>
      <c r="F1055" s="559">
        <v>300132</v>
      </c>
      <c r="G1055" s="558" t="s">
        <v>2096</v>
      </c>
      <c r="H1055" s="564">
        <v>40015</v>
      </c>
      <c r="I1055" s="563">
        <v>727.35</v>
      </c>
      <c r="J1055" s="563">
        <v>-585</v>
      </c>
      <c r="K1055" s="582">
        <f t="shared" si="45"/>
        <v>142.35000000000002</v>
      </c>
      <c r="L1055" s="563">
        <f t="shared" si="46"/>
        <v>156.58500000000004</v>
      </c>
      <c r="M1055" s="563">
        <f t="shared" si="47"/>
        <v>800.08500000000004</v>
      </c>
      <c r="N1055" s="580"/>
    </row>
    <row r="1056" spans="4:14" x14ac:dyDescent="0.25">
      <c r="D1056" s="559" t="s">
        <v>867</v>
      </c>
      <c r="E1056" s="558">
        <v>310571</v>
      </c>
      <c r="F1056" s="559">
        <v>300489</v>
      </c>
      <c r="G1056" s="558" t="s">
        <v>2096</v>
      </c>
      <c r="H1056" s="564">
        <v>40015</v>
      </c>
      <c r="I1056" s="563">
        <v>727.35</v>
      </c>
      <c r="J1056" s="563">
        <v>-585</v>
      </c>
      <c r="K1056" s="582">
        <f t="shared" si="45"/>
        <v>142.35000000000002</v>
      </c>
      <c r="L1056" s="563">
        <f t="shared" si="46"/>
        <v>156.58500000000004</v>
      </c>
      <c r="M1056" s="563">
        <f t="shared" si="47"/>
        <v>800.08500000000004</v>
      </c>
      <c r="N1056" s="580"/>
    </row>
    <row r="1057" spans="4:14" x14ac:dyDescent="0.25">
      <c r="D1057" s="559" t="s">
        <v>867</v>
      </c>
      <c r="E1057" s="558">
        <v>310572</v>
      </c>
      <c r="F1057" s="559">
        <v>300483</v>
      </c>
      <c r="G1057" s="558" t="s">
        <v>2096</v>
      </c>
      <c r="H1057" s="564">
        <v>40015</v>
      </c>
      <c r="I1057" s="563">
        <v>493.35</v>
      </c>
      <c r="J1057" s="563">
        <v>-493.35</v>
      </c>
      <c r="K1057" s="582">
        <f t="shared" si="45"/>
        <v>0</v>
      </c>
      <c r="L1057" s="563">
        <f t="shared" si="46"/>
        <v>0</v>
      </c>
      <c r="M1057" s="563">
        <f t="shared" si="47"/>
        <v>542.68500000000006</v>
      </c>
      <c r="N1057" s="580"/>
    </row>
    <row r="1058" spans="4:14" x14ac:dyDescent="0.25">
      <c r="D1058" s="559" t="s">
        <v>867</v>
      </c>
      <c r="E1058" s="558">
        <v>310576</v>
      </c>
      <c r="F1058" s="559">
        <v>300368</v>
      </c>
      <c r="G1058" s="558" t="s">
        <v>2096</v>
      </c>
      <c r="H1058" s="564">
        <v>40015</v>
      </c>
      <c r="I1058" s="563">
        <v>64.349999999999994</v>
      </c>
      <c r="J1058" s="563">
        <v>-64.349999999999994</v>
      </c>
      <c r="K1058" s="582">
        <f t="shared" si="45"/>
        <v>0</v>
      </c>
      <c r="L1058" s="563">
        <f t="shared" si="46"/>
        <v>0</v>
      </c>
      <c r="M1058" s="563">
        <f t="shared" si="47"/>
        <v>70.784999999999997</v>
      </c>
      <c r="N1058" s="580"/>
    </row>
    <row r="1059" spans="4:14" x14ac:dyDescent="0.25">
      <c r="D1059" s="559" t="s">
        <v>867</v>
      </c>
      <c r="E1059" s="558">
        <v>310578</v>
      </c>
      <c r="F1059" s="559">
        <v>301820</v>
      </c>
      <c r="G1059" s="558" t="s">
        <v>2097</v>
      </c>
      <c r="H1059" s="564">
        <v>40015</v>
      </c>
      <c r="I1059" s="563">
        <v>64.349999999999994</v>
      </c>
      <c r="J1059" s="563">
        <v>-64.349999999999994</v>
      </c>
      <c r="K1059" s="582">
        <f t="shared" si="45"/>
        <v>0</v>
      </c>
      <c r="L1059" s="563">
        <f t="shared" si="46"/>
        <v>0</v>
      </c>
      <c r="M1059" s="563">
        <f t="shared" si="47"/>
        <v>70.784999999999997</v>
      </c>
      <c r="N1059" s="580"/>
    </row>
    <row r="1060" spans="4:14" x14ac:dyDescent="0.25">
      <c r="D1060" s="559" t="s">
        <v>867</v>
      </c>
      <c r="E1060" s="558">
        <v>310581</v>
      </c>
      <c r="F1060" s="559">
        <v>302187</v>
      </c>
      <c r="G1060" s="558" t="s">
        <v>2097</v>
      </c>
      <c r="H1060" s="564">
        <v>40015</v>
      </c>
      <c r="I1060" s="563">
        <v>727.35</v>
      </c>
      <c r="J1060" s="563">
        <v>-585</v>
      </c>
      <c r="K1060" s="582">
        <f t="shared" si="45"/>
        <v>142.35000000000002</v>
      </c>
      <c r="L1060" s="563">
        <f t="shared" si="46"/>
        <v>156.58500000000004</v>
      </c>
      <c r="M1060" s="563">
        <f t="shared" si="47"/>
        <v>800.08500000000004</v>
      </c>
      <c r="N1060" s="580"/>
    </row>
    <row r="1061" spans="4:14" x14ac:dyDescent="0.25">
      <c r="D1061" s="559" t="s">
        <v>867</v>
      </c>
      <c r="E1061" s="558">
        <v>310582</v>
      </c>
      <c r="F1061" s="559">
        <v>301752</v>
      </c>
      <c r="G1061" s="558" t="s">
        <v>2097</v>
      </c>
      <c r="H1061" s="564">
        <v>40015</v>
      </c>
      <c r="I1061" s="563">
        <v>64.349999999999994</v>
      </c>
      <c r="J1061" s="563">
        <v>-64.349999999999994</v>
      </c>
      <c r="K1061" s="582">
        <f t="shared" si="45"/>
        <v>0</v>
      </c>
      <c r="L1061" s="563">
        <f t="shared" si="46"/>
        <v>0</v>
      </c>
      <c r="M1061" s="563">
        <f t="shared" si="47"/>
        <v>70.784999999999997</v>
      </c>
      <c r="N1061" s="580"/>
    </row>
    <row r="1062" spans="4:14" x14ac:dyDescent="0.25">
      <c r="D1062" s="559" t="s">
        <v>867</v>
      </c>
      <c r="E1062" s="558">
        <v>310599</v>
      </c>
      <c r="F1062" s="559">
        <v>301367</v>
      </c>
      <c r="G1062" s="558" t="s">
        <v>2097</v>
      </c>
      <c r="H1062" s="564">
        <v>40015</v>
      </c>
      <c r="I1062" s="563">
        <v>64.349999999999994</v>
      </c>
      <c r="J1062" s="563">
        <v>-64.349999999999994</v>
      </c>
      <c r="K1062" s="582">
        <f t="shared" si="45"/>
        <v>0</v>
      </c>
      <c r="L1062" s="563">
        <f t="shared" si="46"/>
        <v>0</v>
      </c>
      <c r="M1062" s="563">
        <f t="shared" si="47"/>
        <v>70.784999999999997</v>
      </c>
      <c r="N1062" s="580"/>
    </row>
    <row r="1063" spans="4:14" x14ac:dyDescent="0.25">
      <c r="D1063" s="559" t="s">
        <v>867</v>
      </c>
      <c r="E1063" s="558">
        <v>310601</v>
      </c>
      <c r="F1063" s="559">
        <v>300447</v>
      </c>
      <c r="G1063" s="558" t="s">
        <v>2097</v>
      </c>
      <c r="H1063" s="564">
        <v>40015</v>
      </c>
      <c r="I1063" s="563">
        <v>64.349999999999994</v>
      </c>
      <c r="J1063" s="563">
        <v>-64.349999999999994</v>
      </c>
      <c r="K1063" s="582">
        <f t="shared" si="45"/>
        <v>0</v>
      </c>
      <c r="L1063" s="563">
        <f t="shared" si="46"/>
        <v>0</v>
      </c>
      <c r="M1063" s="563">
        <f t="shared" si="47"/>
        <v>70.784999999999997</v>
      </c>
      <c r="N1063" s="580"/>
    </row>
    <row r="1064" spans="4:14" x14ac:dyDescent="0.25">
      <c r="D1064" s="559" t="s">
        <v>867</v>
      </c>
      <c r="E1064" s="558">
        <v>310604</v>
      </c>
      <c r="F1064" s="559">
        <v>301877</v>
      </c>
      <c r="G1064" s="558" t="s">
        <v>2098</v>
      </c>
      <c r="H1064" s="564">
        <v>40015</v>
      </c>
      <c r="I1064" s="563">
        <v>727.35</v>
      </c>
      <c r="J1064" s="563">
        <v>-585</v>
      </c>
      <c r="K1064" s="582">
        <f t="shared" si="45"/>
        <v>142.35000000000002</v>
      </c>
      <c r="L1064" s="563">
        <f t="shared" si="46"/>
        <v>156.58500000000004</v>
      </c>
      <c r="M1064" s="563">
        <f t="shared" si="47"/>
        <v>800.08500000000004</v>
      </c>
      <c r="N1064" s="580"/>
    </row>
    <row r="1065" spans="4:14" x14ac:dyDescent="0.25">
      <c r="D1065" s="559" t="s">
        <v>867</v>
      </c>
      <c r="E1065" s="558">
        <v>310609</v>
      </c>
      <c r="F1065" s="559">
        <v>301440</v>
      </c>
      <c r="G1065" s="558" t="s">
        <v>2098</v>
      </c>
      <c r="H1065" s="564">
        <v>40015</v>
      </c>
      <c r="I1065" s="563">
        <v>727.35</v>
      </c>
      <c r="J1065" s="563">
        <v>-585</v>
      </c>
      <c r="K1065" s="582">
        <f t="shared" ref="K1065:K1128" si="48">+I1065+J1065</f>
        <v>142.35000000000002</v>
      </c>
      <c r="L1065" s="563">
        <f t="shared" ref="L1065:L1128" si="49">+K1065*1.1</f>
        <v>156.58500000000004</v>
      </c>
      <c r="M1065" s="563">
        <f t="shared" ref="M1065:M1128" si="50">+I1065*1.1</f>
        <v>800.08500000000004</v>
      </c>
      <c r="N1065" s="580"/>
    </row>
    <row r="1066" spans="4:14" x14ac:dyDescent="0.25">
      <c r="D1066" s="559" t="s">
        <v>867</v>
      </c>
      <c r="E1066" s="558">
        <v>310610</v>
      </c>
      <c r="F1066" s="559">
        <v>302220</v>
      </c>
      <c r="G1066" s="558" t="s">
        <v>2098</v>
      </c>
      <c r="H1066" s="564">
        <v>40015</v>
      </c>
      <c r="I1066" s="563">
        <v>727.35</v>
      </c>
      <c r="J1066" s="563">
        <v>-585</v>
      </c>
      <c r="K1066" s="582">
        <f t="shared" si="48"/>
        <v>142.35000000000002</v>
      </c>
      <c r="L1066" s="563">
        <f t="shared" si="49"/>
        <v>156.58500000000004</v>
      </c>
      <c r="M1066" s="563">
        <f t="shared" si="50"/>
        <v>800.08500000000004</v>
      </c>
      <c r="N1066" s="580"/>
    </row>
    <row r="1067" spans="4:14" x14ac:dyDescent="0.25">
      <c r="D1067" s="559" t="s">
        <v>867</v>
      </c>
      <c r="E1067" s="558">
        <v>310611</v>
      </c>
      <c r="F1067" s="559">
        <v>301105</v>
      </c>
      <c r="G1067" s="558" t="s">
        <v>2098</v>
      </c>
      <c r="H1067" s="564">
        <v>40015</v>
      </c>
      <c r="I1067" s="563">
        <v>727.35</v>
      </c>
      <c r="J1067" s="563">
        <v>-585</v>
      </c>
      <c r="K1067" s="582">
        <f t="shared" si="48"/>
        <v>142.35000000000002</v>
      </c>
      <c r="L1067" s="563">
        <f t="shared" si="49"/>
        <v>156.58500000000004</v>
      </c>
      <c r="M1067" s="563">
        <f t="shared" si="50"/>
        <v>800.08500000000004</v>
      </c>
      <c r="N1067" s="580"/>
    </row>
    <row r="1068" spans="4:14" x14ac:dyDescent="0.25">
      <c r="D1068" s="559" t="s">
        <v>867</v>
      </c>
      <c r="E1068" s="558">
        <v>310613</v>
      </c>
      <c r="F1068" s="559">
        <v>300702</v>
      </c>
      <c r="G1068" s="558" t="s">
        <v>2098</v>
      </c>
      <c r="H1068" s="564">
        <v>40015</v>
      </c>
      <c r="I1068" s="563">
        <v>727.35</v>
      </c>
      <c r="J1068" s="563">
        <v>-585</v>
      </c>
      <c r="K1068" s="582">
        <f t="shared" si="48"/>
        <v>142.35000000000002</v>
      </c>
      <c r="L1068" s="563">
        <f t="shared" si="49"/>
        <v>156.58500000000004</v>
      </c>
      <c r="M1068" s="563">
        <f t="shared" si="50"/>
        <v>800.08500000000004</v>
      </c>
      <c r="N1068" s="580"/>
    </row>
    <row r="1069" spans="4:14" x14ac:dyDescent="0.25">
      <c r="D1069" s="559" t="s">
        <v>867</v>
      </c>
      <c r="E1069" s="558">
        <v>310614</v>
      </c>
      <c r="F1069" s="559">
        <v>300068</v>
      </c>
      <c r="G1069" s="558" t="s">
        <v>2099</v>
      </c>
      <c r="H1069" s="564">
        <v>40015</v>
      </c>
      <c r="I1069" s="563">
        <v>727.35</v>
      </c>
      <c r="J1069" s="563">
        <v>-585</v>
      </c>
      <c r="K1069" s="582">
        <f t="shared" si="48"/>
        <v>142.35000000000002</v>
      </c>
      <c r="L1069" s="563">
        <f t="shared" si="49"/>
        <v>156.58500000000004</v>
      </c>
      <c r="M1069" s="563">
        <f t="shared" si="50"/>
        <v>800.08500000000004</v>
      </c>
      <c r="N1069" s="580"/>
    </row>
    <row r="1070" spans="4:14" x14ac:dyDescent="0.25">
      <c r="D1070" s="559" t="s">
        <v>867</v>
      </c>
      <c r="E1070" s="558">
        <v>310615</v>
      </c>
      <c r="F1070" s="559">
        <v>301909</v>
      </c>
      <c r="G1070" s="558" t="s">
        <v>2099</v>
      </c>
      <c r="H1070" s="564">
        <v>40015</v>
      </c>
      <c r="I1070" s="563">
        <v>727.35</v>
      </c>
      <c r="J1070" s="563">
        <v>-585</v>
      </c>
      <c r="K1070" s="582">
        <f t="shared" si="48"/>
        <v>142.35000000000002</v>
      </c>
      <c r="L1070" s="563">
        <f t="shared" si="49"/>
        <v>156.58500000000004</v>
      </c>
      <c r="M1070" s="563">
        <f t="shared" si="50"/>
        <v>800.08500000000004</v>
      </c>
      <c r="N1070" s="580"/>
    </row>
    <row r="1071" spans="4:14" x14ac:dyDescent="0.25">
      <c r="D1071" s="559" t="s">
        <v>867</v>
      </c>
      <c r="E1071" s="558">
        <v>310616</v>
      </c>
      <c r="F1071" s="559">
        <v>301821</v>
      </c>
      <c r="G1071" s="558" t="s">
        <v>2099</v>
      </c>
      <c r="H1071" s="564">
        <v>40015</v>
      </c>
      <c r="I1071" s="563">
        <v>805.35</v>
      </c>
      <c r="J1071" s="563">
        <v>-585</v>
      </c>
      <c r="K1071" s="582">
        <f t="shared" si="48"/>
        <v>220.35000000000002</v>
      </c>
      <c r="L1071" s="563">
        <f t="shared" si="49"/>
        <v>242.38500000000005</v>
      </c>
      <c r="M1071" s="563">
        <f t="shared" si="50"/>
        <v>885.8850000000001</v>
      </c>
      <c r="N1071" s="580"/>
    </row>
    <row r="1072" spans="4:14" x14ac:dyDescent="0.25">
      <c r="D1072" s="559" t="s">
        <v>867</v>
      </c>
      <c r="E1072" s="558">
        <v>310618</v>
      </c>
      <c r="F1072" s="559">
        <v>302129</v>
      </c>
      <c r="G1072" s="558" t="s">
        <v>2099</v>
      </c>
      <c r="H1072" s="564">
        <v>40015</v>
      </c>
      <c r="I1072" s="563">
        <v>64.349999999999994</v>
      </c>
      <c r="J1072" s="563">
        <v>-64.349999999999994</v>
      </c>
      <c r="K1072" s="582">
        <f t="shared" si="48"/>
        <v>0</v>
      </c>
      <c r="L1072" s="563">
        <f t="shared" si="49"/>
        <v>0</v>
      </c>
      <c r="M1072" s="563">
        <f t="shared" si="50"/>
        <v>70.784999999999997</v>
      </c>
      <c r="N1072" s="580"/>
    </row>
    <row r="1073" spans="4:14" x14ac:dyDescent="0.25">
      <c r="D1073" s="559" t="s">
        <v>867</v>
      </c>
      <c r="E1073" s="558">
        <v>310619</v>
      </c>
      <c r="F1073" s="559">
        <v>301210</v>
      </c>
      <c r="G1073" s="558" t="s">
        <v>2099</v>
      </c>
      <c r="H1073" s="564">
        <v>40015</v>
      </c>
      <c r="I1073" s="563">
        <v>571.35</v>
      </c>
      <c r="J1073" s="563">
        <v>-571.35</v>
      </c>
      <c r="K1073" s="582">
        <f t="shared" si="48"/>
        <v>0</v>
      </c>
      <c r="L1073" s="563">
        <f t="shared" si="49"/>
        <v>0</v>
      </c>
      <c r="M1073" s="563">
        <f t="shared" si="50"/>
        <v>628.48500000000013</v>
      </c>
      <c r="N1073" s="580"/>
    </row>
    <row r="1074" spans="4:14" x14ac:dyDescent="0.25">
      <c r="D1074" s="559" t="s">
        <v>867</v>
      </c>
      <c r="E1074" s="558">
        <v>310622</v>
      </c>
      <c r="F1074" s="559">
        <v>301541</v>
      </c>
      <c r="G1074" s="558" t="s">
        <v>2100</v>
      </c>
      <c r="H1074" s="564">
        <v>40015</v>
      </c>
      <c r="I1074" s="563">
        <v>727.35</v>
      </c>
      <c r="J1074" s="563">
        <v>-585</v>
      </c>
      <c r="K1074" s="582">
        <f t="shared" si="48"/>
        <v>142.35000000000002</v>
      </c>
      <c r="L1074" s="563">
        <f t="shared" si="49"/>
        <v>156.58500000000004</v>
      </c>
      <c r="M1074" s="563">
        <f t="shared" si="50"/>
        <v>800.08500000000004</v>
      </c>
      <c r="N1074" s="580"/>
    </row>
    <row r="1075" spans="4:14" x14ac:dyDescent="0.25">
      <c r="D1075" s="559" t="s">
        <v>867</v>
      </c>
      <c r="E1075" s="558">
        <v>310623</v>
      </c>
      <c r="F1075" s="559">
        <v>300014</v>
      </c>
      <c r="G1075" s="558" t="s">
        <v>2100</v>
      </c>
      <c r="H1075" s="564">
        <v>40015</v>
      </c>
      <c r="I1075" s="563">
        <v>64.349999999999994</v>
      </c>
      <c r="J1075" s="563">
        <v>-64.349999999999994</v>
      </c>
      <c r="K1075" s="582">
        <f t="shared" si="48"/>
        <v>0</v>
      </c>
      <c r="L1075" s="563">
        <f t="shared" si="49"/>
        <v>0</v>
      </c>
      <c r="M1075" s="563">
        <f t="shared" si="50"/>
        <v>70.784999999999997</v>
      </c>
      <c r="N1075" s="580"/>
    </row>
    <row r="1076" spans="4:14" x14ac:dyDescent="0.25">
      <c r="D1076" s="559" t="s">
        <v>867</v>
      </c>
      <c r="E1076" s="558">
        <v>310625</v>
      </c>
      <c r="F1076" s="559">
        <v>301497</v>
      </c>
      <c r="G1076" s="558" t="s">
        <v>2100</v>
      </c>
      <c r="H1076" s="564">
        <v>40015</v>
      </c>
      <c r="I1076" s="563">
        <v>727.35</v>
      </c>
      <c r="J1076" s="563">
        <v>-585</v>
      </c>
      <c r="K1076" s="582">
        <f t="shared" si="48"/>
        <v>142.35000000000002</v>
      </c>
      <c r="L1076" s="563">
        <f t="shared" si="49"/>
        <v>156.58500000000004</v>
      </c>
      <c r="M1076" s="563">
        <f t="shared" si="50"/>
        <v>800.08500000000004</v>
      </c>
      <c r="N1076" s="580"/>
    </row>
    <row r="1077" spans="4:14" x14ac:dyDescent="0.25">
      <c r="D1077" s="559" t="s">
        <v>867</v>
      </c>
      <c r="E1077" s="558">
        <v>310629</v>
      </c>
      <c r="F1077" s="559">
        <v>300900</v>
      </c>
      <c r="G1077" s="558" t="s">
        <v>2100</v>
      </c>
      <c r="H1077" s="564">
        <v>40015</v>
      </c>
      <c r="I1077" s="563">
        <v>64.349999999999994</v>
      </c>
      <c r="J1077" s="563">
        <v>-64.349999999999994</v>
      </c>
      <c r="K1077" s="582">
        <f t="shared" si="48"/>
        <v>0</v>
      </c>
      <c r="L1077" s="563">
        <f t="shared" si="49"/>
        <v>0</v>
      </c>
      <c r="M1077" s="563">
        <f t="shared" si="50"/>
        <v>70.784999999999997</v>
      </c>
      <c r="N1077" s="580"/>
    </row>
    <row r="1078" spans="4:14" x14ac:dyDescent="0.25">
      <c r="D1078" s="559" t="s">
        <v>867</v>
      </c>
      <c r="E1078" s="558">
        <v>310630</v>
      </c>
      <c r="F1078" s="559">
        <v>302253</v>
      </c>
      <c r="G1078" s="558" t="s">
        <v>2100</v>
      </c>
      <c r="H1078" s="564">
        <v>40015</v>
      </c>
      <c r="I1078" s="563">
        <v>727.35</v>
      </c>
      <c r="J1078" s="563">
        <v>-585</v>
      </c>
      <c r="K1078" s="582">
        <f t="shared" si="48"/>
        <v>142.35000000000002</v>
      </c>
      <c r="L1078" s="563">
        <f t="shared" si="49"/>
        <v>156.58500000000004</v>
      </c>
      <c r="M1078" s="563">
        <f t="shared" si="50"/>
        <v>800.08500000000004</v>
      </c>
      <c r="N1078" s="580"/>
    </row>
    <row r="1079" spans="4:14" x14ac:dyDescent="0.25">
      <c r="D1079" s="559" t="s">
        <v>867</v>
      </c>
      <c r="E1079" s="558">
        <v>310631</v>
      </c>
      <c r="F1079" s="559">
        <v>301255</v>
      </c>
      <c r="G1079" s="558" t="s">
        <v>2101</v>
      </c>
      <c r="H1079" s="564">
        <v>40015</v>
      </c>
      <c r="I1079" s="563">
        <v>64.349999999999994</v>
      </c>
      <c r="J1079" s="563">
        <v>-64.349999999999994</v>
      </c>
      <c r="K1079" s="582">
        <f t="shared" si="48"/>
        <v>0</v>
      </c>
      <c r="L1079" s="563">
        <f t="shared" si="49"/>
        <v>0</v>
      </c>
      <c r="M1079" s="563">
        <f t="shared" si="50"/>
        <v>70.784999999999997</v>
      </c>
      <c r="N1079" s="580"/>
    </row>
    <row r="1080" spans="4:14" x14ac:dyDescent="0.25">
      <c r="D1080" s="559" t="s">
        <v>867</v>
      </c>
      <c r="E1080" s="558">
        <v>310633</v>
      </c>
      <c r="F1080" s="559">
        <v>300517</v>
      </c>
      <c r="G1080" s="558" t="s">
        <v>2101</v>
      </c>
      <c r="H1080" s="564">
        <v>40015</v>
      </c>
      <c r="I1080" s="563">
        <v>25.35</v>
      </c>
      <c r="J1080" s="563">
        <v>-25.35</v>
      </c>
      <c r="K1080" s="582">
        <f t="shared" si="48"/>
        <v>0</v>
      </c>
      <c r="L1080" s="563">
        <f t="shared" si="49"/>
        <v>0</v>
      </c>
      <c r="M1080" s="563">
        <f t="shared" si="50"/>
        <v>27.885000000000005</v>
      </c>
      <c r="N1080" s="580"/>
    </row>
    <row r="1081" spans="4:14" x14ac:dyDescent="0.25">
      <c r="D1081" s="559" t="s">
        <v>867</v>
      </c>
      <c r="E1081" s="558">
        <v>310636</v>
      </c>
      <c r="F1081" s="559">
        <v>301717</v>
      </c>
      <c r="G1081" s="558" t="s">
        <v>2101</v>
      </c>
      <c r="H1081" s="564">
        <v>40015</v>
      </c>
      <c r="I1081" s="563">
        <v>727.35</v>
      </c>
      <c r="J1081" s="563">
        <v>-585</v>
      </c>
      <c r="K1081" s="582">
        <f t="shared" si="48"/>
        <v>142.35000000000002</v>
      </c>
      <c r="L1081" s="563">
        <f t="shared" si="49"/>
        <v>156.58500000000004</v>
      </c>
      <c r="M1081" s="563">
        <f t="shared" si="50"/>
        <v>800.08500000000004</v>
      </c>
      <c r="N1081" s="580"/>
    </row>
    <row r="1082" spans="4:14" x14ac:dyDescent="0.25">
      <c r="D1082" s="559" t="s">
        <v>867</v>
      </c>
      <c r="E1082" s="558">
        <v>310638</v>
      </c>
      <c r="F1082" s="559">
        <v>302050</v>
      </c>
      <c r="G1082" s="558" t="s">
        <v>2101</v>
      </c>
      <c r="H1082" s="564">
        <v>40015</v>
      </c>
      <c r="I1082" s="563">
        <v>64.349999999999994</v>
      </c>
      <c r="J1082" s="563">
        <v>-64.349999999999994</v>
      </c>
      <c r="K1082" s="582">
        <f t="shared" si="48"/>
        <v>0</v>
      </c>
      <c r="L1082" s="563">
        <f t="shared" si="49"/>
        <v>0</v>
      </c>
      <c r="M1082" s="563">
        <f t="shared" si="50"/>
        <v>70.784999999999997</v>
      </c>
      <c r="N1082" s="580"/>
    </row>
    <row r="1083" spans="4:14" x14ac:dyDescent="0.25">
      <c r="D1083" s="559" t="s">
        <v>867</v>
      </c>
      <c r="E1083" s="558">
        <v>310642</v>
      </c>
      <c r="F1083" s="559">
        <v>301529</v>
      </c>
      <c r="G1083" s="558" t="s">
        <v>2101</v>
      </c>
      <c r="H1083" s="564">
        <v>40015</v>
      </c>
      <c r="I1083" s="563">
        <v>727.35</v>
      </c>
      <c r="J1083" s="563">
        <v>-585</v>
      </c>
      <c r="K1083" s="582">
        <f t="shared" si="48"/>
        <v>142.35000000000002</v>
      </c>
      <c r="L1083" s="563">
        <f t="shared" si="49"/>
        <v>156.58500000000004</v>
      </c>
      <c r="M1083" s="563">
        <f t="shared" si="50"/>
        <v>800.08500000000004</v>
      </c>
      <c r="N1083" s="580"/>
    </row>
    <row r="1084" spans="4:14" x14ac:dyDescent="0.25">
      <c r="D1084" s="559" t="s">
        <v>867</v>
      </c>
      <c r="E1084" s="558">
        <v>310645</v>
      </c>
      <c r="F1084" s="559">
        <v>300016</v>
      </c>
      <c r="G1084" s="558" t="s">
        <v>2102</v>
      </c>
      <c r="H1084" s="564">
        <v>40015</v>
      </c>
      <c r="I1084" s="563">
        <v>64.349999999999994</v>
      </c>
      <c r="J1084" s="563">
        <v>-64.349999999999994</v>
      </c>
      <c r="K1084" s="582">
        <f t="shared" si="48"/>
        <v>0</v>
      </c>
      <c r="L1084" s="563">
        <f t="shared" si="49"/>
        <v>0</v>
      </c>
      <c r="M1084" s="563">
        <f t="shared" si="50"/>
        <v>70.784999999999997</v>
      </c>
      <c r="N1084" s="580"/>
    </row>
    <row r="1085" spans="4:14" x14ac:dyDescent="0.25">
      <c r="D1085" s="559" t="s">
        <v>867</v>
      </c>
      <c r="E1085" s="558">
        <v>310647</v>
      </c>
      <c r="F1085" s="559">
        <v>301940</v>
      </c>
      <c r="G1085" s="558" t="s">
        <v>2102</v>
      </c>
      <c r="H1085" s="564">
        <v>40015</v>
      </c>
      <c r="I1085" s="563">
        <v>64.349999999999994</v>
      </c>
      <c r="J1085" s="563">
        <v>-64.349999999999994</v>
      </c>
      <c r="K1085" s="582">
        <f t="shared" si="48"/>
        <v>0</v>
      </c>
      <c r="L1085" s="563">
        <f t="shared" si="49"/>
        <v>0</v>
      </c>
      <c r="M1085" s="563">
        <f t="shared" si="50"/>
        <v>70.784999999999997</v>
      </c>
      <c r="N1085" s="580"/>
    </row>
    <row r="1086" spans="4:14" x14ac:dyDescent="0.25">
      <c r="D1086" s="559" t="s">
        <v>867</v>
      </c>
      <c r="E1086" s="558">
        <v>310652</v>
      </c>
      <c r="F1086" s="559">
        <v>300558</v>
      </c>
      <c r="G1086" s="558" t="s">
        <v>2102</v>
      </c>
      <c r="H1086" s="564">
        <v>40015</v>
      </c>
      <c r="I1086" s="563">
        <v>64.349999999999994</v>
      </c>
      <c r="J1086" s="563">
        <v>-64.349999999999994</v>
      </c>
      <c r="K1086" s="582">
        <f t="shared" si="48"/>
        <v>0</v>
      </c>
      <c r="L1086" s="563">
        <f t="shared" si="49"/>
        <v>0</v>
      </c>
      <c r="M1086" s="563">
        <f t="shared" si="50"/>
        <v>70.784999999999997</v>
      </c>
      <c r="N1086" s="580"/>
    </row>
    <row r="1087" spans="4:14" x14ac:dyDescent="0.25">
      <c r="D1087" s="559" t="s">
        <v>867</v>
      </c>
      <c r="E1087" s="558">
        <v>310655</v>
      </c>
      <c r="F1087" s="559">
        <v>302084</v>
      </c>
      <c r="G1087" s="558" t="s">
        <v>2102</v>
      </c>
      <c r="H1087" s="564">
        <v>40015</v>
      </c>
      <c r="I1087" s="563">
        <v>64.349999999999994</v>
      </c>
      <c r="J1087" s="563">
        <v>-64.349999999999994</v>
      </c>
      <c r="K1087" s="582">
        <f t="shared" si="48"/>
        <v>0</v>
      </c>
      <c r="L1087" s="563">
        <f t="shared" si="49"/>
        <v>0</v>
      </c>
      <c r="M1087" s="563">
        <f t="shared" si="50"/>
        <v>70.784999999999997</v>
      </c>
      <c r="N1087" s="580"/>
    </row>
    <row r="1088" spans="4:14" x14ac:dyDescent="0.25">
      <c r="D1088" s="559" t="s">
        <v>867</v>
      </c>
      <c r="E1088" s="558">
        <v>310691</v>
      </c>
      <c r="F1088" s="559">
        <v>300113</v>
      </c>
      <c r="G1088" s="558" t="s">
        <v>2102</v>
      </c>
      <c r="H1088" s="564">
        <v>40015</v>
      </c>
      <c r="I1088" s="563">
        <v>1156.3499999999999</v>
      </c>
      <c r="J1088" s="563">
        <v>-585</v>
      </c>
      <c r="K1088" s="582">
        <f t="shared" si="48"/>
        <v>571.34999999999991</v>
      </c>
      <c r="L1088" s="563">
        <f t="shared" si="49"/>
        <v>628.4849999999999</v>
      </c>
      <c r="M1088" s="563">
        <f t="shared" si="50"/>
        <v>1271.9849999999999</v>
      </c>
      <c r="N1088" s="580"/>
    </row>
    <row r="1089" spans="4:14" x14ac:dyDescent="0.25">
      <c r="D1089" s="559" t="s">
        <v>867</v>
      </c>
      <c r="E1089" s="558">
        <v>310692</v>
      </c>
      <c r="F1089" s="559">
        <v>300383</v>
      </c>
      <c r="G1089" s="558" t="s">
        <v>2103</v>
      </c>
      <c r="H1089" s="564">
        <v>40015</v>
      </c>
      <c r="I1089" s="563">
        <v>766.35</v>
      </c>
      <c r="J1089" s="563">
        <v>-585</v>
      </c>
      <c r="K1089" s="582">
        <f t="shared" si="48"/>
        <v>181.35000000000002</v>
      </c>
      <c r="L1089" s="563">
        <f t="shared" si="49"/>
        <v>199.48500000000004</v>
      </c>
      <c r="M1089" s="563">
        <f t="shared" si="50"/>
        <v>842.98500000000013</v>
      </c>
      <c r="N1089" s="580"/>
    </row>
    <row r="1090" spans="4:14" x14ac:dyDescent="0.25">
      <c r="D1090" s="559" t="s">
        <v>867</v>
      </c>
      <c r="E1090" s="558">
        <v>310693</v>
      </c>
      <c r="F1090" s="559">
        <v>300933</v>
      </c>
      <c r="G1090" s="558" t="s">
        <v>2103</v>
      </c>
      <c r="H1090" s="564">
        <v>40015</v>
      </c>
      <c r="I1090" s="563">
        <v>64.349999999999994</v>
      </c>
      <c r="J1090" s="563">
        <v>-64.349999999999994</v>
      </c>
      <c r="K1090" s="582">
        <f t="shared" si="48"/>
        <v>0</v>
      </c>
      <c r="L1090" s="563">
        <f t="shared" si="49"/>
        <v>0</v>
      </c>
      <c r="M1090" s="563">
        <f t="shared" si="50"/>
        <v>70.784999999999997</v>
      </c>
      <c r="N1090" s="580"/>
    </row>
    <row r="1091" spans="4:14" x14ac:dyDescent="0.25">
      <c r="D1091" s="559" t="s">
        <v>867</v>
      </c>
      <c r="E1091" s="558">
        <v>310697</v>
      </c>
      <c r="F1091" s="559">
        <v>300142</v>
      </c>
      <c r="G1091" s="558" t="s">
        <v>2103</v>
      </c>
      <c r="H1091" s="564">
        <v>40015</v>
      </c>
      <c r="I1091" s="563">
        <v>493.35</v>
      </c>
      <c r="J1091" s="563">
        <v>-493.35</v>
      </c>
      <c r="K1091" s="582">
        <f t="shared" si="48"/>
        <v>0</v>
      </c>
      <c r="L1091" s="563">
        <f t="shared" si="49"/>
        <v>0</v>
      </c>
      <c r="M1091" s="563">
        <f t="shared" si="50"/>
        <v>542.68500000000006</v>
      </c>
      <c r="N1091" s="580"/>
    </row>
    <row r="1092" spans="4:14" x14ac:dyDescent="0.25">
      <c r="D1092" s="559" t="s">
        <v>867</v>
      </c>
      <c r="E1092" s="558">
        <v>310699</v>
      </c>
      <c r="F1092" s="559">
        <v>301104</v>
      </c>
      <c r="G1092" s="558" t="s">
        <v>2103</v>
      </c>
      <c r="H1092" s="564">
        <v>40015</v>
      </c>
      <c r="I1092" s="563">
        <v>64.349999999999994</v>
      </c>
      <c r="J1092" s="563">
        <v>-64.349999999999994</v>
      </c>
      <c r="K1092" s="582">
        <f t="shared" si="48"/>
        <v>0</v>
      </c>
      <c r="L1092" s="563">
        <f t="shared" si="49"/>
        <v>0</v>
      </c>
      <c r="M1092" s="563">
        <f t="shared" si="50"/>
        <v>70.784999999999997</v>
      </c>
      <c r="N1092" s="580"/>
    </row>
    <row r="1093" spans="4:14" x14ac:dyDescent="0.25">
      <c r="D1093" s="559" t="s">
        <v>867</v>
      </c>
      <c r="E1093" s="558">
        <v>310700</v>
      </c>
      <c r="F1093" s="559">
        <v>301708</v>
      </c>
      <c r="G1093" s="558" t="s">
        <v>2103</v>
      </c>
      <c r="H1093" s="564">
        <v>40015</v>
      </c>
      <c r="I1093" s="563">
        <v>64.349999999999994</v>
      </c>
      <c r="J1093" s="563">
        <v>-64.349999999999994</v>
      </c>
      <c r="K1093" s="582">
        <f t="shared" si="48"/>
        <v>0</v>
      </c>
      <c r="L1093" s="563">
        <f t="shared" si="49"/>
        <v>0</v>
      </c>
      <c r="M1093" s="563">
        <f t="shared" si="50"/>
        <v>70.784999999999997</v>
      </c>
      <c r="N1093" s="580"/>
    </row>
    <row r="1094" spans="4:14" x14ac:dyDescent="0.25">
      <c r="D1094" s="559" t="s">
        <v>867</v>
      </c>
      <c r="E1094" s="558">
        <v>310701</v>
      </c>
      <c r="F1094" s="559">
        <v>300020</v>
      </c>
      <c r="G1094" s="558" t="s">
        <v>2104</v>
      </c>
      <c r="H1094" s="564">
        <v>40015</v>
      </c>
      <c r="I1094" s="563">
        <v>25.35</v>
      </c>
      <c r="J1094" s="563">
        <v>-25.35</v>
      </c>
      <c r="K1094" s="582">
        <f t="shared" si="48"/>
        <v>0</v>
      </c>
      <c r="L1094" s="563">
        <f t="shared" si="49"/>
        <v>0</v>
      </c>
      <c r="M1094" s="563">
        <f t="shared" si="50"/>
        <v>27.885000000000005</v>
      </c>
      <c r="N1094" s="580"/>
    </row>
    <row r="1095" spans="4:14" x14ac:dyDescent="0.25">
      <c r="D1095" s="559" t="s">
        <v>867</v>
      </c>
      <c r="E1095" s="558">
        <v>310704</v>
      </c>
      <c r="F1095" s="559">
        <v>301456</v>
      </c>
      <c r="G1095" s="558" t="s">
        <v>2104</v>
      </c>
      <c r="H1095" s="564">
        <v>40015</v>
      </c>
      <c r="I1095" s="563">
        <v>493.35</v>
      </c>
      <c r="J1095" s="563">
        <v>-493.35</v>
      </c>
      <c r="K1095" s="582">
        <f t="shared" si="48"/>
        <v>0</v>
      </c>
      <c r="L1095" s="563">
        <f t="shared" si="49"/>
        <v>0</v>
      </c>
      <c r="M1095" s="563">
        <f t="shared" si="50"/>
        <v>542.68500000000006</v>
      </c>
      <c r="N1095" s="580"/>
    </row>
    <row r="1096" spans="4:14" x14ac:dyDescent="0.25">
      <c r="D1096" s="559" t="s">
        <v>867</v>
      </c>
      <c r="E1096" s="558">
        <v>310707</v>
      </c>
      <c r="F1096" s="559">
        <v>301542</v>
      </c>
      <c r="G1096" s="558" t="s">
        <v>2104</v>
      </c>
      <c r="H1096" s="564">
        <v>40015</v>
      </c>
      <c r="I1096" s="563">
        <v>493.35</v>
      </c>
      <c r="J1096" s="563">
        <v>-493.35</v>
      </c>
      <c r="K1096" s="582">
        <f t="shared" si="48"/>
        <v>0</v>
      </c>
      <c r="L1096" s="563">
        <f t="shared" si="49"/>
        <v>0</v>
      </c>
      <c r="M1096" s="563">
        <f t="shared" si="50"/>
        <v>542.68500000000006</v>
      </c>
      <c r="N1096" s="580"/>
    </row>
    <row r="1097" spans="4:14" x14ac:dyDescent="0.25">
      <c r="D1097" s="559" t="s">
        <v>867</v>
      </c>
      <c r="E1097" s="558">
        <v>310708</v>
      </c>
      <c r="F1097" s="559">
        <v>300684</v>
      </c>
      <c r="G1097" s="558" t="s">
        <v>2104</v>
      </c>
      <c r="H1097" s="564">
        <v>40015</v>
      </c>
      <c r="I1097" s="563">
        <v>571.35</v>
      </c>
      <c r="J1097" s="563">
        <v>-571.35</v>
      </c>
      <c r="K1097" s="582">
        <f t="shared" si="48"/>
        <v>0</v>
      </c>
      <c r="L1097" s="563">
        <f t="shared" si="49"/>
        <v>0</v>
      </c>
      <c r="M1097" s="563">
        <f t="shared" si="50"/>
        <v>628.48500000000013</v>
      </c>
      <c r="N1097" s="580"/>
    </row>
    <row r="1098" spans="4:14" x14ac:dyDescent="0.25">
      <c r="D1098" s="559" t="s">
        <v>867</v>
      </c>
      <c r="E1098" s="558">
        <v>310712</v>
      </c>
      <c r="F1098" s="559">
        <v>301291</v>
      </c>
      <c r="G1098" s="558" t="s">
        <v>2104</v>
      </c>
      <c r="H1098" s="564">
        <v>40015</v>
      </c>
      <c r="I1098" s="563">
        <v>454.35</v>
      </c>
      <c r="J1098" s="563">
        <v>-454.35</v>
      </c>
      <c r="K1098" s="582">
        <f t="shared" si="48"/>
        <v>0</v>
      </c>
      <c r="L1098" s="563">
        <f t="shared" si="49"/>
        <v>0</v>
      </c>
      <c r="M1098" s="563">
        <f t="shared" si="50"/>
        <v>499.78500000000008</v>
      </c>
      <c r="N1098" s="580"/>
    </row>
    <row r="1099" spans="4:14" x14ac:dyDescent="0.25">
      <c r="D1099" s="559" t="s">
        <v>867</v>
      </c>
      <c r="E1099" s="558">
        <v>310715</v>
      </c>
      <c r="F1099" s="559">
        <v>300653</v>
      </c>
      <c r="G1099" s="558" t="s">
        <v>2105</v>
      </c>
      <c r="H1099" s="564">
        <v>40015</v>
      </c>
      <c r="I1099" s="563">
        <v>415.35</v>
      </c>
      <c r="J1099" s="563">
        <v>-415.35</v>
      </c>
      <c r="K1099" s="582">
        <f t="shared" si="48"/>
        <v>0</v>
      </c>
      <c r="L1099" s="563">
        <f t="shared" si="49"/>
        <v>0</v>
      </c>
      <c r="M1099" s="563">
        <f t="shared" si="50"/>
        <v>456.88500000000005</v>
      </c>
      <c r="N1099" s="580"/>
    </row>
    <row r="1100" spans="4:14" x14ac:dyDescent="0.25">
      <c r="D1100" s="559" t="s">
        <v>867</v>
      </c>
      <c r="E1100" s="558">
        <v>310717</v>
      </c>
      <c r="F1100" s="559">
        <v>301550</v>
      </c>
      <c r="G1100" s="558" t="s">
        <v>2105</v>
      </c>
      <c r="H1100" s="564">
        <v>40015</v>
      </c>
      <c r="I1100" s="563">
        <v>415.35</v>
      </c>
      <c r="J1100" s="563">
        <v>-415.35</v>
      </c>
      <c r="K1100" s="582">
        <f t="shared" si="48"/>
        <v>0</v>
      </c>
      <c r="L1100" s="563">
        <f t="shared" si="49"/>
        <v>0</v>
      </c>
      <c r="M1100" s="563">
        <f t="shared" si="50"/>
        <v>456.88500000000005</v>
      </c>
      <c r="N1100" s="580"/>
    </row>
    <row r="1101" spans="4:14" x14ac:dyDescent="0.25">
      <c r="D1101" s="559" t="s">
        <v>867</v>
      </c>
      <c r="E1101" s="558">
        <v>310719</v>
      </c>
      <c r="F1101" s="559">
        <v>300700</v>
      </c>
      <c r="G1101" s="558" t="s">
        <v>2105</v>
      </c>
      <c r="H1101" s="564">
        <v>40015</v>
      </c>
      <c r="I1101" s="563">
        <v>64.349999999999994</v>
      </c>
      <c r="J1101" s="563">
        <v>-64.349999999999994</v>
      </c>
      <c r="K1101" s="582">
        <f t="shared" si="48"/>
        <v>0</v>
      </c>
      <c r="L1101" s="563">
        <f t="shared" si="49"/>
        <v>0</v>
      </c>
      <c r="M1101" s="563">
        <f t="shared" si="50"/>
        <v>70.784999999999997</v>
      </c>
      <c r="N1101" s="580"/>
    </row>
    <row r="1102" spans="4:14" x14ac:dyDescent="0.25">
      <c r="D1102" s="559" t="s">
        <v>867</v>
      </c>
      <c r="E1102" s="558">
        <v>310721</v>
      </c>
      <c r="F1102" s="559">
        <v>300017</v>
      </c>
      <c r="G1102" s="558" t="s">
        <v>2105</v>
      </c>
      <c r="H1102" s="564">
        <v>40015</v>
      </c>
      <c r="I1102" s="563">
        <v>727.35</v>
      </c>
      <c r="J1102" s="563">
        <v>-585</v>
      </c>
      <c r="K1102" s="582">
        <f t="shared" si="48"/>
        <v>142.35000000000002</v>
      </c>
      <c r="L1102" s="563">
        <f t="shared" si="49"/>
        <v>156.58500000000004</v>
      </c>
      <c r="M1102" s="563">
        <f t="shared" si="50"/>
        <v>800.08500000000004</v>
      </c>
      <c r="N1102" s="580"/>
    </row>
    <row r="1103" spans="4:14" x14ac:dyDescent="0.25">
      <c r="D1103" s="559" t="s">
        <v>867</v>
      </c>
      <c r="E1103" s="558">
        <v>310722</v>
      </c>
      <c r="F1103" s="559">
        <v>300366</v>
      </c>
      <c r="G1103" s="558" t="s">
        <v>2105</v>
      </c>
      <c r="H1103" s="564">
        <v>40015</v>
      </c>
      <c r="I1103" s="563">
        <v>727.35</v>
      </c>
      <c r="J1103" s="563">
        <v>-585</v>
      </c>
      <c r="K1103" s="582">
        <f t="shared" si="48"/>
        <v>142.35000000000002</v>
      </c>
      <c r="L1103" s="563">
        <f t="shared" si="49"/>
        <v>156.58500000000004</v>
      </c>
      <c r="M1103" s="563">
        <f t="shared" si="50"/>
        <v>800.08500000000004</v>
      </c>
      <c r="N1103" s="580"/>
    </row>
    <row r="1104" spans="4:14" x14ac:dyDescent="0.25">
      <c r="D1104" s="559" t="s">
        <v>867</v>
      </c>
      <c r="E1104" s="558">
        <v>310726</v>
      </c>
      <c r="F1104" s="559">
        <v>301441</v>
      </c>
      <c r="G1104" s="558" t="s">
        <v>2106</v>
      </c>
      <c r="H1104" s="564">
        <v>40015</v>
      </c>
      <c r="I1104" s="563">
        <v>727.35</v>
      </c>
      <c r="J1104" s="563">
        <v>-585</v>
      </c>
      <c r="K1104" s="582">
        <f t="shared" si="48"/>
        <v>142.35000000000002</v>
      </c>
      <c r="L1104" s="563">
        <f t="shared" si="49"/>
        <v>156.58500000000004</v>
      </c>
      <c r="M1104" s="563">
        <f t="shared" si="50"/>
        <v>800.08500000000004</v>
      </c>
      <c r="N1104" s="580"/>
    </row>
    <row r="1105" spans="4:16" x14ac:dyDescent="0.25">
      <c r="D1105" s="559" t="s">
        <v>867</v>
      </c>
      <c r="E1105" s="558">
        <v>310727</v>
      </c>
      <c r="F1105" s="559">
        <v>301007</v>
      </c>
      <c r="G1105" s="558" t="s">
        <v>2106</v>
      </c>
      <c r="H1105" s="564">
        <v>40015</v>
      </c>
      <c r="I1105" s="563">
        <v>727.35</v>
      </c>
      <c r="J1105" s="563">
        <v>-585</v>
      </c>
      <c r="K1105" s="582">
        <f t="shared" si="48"/>
        <v>142.35000000000002</v>
      </c>
      <c r="L1105" s="563">
        <f t="shared" si="49"/>
        <v>156.58500000000004</v>
      </c>
      <c r="M1105" s="563">
        <f t="shared" si="50"/>
        <v>800.08500000000004</v>
      </c>
      <c r="N1105" s="580"/>
    </row>
    <row r="1106" spans="4:16" x14ac:dyDescent="0.25">
      <c r="D1106" s="559" t="s">
        <v>867</v>
      </c>
      <c r="E1106" s="558">
        <v>310728</v>
      </c>
      <c r="F1106" s="559">
        <v>302003</v>
      </c>
      <c r="G1106" s="558" t="s">
        <v>2106</v>
      </c>
      <c r="H1106" s="564">
        <v>40015</v>
      </c>
      <c r="I1106" s="563">
        <v>351</v>
      </c>
      <c r="J1106" s="563">
        <v>-351</v>
      </c>
      <c r="K1106" s="582">
        <f t="shared" si="48"/>
        <v>0</v>
      </c>
      <c r="L1106" s="563">
        <f t="shared" si="49"/>
        <v>0</v>
      </c>
      <c r="M1106" s="563">
        <f t="shared" si="50"/>
        <v>386.1</v>
      </c>
      <c r="N1106" s="580"/>
    </row>
    <row r="1107" spans="4:16" x14ac:dyDescent="0.25">
      <c r="D1107" s="559" t="s">
        <v>867</v>
      </c>
      <c r="E1107" s="558">
        <v>310733</v>
      </c>
      <c r="F1107" s="559">
        <v>300385</v>
      </c>
      <c r="G1107" s="558" t="s">
        <v>2106</v>
      </c>
      <c r="H1107" s="564">
        <v>40015</v>
      </c>
      <c r="I1107" s="563">
        <v>727.35</v>
      </c>
      <c r="J1107" s="563">
        <v>-585</v>
      </c>
      <c r="K1107" s="582">
        <f t="shared" si="48"/>
        <v>142.35000000000002</v>
      </c>
      <c r="L1107" s="563">
        <f t="shared" si="49"/>
        <v>156.58500000000004</v>
      </c>
      <c r="M1107" s="563">
        <f t="shared" si="50"/>
        <v>800.08500000000004</v>
      </c>
      <c r="N1107" s="580"/>
    </row>
    <row r="1108" spans="4:16" x14ac:dyDescent="0.25">
      <c r="D1108" s="559" t="s">
        <v>867</v>
      </c>
      <c r="E1108" s="558">
        <v>310734</v>
      </c>
      <c r="F1108" s="559">
        <v>301283</v>
      </c>
      <c r="G1108" s="558" t="s">
        <v>2106</v>
      </c>
      <c r="H1108" s="564">
        <v>40015</v>
      </c>
      <c r="I1108" s="563">
        <v>468</v>
      </c>
      <c r="J1108" s="563">
        <v>-468</v>
      </c>
      <c r="K1108" s="582">
        <f t="shared" si="48"/>
        <v>0</v>
      </c>
      <c r="L1108" s="563">
        <f t="shared" si="49"/>
        <v>0</v>
      </c>
      <c r="M1108" s="563">
        <f t="shared" si="50"/>
        <v>514.80000000000007</v>
      </c>
      <c r="N1108" s="580"/>
    </row>
    <row r="1109" spans="4:16" x14ac:dyDescent="0.25">
      <c r="D1109" s="559" t="s">
        <v>867</v>
      </c>
      <c r="E1109" s="558">
        <v>310744</v>
      </c>
      <c r="F1109" s="559">
        <v>100080</v>
      </c>
      <c r="G1109" s="558" t="s">
        <v>4832</v>
      </c>
      <c r="H1109" s="564">
        <v>40015</v>
      </c>
      <c r="I1109" s="563">
        <v>1248</v>
      </c>
      <c r="J1109" s="563">
        <v>-585</v>
      </c>
      <c r="K1109" s="563">
        <f t="shared" si="48"/>
        <v>663</v>
      </c>
      <c r="L1109" s="563">
        <f t="shared" si="49"/>
        <v>729.30000000000007</v>
      </c>
      <c r="M1109" s="563">
        <f t="shared" si="50"/>
        <v>1372.8000000000002</v>
      </c>
      <c r="N1109" s="580"/>
      <c r="O1109" s="558"/>
      <c r="P1109" s="564"/>
    </row>
    <row r="1110" spans="4:16" x14ac:dyDescent="0.25">
      <c r="D1110" s="559" t="s">
        <v>867</v>
      </c>
      <c r="E1110" s="558">
        <v>310749</v>
      </c>
      <c r="F1110" s="559">
        <v>301098</v>
      </c>
      <c r="G1110" s="558" t="s">
        <v>4832</v>
      </c>
      <c r="H1110" s="564">
        <v>40015</v>
      </c>
      <c r="I1110" s="563">
        <v>64.349999999999994</v>
      </c>
      <c r="J1110" s="563">
        <v>-64.349999999999994</v>
      </c>
      <c r="K1110" s="582">
        <f t="shared" si="48"/>
        <v>0</v>
      </c>
      <c r="L1110" s="563">
        <f t="shared" si="49"/>
        <v>0</v>
      </c>
      <c r="M1110" s="563">
        <f t="shared" si="50"/>
        <v>70.784999999999997</v>
      </c>
      <c r="N1110" s="580"/>
    </row>
    <row r="1111" spans="4:16" x14ac:dyDescent="0.25">
      <c r="D1111" s="559" t="s">
        <v>867</v>
      </c>
      <c r="E1111" s="558">
        <v>310750</v>
      </c>
      <c r="F1111" s="559">
        <v>300969</v>
      </c>
      <c r="G1111" s="558" t="s">
        <v>4832</v>
      </c>
      <c r="H1111" s="564">
        <v>40015</v>
      </c>
      <c r="I1111" s="563">
        <v>64.349999999999994</v>
      </c>
      <c r="J1111" s="563">
        <v>-64.349999999999994</v>
      </c>
      <c r="K1111" s="582">
        <f t="shared" si="48"/>
        <v>0</v>
      </c>
      <c r="L1111" s="563">
        <f t="shared" si="49"/>
        <v>0</v>
      </c>
      <c r="M1111" s="563">
        <f t="shared" si="50"/>
        <v>70.784999999999997</v>
      </c>
      <c r="N1111" s="580"/>
    </row>
    <row r="1112" spans="4:16" x14ac:dyDescent="0.25">
      <c r="D1112" s="559" t="s">
        <v>867</v>
      </c>
      <c r="E1112" s="558">
        <v>310755</v>
      </c>
      <c r="F1112" s="559">
        <v>303073</v>
      </c>
      <c r="G1112" s="558" t="s">
        <v>4832</v>
      </c>
      <c r="H1112" s="564">
        <v>40015</v>
      </c>
      <c r="I1112" s="563">
        <v>727.35</v>
      </c>
      <c r="J1112" s="563">
        <v>-585</v>
      </c>
      <c r="K1112" s="563">
        <f t="shared" si="48"/>
        <v>142.35000000000002</v>
      </c>
      <c r="L1112" s="563">
        <f t="shared" si="49"/>
        <v>156.58500000000004</v>
      </c>
      <c r="M1112" s="563">
        <f t="shared" si="50"/>
        <v>800.08500000000004</v>
      </c>
      <c r="N1112" s="580"/>
      <c r="O1112" s="558"/>
      <c r="P1112" s="564"/>
    </row>
    <row r="1113" spans="4:16" x14ac:dyDescent="0.25">
      <c r="D1113" s="559" t="s">
        <v>867</v>
      </c>
      <c r="E1113" s="558">
        <v>310757</v>
      </c>
      <c r="F1113" s="559">
        <v>301392</v>
      </c>
      <c r="G1113" s="558" t="s">
        <v>4832</v>
      </c>
      <c r="H1113" s="564">
        <v>40015</v>
      </c>
      <c r="I1113" s="563">
        <v>493.35</v>
      </c>
      <c r="J1113" s="563">
        <v>-493.35</v>
      </c>
      <c r="K1113" s="582">
        <f t="shared" si="48"/>
        <v>0</v>
      </c>
      <c r="L1113" s="563">
        <f t="shared" si="49"/>
        <v>0</v>
      </c>
      <c r="M1113" s="563">
        <f t="shared" si="50"/>
        <v>542.68500000000006</v>
      </c>
      <c r="N1113" s="580"/>
    </row>
    <row r="1114" spans="4:16" x14ac:dyDescent="0.25">
      <c r="D1114" s="559" t="s">
        <v>867</v>
      </c>
      <c r="E1114" s="558">
        <v>310758</v>
      </c>
      <c r="F1114" s="559">
        <v>300055</v>
      </c>
      <c r="G1114" s="558" t="s">
        <v>4833</v>
      </c>
      <c r="H1114" s="564">
        <v>40015</v>
      </c>
      <c r="I1114" s="563">
        <v>727.35</v>
      </c>
      <c r="J1114" s="563">
        <v>-585</v>
      </c>
      <c r="K1114" s="582">
        <f t="shared" si="48"/>
        <v>142.35000000000002</v>
      </c>
      <c r="L1114" s="563">
        <f t="shared" si="49"/>
        <v>156.58500000000004</v>
      </c>
      <c r="M1114" s="563">
        <f t="shared" si="50"/>
        <v>800.08500000000004</v>
      </c>
      <c r="N1114" s="580"/>
    </row>
    <row r="1115" spans="4:16" x14ac:dyDescent="0.25">
      <c r="D1115" s="559" t="s">
        <v>867</v>
      </c>
      <c r="E1115" s="558">
        <v>310759</v>
      </c>
      <c r="F1115" s="559">
        <v>301525</v>
      </c>
      <c r="G1115" s="558" t="s">
        <v>4833</v>
      </c>
      <c r="H1115" s="564">
        <v>40015</v>
      </c>
      <c r="I1115" s="563">
        <v>64.349999999999994</v>
      </c>
      <c r="J1115" s="563">
        <v>-64.349999999999994</v>
      </c>
      <c r="K1115" s="582">
        <f t="shared" si="48"/>
        <v>0</v>
      </c>
      <c r="L1115" s="563">
        <f t="shared" si="49"/>
        <v>0</v>
      </c>
      <c r="M1115" s="563">
        <f t="shared" si="50"/>
        <v>70.784999999999997</v>
      </c>
      <c r="N1115" s="580"/>
    </row>
    <row r="1116" spans="4:16" x14ac:dyDescent="0.25">
      <c r="D1116" s="559" t="s">
        <v>867</v>
      </c>
      <c r="E1116" s="558">
        <v>310762</v>
      </c>
      <c r="F1116" s="559">
        <v>300957</v>
      </c>
      <c r="G1116" s="558" t="s">
        <v>4833</v>
      </c>
      <c r="H1116" s="564">
        <v>40015</v>
      </c>
      <c r="I1116" s="563">
        <v>727.35</v>
      </c>
      <c r="J1116" s="563">
        <v>-585</v>
      </c>
      <c r="K1116" s="582">
        <f t="shared" si="48"/>
        <v>142.35000000000002</v>
      </c>
      <c r="L1116" s="563">
        <f t="shared" si="49"/>
        <v>156.58500000000004</v>
      </c>
      <c r="M1116" s="563">
        <f t="shared" si="50"/>
        <v>800.08500000000004</v>
      </c>
      <c r="N1116" s="580"/>
    </row>
    <row r="1117" spans="4:16" x14ac:dyDescent="0.25">
      <c r="D1117" s="559" t="s">
        <v>867</v>
      </c>
      <c r="E1117" s="558">
        <v>310763</v>
      </c>
      <c r="F1117" s="559">
        <v>301465</v>
      </c>
      <c r="G1117" s="558" t="s">
        <v>4833</v>
      </c>
      <c r="H1117" s="564">
        <v>40015</v>
      </c>
      <c r="I1117" s="563">
        <v>64.349999999999994</v>
      </c>
      <c r="J1117" s="563">
        <v>-64.349999999999994</v>
      </c>
      <c r="K1117" s="563">
        <f t="shared" si="48"/>
        <v>0</v>
      </c>
      <c r="L1117" s="563">
        <f t="shared" si="49"/>
        <v>0</v>
      </c>
      <c r="M1117" s="563">
        <f t="shared" si="50"/>
        <v>70.784999999999997</v>
      </c>
      <c r="N1117" s="580"/>
      <c r="O1117" s="558"/>
      <c r="P1117" s="564"/>
    </row>
    <row r="1118" spans="4:16" x14ac:dyDescent="0.25">
      <c r="D1118" s="559" t="s">
        <v>867</v>
      </c>
      <c r="E1118" s="558">
        <v>310768</v>
      </c>
      <c r="F1118" s="559">
        <v>300176</v>
      </c>
      <c r="G1118" s="558" t="s">
        <v>4833</v>
      </c>
      <c r="H1118" s="564">
        <v>40015</v>
      </c>
      <c r="I1118" s="563">
        <v>727.35</v>
      </c>
      <c r="J1118" s="563">
        <v>-585</v>
      </c>
      <c r="K1118" s="582">
        <f t="shared" si="48"/>
        <v>142.35000000000002</v>
      </c>
      <c r="L1118" s="563">
        <f t="shared" si="49"/>
        <v>156.58500000000004</v>
      </c>
      <c r="M1118" s="563">
        <f t="shared" si="50"/>
        <v>800.08500000000004</v>
      </c>
      <c r="N1118" s="580"/>
    </row>
    <row r="1119" spans="4:16" x14ac:dyDescent="0.25">
      <c r="D1119" s="559" t="s">
        <v>867</v>
      </c>
      <c r="E1119" s="558">
        <v>310769</v>
      </c>
      <c r="F1119" s="559">
        <v>301056</v>
      </c>
      <c r="G1119" s="558" t="s">
        <v>2107</v>
      </c>
      <c r="H1119" s="564">
        <v>40015</v>
      </c>
      <c r="I1119" s="563">
        <v>727.35</v>
      </c>
      <c r="J1119" s="563">
        <v>-585</v>
      </c>
      <c r="K1119" s="582">
        <f t="shared" si="48"/>
        <v>142.35000000000002</v>
      </c>
      <c r="L1119" s="563">
        <f t="shared" si="49"/>
        <v>156.58500000000004</v>
      </c>
      <c r="M1119" s="563">
        <f t="shared" si="50"/>
        <v>800.08500000000004</v>
      </c>
      <c r="N1119" s="580"/>
    </row>
    <row r="1120" spans="4:16" x14ac:dyDescent="0.25">
      <c r="D1120" s="559" t="s">
        <v>867</v>
      </c>
      <c r="E1120" s="558">
        <v>310771</v>
      </c>
      <c r="F1120" s="559">
        <v>301146</v>
      </c>
      <c r="G1120" s="558" t="s">
        <v>2107</v>
      </c>
      <c r="H1120" s="564">
        <v>40015</v>
      </c>
      <c r="I1120" s="563">
        <v>64.349999999999994</v>
      </c>
      <c r="J1120" s="563">
        <v>-64.349999999999994</v>
      </c>
      <c r="K1120" s="582">
        <f t="shared" si="48"/>
        <v>0</v>
      </c>
      <c r="L1120" s="563">
        <f t="shared" si="49"/>
        <v>0</v>
      </c>
      <c r="M1120" s="563">
        <f t="shared" si="50"/>
        <v>70.784999999999997</v>
      </c>
      <c r="N1120" s="580"/>
    </row>
    <row r="1121" spans="4:16" x14ac:dyDescent="0.25">
      <c r="D1121" s="559" t="s">
        <v>867</v>
      </c>
      <c r="E1121" s="558">
        <v>310772</v>
      </c>
      <c r="F1121" s="559">
        <v>301502</v>
      </c>
      <c r="G1121" s="558" t="s">
        <v>2107</v>
      </c>
      <c r="H1121" s="564">
        <v>40015</v>
      </c>
      <c r="I1121" s="563">
        <v>64.349999999999994</v>
      </c>
      <c r="J1121" s="563">
        <v>-64.349999999999994</v>
      </c>
      <c r="K1121" s="582">
        <f t="shared" si="48"/>
        <v>0</v>
      </c>
      <c r="L1121" s="563">
        <f t="shared" si="49"/>
        <v>0</v>
      </c>
      <c r="M1121" s="563">
        <f t="shared" si="50"/>
        <v>70.784999999999997</v>
      </c>
      <c r="N1121" s="580"/>
    </row>
    <row r="1122" spans="4:16" x14ac:dyDescent="0.25">
      <c r="D1122" s="559" t="s">
        <v>867</v>
      </c>
      <c r="E1122" s="558">
        <v>310778</v>
      </c>
      <c r="F1122" s="559">
        <v>302195</v>
      </c>
      <c r="G1122" s="558" t="s">
        <v>2107</v>
      </c>
      <c r="H1122" s="564">
        <v>40015</v>
      </c>
      <c r="I1122" s="563">
        <v>727.35</v>
      </c>
      <c r="J1122" s="563">
        <v>-585</v>
      </c>
      <c r="K1122" s="582">
        <f t="shared" si="48"/>
        <v>142.35000000000002</v>
      </c>
      <c r="L1122" s="563">
        <f t="shared" si="49"/>
        <v>156.58500000000004</v>
      </c>
      <c r="M1122" s="563">
        <f t="shared" si="50"/>
        <v>800.08500000000004</v>
      </c>
      <c r="N1122" s="580"/>
    </row>
    <row r="1123" spans="4:16" x14ac:dyDescent="0.25">
      <c r="D1123" s="559" t="s">
        <v>867</v>
      </c>
      <c r="E1123" s="558">
        <v>310779</v>
      </c>
      <c r="F1123" s="559">
        <v>300205</v>
      </c>
      <c r="G1123" s="558" t="s">
        <v>2107</v>
      </c>
      <c r="H1123" s="564">
        <v>40015</v>
      </c>
      <c r="I1123" s="563">
        <v>727.35</v>
      </c>
      <c r="J1123" s="563">
        <v>-585</v>
      </c>
      <c r="K1123" s="582">
        <f t="shared" si="48"/>
        <v>142.35000000000002</v>
      </c>
      <c r="L1123" s="563">
        <f t="shared" si="49"/>
        <v>156.58500000000004</v>
      </c>
      <c r="M1123" s="563">
        <f t="shared" si="50"/>
        <v>800.08500000000004</v>
      </c>
      <c r="N1123" s="580"/>
    </row>
    <row r="1124" spans="4:16" x14ac:dyDescent="0.25">
      <c r="D1124" s="559" t="s">
        <v>867</v>
      </c>
      <c r="E1124" s="558">
        <v>310780</v>
      </c>
      <c r="F1124" s="559">
        <v>300423</v>
      </c>
      <c r="G1124" s="558" t="s">
        <v>4834</v>
      </c>
      <c r="H1124" s="564">
        <v>40015</v>
      </c>
      <c r="I1124" s="563">
        <v>727.35</v>
      </c>
      <c r="J1124" s="563">
        <v>-585</v>
      </c>
      <c r="K1124" s="582">
        <f t="shared" si="48"/>
        <v>142.35000000000002</v>
      </c>
      <c r="L1124" s="563">
        <f t="shared" si="49"/>
        <v>156.58500000000004</v>
      </c>
      <c r="M1124" s="563">
        <f t="shared" si="50"/>
        <v>800.08500000000004</v>
      </c>
      <c r="N1124" s="580"/>
    </row>
    <row r="1125" spans="4:16" x14ac:dyDescent="0.25">
      <c r="D1125" s="559" t="s">
        <v>867</v>
      </c>
      <c r="E1125" s="558">
        <v>310781</v>
      </c>
      <c r="F1125" s="559">
        <v>301581</v>
      </c>
      <c r="G1125" s="558" t="s">
        <v>4834</v>
      </c>
      <c r="H1125" s="564">
        <v>40015</v>
      </c>
      <c r="I1125" s="563">
        <v>727.35</v>
      </c>
      <c r="J1125" s="563">
        <v>-585</v>
      </c>
      <c r="K1125" s="582">
        <f t="shared" si="48"/>
        <v>142.35000000000002</v>
      </c>
      <c r="L1125" s="563">
        <f t="shared" si="49"/>
        <v>156.58500000000004</v>
      </c>
      <c r="M1125" s="563">
        <f t="shared" si="50"/>
        <v>800.08500000000004</v>
      </c>
      <c r="N1125" s="580"/>
    </row>
    <row r="1126" spans="4:16" x14ac:dyDescent="0.25">
      <c r="D1126" s="559" t="s">
        <v>867</v>
      </c>
      <c r="E1126" s="558">
        <v>310782</v>
      </c>
      <c r="F1126" s="559">
        <v>301304</v>
      </c>
      <c r="G1126" s="558" t="s">
        <v>4834</v>
      </c>
      <c r="H1126" s="564">
        <v>40015</v>
      </c>
      <c r="I1126" s="563">
        <v>727.35</v>
      </c>
      <c r="J1126" s="563">
        <v>-585</v>
      </c>
      <c r="K1126" s="582">
        <f t="shared" si="48"/>
        <v>142.35000000000002</v>
      </c>
      <c r="L1126" s="563">
        <f t="shared" si="49"/>
        <v>156.58500000000004</v>
      </c>
      <c r="M1126" s="563">
        <f t="shared" si="50"/>
        <v>800.08500000000004</v>
      </c>
      <c r="N1126" s="580"/>
    </row>
    <row r="1127" spans="4:16" x14ac:dyDescent="0.25">
      <c r="D1127" s="559" t="s">
        <v>867</v>
      </c>
      <c r="E1127" s="558">
        <v>310785</v>
      </c>
      <c r="F1127" s="559">
        <v>302218</v>
      </c>
      <c r="G1127" s="558" t="s">
        <v>4834</v>
      </c>
      <c r="H1127" s="564">
        <v>40015</v>
      </c>
      <c r="I1127" s="563">
        <v>727.35</v>
      </c>
      <c r="J1127" s="563">
        <v>-585</v>
      </c>
      <c r="K1127" s="582">
        <f t="shared" si="48"/>
        <v>142.35000000000002</v>
      </c>
      <c r="L1127" s="563">
        <f t="shared" si="49"/>
        <v>156.58500000000004</v>
      </c>
      <c r="M1127" s="563">
        <f t="shared" si="50"/>
        <v>800.08500000000004</v>
      </c>
      <c r="N1127" s="580"/>
    </row>
    <row r="1128" spans="4:16" x14ac:dyDescent="0.25">
      <c r="D1128" s="559" t="s">
        <v>867</v>
      </c>
      <c r="E1128" s="558">
        <v>310786</v>
      </c>
      <c r="F1128" s="559">
        <v>303076</v>
      </c>
      <c r="G1128" s="558" t="s">
        <v>4834</v>
      </c>
      <c r="H1128" s="564">
        <v>40015</v>
      </c>
      <c r="I1128" s="563">
        <v>571.35</v>
      </c>
      <c r="J1128" s="563">
        <v>-571.35</v>
      </c>
      <c r="K1128" s="563">
        <f t="shared" si="48"/>
        <v>0</v>
      </c>
      <c r="L1128" s="563">
        <f t="shared" si="49"/>
        <v>0</v>
      </c>
      <c r="M1128" s="563">
        <f t="shared" si="50"/>
        <v>628.48500000000013</v>
      </c>
      <c r="N1128" s="580"/>
      <c r="O1128" s="558"/>
      <c r="P1128" s="564"/>
    </row>
    <row r="1129" spans="4:16" x14ac:dyDescent="0.25">
      <c r="D1129" s="559" t="s">
        <v>867</v>
      </c>
      <c r="E1129" s="558">
        <v>310788</v>
      </c>
      <c r="F1129" s="559">
        <v>300784</v>
      </c>
      <c r="G1129" s="558" t="s">
        <v>2108</v>
      </c>
      <c r="H1129" s="564">
        <v>40015</v>
      </c>
      <c r="I1129" s="563">
        <v>468</v>
      </c>
      <c r="J1129" s="563">
        <v>-468</v>
      </c>
      <c r="K1129" s="582">
        <f t="shared" ref="K1129:K1192" si="51">+I1129+J1129</f>
        <v>0</v>
      </c>
      <c r="L1129" s="563">
        <f t="shared" ref="L1129:L1192" si="52">+K1129*1.1</f>
        <v>0</v>
      </c>
      <c r="M1129" s="563">
        <f t="shared" ref="M1129:M1192" si="53">+I1129*1.1</f>
        <v>514.80000000000007</v>
      </c>
      <c r="N1129" s="580"/>
    </row>
    <row r="1130" spans="4:16" x14ac:dyDescent="0.25">
      <c r="D1130" s="559" t="s">
        <v>867</v>
      </c>
      <c r="E1130" s="558">
        <v>310791</v>
      </c>
      <c r="F1130" s="559">
        <v>300806</v>
      </c>
      <c r="G1130" s="558" t="s">
        <v>2108</v>
      </c>
      <c r="H1130" s="564">
        <v>40015</v>
      </c>
      <c r="I1130" s="563">
        <v>727.35</v>
      </c>
      <c r="J1130" s="563">
        <v>-585</v>
      </c>
      <c r="K1130" s="582">
        <f t="shared" si="51"/>
        <v>142.35000000000002</v>
      </c>
      <c r="L1130" s="563">
        <f t="shared" si="52"/>
        <v>156.58500000000004</v>
      </c>
      <c r="M1130" s="563">
        <f t="shared" si="53"/>
        <v>800.08500000000004</v>
      </c>
      <c r="N1130" s="580"/>
    </row>
    <row r="1131" spans="4:16" x14ac:dyDescent="0.25">
      <c r="D1131" s="559" t="s">
        <v>867</v>
      </c>
      <c r="E1131" s="558">
        <v>310794</v>
      </c>
      <c r="F1131" s="559">
        <v>301822</v>
      </c>
      <c r="G1131" s="558" t="s">
        <v>2108</v>
      </c>
      <c r="H1131" s="564">
        <v>40015</v>
      </c>
      <c r="I1131" s="563">
        <v>493.35</v>
      </c>
      <c r="J1131" s="563">
        <v>-493.35</v>
      </c>
      <c r="K1131" s="582">
        <f t="shared" si="51"/>
        <v>0</v>
      </c>
      <c r="L1131" s="563">
        <f t="shared" si="52"/>
        <v>0</v>
      </c>
      <c r="M1131" s="563">
        <f t="shared" si="53"/>
        <v>542.68500000000006</v>
      </c>
      <c r="N1131" s="580"/>
    </row>
    <row r="1132" spans="4:16" x14ac:dyDescent="0.25">
      <c r="D1132" s="559" t="s">
        <v>867</v>
      </c>
      <c r="E1132" s="558">
        <v>310795</v>
      </c>
      <c r="F1132" s="559">
        <v>301628</v>
      </c>
      <c r="G1132" s="558" t="s">
        <v>2108</v>
      </c>
      <c r="H1132" s="564">
        <v>40015</v>
      </c>
      <c r="I1132" s="563">
        <v>727.35</v>
      </c>
      <c r="J1132" s="563">
        <v>-585</v>
      </c>
      <c r="K1132" s="582">
        <f t="shared" si="51"/>
        <v>142.35000000000002</v>
      </c>
      <c r="L1132" s="563">
        <f t="shared" si="52"/>
        <v>156.58500000000004</v>
      </c>
      <c r="M1132" s="563">
        <f t="shared" si="53"/>
        <v>800.08500000000004</v>
      </c>
      <c r="N1132" s="580"/>
    </row>
    <row r="1133" spans="4:16" x14ac:dyDescent="0.25">
      <c r="D1133" s="559" t="s">
        <v>867</v>
      </c>
      <c r="E1133" s="558">
        <v>310796</v>
      </c>
      <c r="F1133" s="559">
        <v>301109</v>
      </c>
      <c r="G1133" s="558" t="s">
        <v>2108</v>
      </c>
      <c r="H1133" s="564">
        <v>40015</v>
      </c>
      <c r="I1133" s="563">
        <v>468</v>
      </c>
      <c r="J1133" s="563">
        <v>-468</v>
      </c>
      <c r="K1133" s="582">
        <f t="shared" si="51"/>
        <v>0</v>
      </c>
      <c r="L1133" s="563">
        <f t="shared" si="52"/>
        <v>0</v>
      </c>
      <c r="M1133" s="563">
        <f t="shared" si="53"/>
        <v>514.80000000000007</v>
      </c>
      <c r="N1133" s="580"/>
    </row>
    <row r="1134" spans="4:16" x14ac:dyDescent="0.25">
      <c r="D1134" s="559" t="s">
        <v>867</v>
      </c>
      <c r="E1134" s="558">
        <v>310800</v>
      </c>
      <c r="F1134" s="559">
        <v>300070</v>
      </c>
      <c r="G1134" s="558" t="s">
        <v>2109</v>
      </c>
      <c r="H1134" s="564">
        <v>40015</v>
      </c>
      <c r="I1134" s="563">
        <v>727.35</v>
      </c>
      <c r="J1134" s="563">
        <v>-585</v>
      </c>
      <c r="K1134" s="582">
        <f t="shared" si="51"/>
        <v>142.35000000000002</v>
      </c>
      <c r="L1134" s="563">
        <f t="shared" si="52"/>
        <v>156.58500000000004</v>
      </c>
      <c r="M1134" s="563">
        <f t="shared" si="53"/>
        <v>800.08500000000004</v>
      </c>
      <c r="N1134" s="580"/>
    </row>
    <row r="1135" spans="4:16" x14ac:dyDescent="0.25">
      <c r="D1135" s="559" t="s">
        <v>867</v>
      </c>
      <c r="E1135" s="558">
        <v>310801</v>
      </c>
      <c r="F1135" s="559">
        <v>301439</v>
      </c>
      <c r="G1135" s="558" t="s">
        <v>2109</v>
      </c>
      <c r="H1135" s="564">
        <v>40015</v>
      </c>
      <c r="I1135" s="563">
        <v>727.35</v>
      </c>
      <c r="J1135" s="563">
        <v>-585</v>
      </c>
      <c r="K1135" s="582">
        <f t="shared" si="51"/>
        <v>142.35000000000002</v>
      </c>
      <c r="L1135" s="563">
        <f t="shared" si="52"/>
        <v>156.58500000000004</v>
      </c>
      <c r="M1135" s="563">
        <f t="shared" si="53"/>
        <v>800.08500000000004</v>
      </c>
      <c r="N1135" s="580"/>
    </row>
    <row r="1136" spans="4:16" x14ac:dyDescent="0.25">
      <c r="D1136" s="559" t="s">
        <v>867</v>
      </c>
      <c r="E1136" s="558">
        <v>310802</v>
      </c>
      <c r="F1136" s="559">
        <v>300455</v>
      </c>
      <c r="G1136" s="558" t="s">
        <v>2109</v>
      </c>
      <c r="H1136" s="564">
        <v>40015</v>
      </c>
      <c r="I1136" s="563">
        <v>532.35</v>
      </c>
      <c r="J1136" s="563">
        <v>-532.35</v>
      </c>
      <c r="K1136" s="582">
        <f t="shared" si="51"/>
        <v>0</v>
      </c>
      <c r="L1136" s="563">
        <f t="shared" si="52"/>
        <v>0</v>
      </c>
      <c r="M1136" s="563">
        <f t="shared" si="53"/>
        <v>585.58500000000004</v>
      </c>
      <c r="N1136" s="580"/>
    </row>
    <row r="1137" spans="4:14" x14ac:dyDescent="0.25">
      <c r="D1137" s="559" t="s">
        <v>867</v>
      </c>
      <c r="E1137" s="558">
        <v>310803</v>
      </c>
      <c r="F1137" s="559">
        <v>303454</v>
      </c>
      <c r="G1137" s="558" t="s">
        <v>2109</v>
      </c>
      <c r="H1137" s="564">
        <v>40015</v>
      </c>
      <c r="I1137" s="563">
        <v>298.35000000000002</v>
      </c>
      <c r="J1137" s="563">
        <v>-298.35000000000002</v>
      </c>
      <c r="K1137" s="582">
        <f t="shared" si="51"/>
        <v>0</v>
      </c>
      <c r="L1137" s="563">
        <f t="shared" si="52"/>
        <v>0</v>
      </c>
      <c r="M1137" s="563">
        <f t="shared" si="53"/>
        <v>328.18500000000006</v>
      </c>
      <c r="N1137" s="580"/>
    </row>
    <row r="1138" spans="4:14" x14ac:dyDescent="0.25">
      <c r="D1138" s="559" t="s">
        <v>867</v>
      </c>
      <c r="E1138" s="558">
        <v>310806</v>
      </c>
      <c r="F1138" s="559">
        <v>300724</v>
      </c>
      <c r="G1138" s="558" t="s">
        <v>2109</v>
      </c>
      <c r="H1138" s="564">
        <v>40015</v>
      </c>
      <c r="I1138" s="563">
        <v>727.35</v>
      </c>
      <c r="J1138" s="563">
        <v>-585</v>
      </c>
      <c r="K1138" s="582">
        <f t="shared" si="51"/>
        <v>142.35000000000002</v>
      </c>
      <c r="L1138" s="563">
        <f t="shared" si="52"/>
        <v>156.58500000000004</v>
      </c>
      <c r="M1138" s="563">
        <f t="shared" si="53"/>
        <v>800.08500000000004</v>
      </c>
      <c r="N1138" s="580"/>
    </row>
    <row r="1139" spans="4:14" x14ac:dyDescent="0.25">
      <c r="D1139" s="559" t="s">
        <v>867</v>
      </c>
      <c r="E1139" s="558">
        <v>310807</v>
      </c>
      <c r="F1139" s="559">
        <v>301716</v>
      </c>
      <c r="G1139" s="558" t="s">
        <v>2110</v>
      </c>
      <c r="H1139" s="564">
        <v>40015</v>
      </c>
      <c r="I1139" s="563">
        <v>844.35</v>
      </c>
      <c r="J1139" s="563">
        <v>-585</v>
      </c>
      <c r="K1139" s="582">
        <f t="shared" si="51"/>
        <v>259.35000000000002</v>
      </c>
      <c r="L1139" s="563">
        <f t="shared" si="52"/>
        <v>285.28500000000003</v>
      </c>
      <c r="M1139" s="563">
        <f t="shared" si="53"/>
        <v>928.78500000000008</v>
      </c>
      <c r="N1139" s="580"/>
    </row>
    <row r="1140" spans="4:14" x14ac:dyDescent="0.25">
      <c r="D1140" s="559" t="s">
        <v>867</v>
      </c>
      <c r="E1140" s="558">
        <v>310808</v>
      </c>
      <c r="F1140" s="559">
        <v>301762</v>
      </c>
      <c r="G1140" s="558" t="s">
        <v>2110</v>
      </c>
      <c r="H1140" s="564">
        <v>40015</v>
      </c>
      <c r="I1140" s="563">
        <v>351</v>
      </c>
      <c r="J1140" s="563">
        <v>-351</v>
      </c>
      <c r="K1140" s="582">
        <f t="shared" si="51"/>
        <v>0</v>
      </c>
      <c r="L1140" s="563">
        <f t="shared" si="52"/>
        <v>0</v>
      </c>
      <c r="M1140" s="563">
        <f t="shared" si="53"/>
        <v>386.1</v>
      </c>
      <c r="N1140" s="580"/>
    </row>
    <row r="1141" spans="4:14" x14ac:dyDescent="0.25">
      <c r="D1141" s="559" t="s">
        <v>867</v>
      </c>
      <c r="E1141" s="558">
        <v>310811</v>
      </c>
      <c r="F1141" s="559">
        <v>301587</v>
      </c>
      <c r="G1141" s="558" t="s">
        <v>2110</v>
      </c>
      <c r="H1141" s="564">
        <v>40015</v>
      </c>
      <c r="I1141" s="563">
        <v>429</v>
      </c>
      <c r="J1141" s="563">
        <v>-429</v>
      </c>
      <c r="K1141" s="582">
        <f t="shared" si="51"/>
        <v>0</v>
      </c>
      <c r="L1141" s="563">
        <f t="shared" si="52"/>
        <v>0</v>
      </c>
      <c r="M1141" s="563">
        <f t="shared" si="53"/>
        <v>471.90000000000003</v>
      </c>
      <c r="N1141" s="580"/>
    </row>
    <row r="1142" spans="4:14" x14ac:dyDescent="0.25">
      <c r="D1142" s="559" t="s">
        <v>867</v>
      </c>
      <c r="E1142" s="558">
        <v>310812</v>
      </c>
      <c r="F1142" s="559">
        <v>301560</v>
      </c>
      <c r="G1142" s="558" t="s">
        <v>2110</v>
      </c>
      <c r="H1142" s="564">
        <v>40015</v>
      </c>
      <c r="I1142" s="563">
        <v>571.35</v>
      </c>
      <c r="J1142" s="563">
        <v>-571.35</v>
      </c>
      <c r="K1142" s="582">
        <f t="shared" si="51"/>
        <v>0</v>
      </c>
      <c r="L1142" s="563">
        <f t="shared" si="52"/>
        <v>0</v>
      </c>
      <c r="M1142" s="563">
        <f t="shared" si="53"/>
        <v>628.48500000000013</v>
      </c>
      <c r="N1142" s="580"/>
    </row>
    <row r="1143" spans="4:14" x14ac:dyDescent="0.25">
      <c r="D1143" s="559" t="s">
        <v>867</v>
      </c>
      <c r="E1143" s="558">
        <v>310813</v>
      </c>
      <c r="F1143" s="559">
        <v>301413</v>
      </c>
      <c r="G1143" s="558" t="s">
        <v>2110</v>
      </c>
      <c r="H1143" s="564">
        <v>40015</v>
      </c>
      <c r="I1143" s="563">
        <v>805.35</v>
      </c>
      <c r="J1143" s="563">
        <v>-585</v>
      </c>
      <c r="K1143" s="582">
        <f t="shared" si="51"/>
        <v>220.35000000000002</v>
      </c>
      <c r="L1143" s="563">
        <f t="shared" si="52"/>
        <v>242.38500000000005</v>
      </c>
      <c r="M1143" s="563">
        <f t="shared" si="53"/>
        <v>885.8850000000001</v>
      </c>
      <c r="N1143" s="580"/>
    </row>
    <row r="1144" spans="4:14" x14ac:dyDescent="0.25">
      <c r="D1144" s="559" t="s">
        <v>867</v>
      </c>
      <c r="E1144" s="558">
        <v>310814</v>
      </c>
      <c r="F1144" s="559">
        <v>301415</v>
      </c>
      <c r="G1144" s="558" t="s">
        <v>2111</v>
      </c>
      <c r="H1144" s="564">
        <v>40015</v>
      </c>
      <c r="I1144" s="563">
        <v>663</v>
      </c>
      <c r="J1144" s="563">
        <v>-585</v>
      </c>
      <c r="K1144" s="582">
        <f t="shared" si="51"/>
        <v>78</v>
      </c>
      <c r="L1144" s="563">
        <f t="shared" si="52"/>
        <v>85.800000000000011</v>
      </c>
      <c r="M1144" s="563">
        <f t="shared" si="53"/>
        <v>729.30000000000007</v>
      </c>
      <c r="N1144" s="580"/>
    </row>
    <row r="1145" spans="4:14" x14ac:dyDescent="0.25">
      <c r="D1145" s="559" t="s">
        <v>867</v>
      </c>
      <c r="E1145" s="558">
        <v>310817</v>
      </c>
      <c r="F1145" s="559">
        <v>300495</v>
      </c>
      <c r="G1145" s="558" t="s">
        <v>2111</v>
      </c>
      <c r="H1145" s="564">
        <v>40015</v>
      </c>
      <c r="I1145" s="563">
        <v>64.349999999999994</v>
      </c>
      <c r="J1145" s="563">
        <v>-64.349999999999994</v>
      </c>
      <c r="K1145" s="582">
        <f t="shared" si="51"/>
        <v>0</v>
      </c>
      <c r="L1145" s="563">
        <f t="shared" si="52"/>
        <v>0</v>
      </c>
      <c r="M1145" s="563">
        <f t="shared" si="53"/>
        <v>70.784999999999997</v>
      </c>
      <c r="N1145" s="580"/>
    </row>
    <row r="1146" spans="4:14" x14ac:dyDescent="0.25">
      <c r="D1146" s="559" t="s">
        <v>867</v>
      </c>
      <c r="E1146" s="558">
        <v>310819</v>
      </c>
      <c r="F1146" s="559">
        <v>300544</v>
      </c>
      <c r="G1146" s="558" t="s">
        <v>2111</v>
      </c>
      <c r="H1146" s="564">
        <v>40015</v>
      </c>
      <c r="I1146" s="563">
        <v>64.349999999999994</v>
      </c>
      <c r="J1146" s="563">
        <v>-64.349999999999994</v>
      </c>
      <c r="K1146" s="582">
        <f t="shared" si="51"/>
        <v>0</v>
      </c>
      <c r="L1146" s="563">
        <f t="shared" si="52"/>
        <v>0</v>
      </c>
      <c r="M1146" s="563">
        <f t="shared" si="53"/>
        <v>70.784999999999997</v>
      </c>
      <c r="N1146" s="580"/>
    </row>
    <row r="1147" spans="4:14" x14ac:dyDescent="0.25">
      <c r="D1147" s="559" t="s">
        <v>867</v>
      </c>
      <c r="E1147" s="558">
        <v>310822</v>
      </c>
      <c r="F1147" s="559">
        <v>301057</v>
      </c>
      <c r="G1147" s="558" t="s">
        <v>2111</v>
      </c>
      <c r="H1147" s="564">
        <v>40015</v>
      </c>
      <c r="I1147" s="563">
        <v>727.35</v>
      </c>
      <c r="J1147" s="563">
        <v>-585</v>
      </c>
      <c r="K1147" s="582">
        <f t="shared" si="51"/>
        <v>142.35000000000002</v>
      </c>
      <c r="L1147" s="563">
        <f t="shared" si="52"/>
        <v>156.58500000000004</v>
      </c>
      <c r="M1147" s="563">
        <f t="shared" si="53"/>
        <v>800.08500000000004</v>
      </c>
      <c r="N1147" s="580"/>
    </row>
    <row r="1148" spans="4:14" x14ac:dyDescent="0.25">
      <c r="D1148" s="559" t="s">
        <v>867</v>
      </c>
      <c r="E1148" s="558">
        <v>310826</v>
      </c>
      <c r="F1148" s="559">
        <v>300962</v>
      </c>
      <c r="G1148" s="558" t="s">
        <v>2111</v>
      </c>
      <c r="H1148" s="564">
        <v>40015</v>
      </c>
      <c r="I1148" s="563">
        <v>727.35</v>
      </c>
      <c r="J1148" s="563">
        <v>-585</v>
      </c>
      <c r="K1148" s="582">
        <f t="shared" si="51"/>
        <v>142.35000000000002</v>
      </c>
      <c r="L1148" s="563">
        <f t="shared" si="52"/>
        <v>156.58500000000004</v>
      </c>
      <c r="M1148" s="563">
        <f t="shared" si="53"/>
        <v>800.08500000000004</v>
      </c>
      <c r="N1148" s="580"/>
    </row>
    <row r="1149" spans="4:14" x14ac:dyDescent="0.25">
      <c r="D1149" s="559" t="s">
        <v>867</v>
      </c>
      <c r="E1149" s="558">
        <v>310831</v>
      </c>
      <c r="F1149" s="559">
        <v>300868</v>
      </c>
      <c r="G1149" s="558" t="s">
        <v>2112</v>
      </c>
      <c r="H1149" s="564">
        <v>40015</v>
      </c>
      <c r="I1149" s="563">
        <v>727.35</v>
      </c>
      <c r="J1149" s="563">
        <v>-585</v>
      </c>
      <c r="K1149" s="582">
        <f t="shared" si="51"/>
        <v>142.35000000000002</v>
      </c>
      <c r="L1149" s="563">
        <f t="shared" si="52"/>
        <v>156.58500000000004</v>
      </c>
      <c r="M1149" s="563">
        <f t="shared" si="53"/>
        <v>800.08500000000004</v>
      </c>
      <c r="N1149" s="580"/>
    </row>
    <row r="1150" spans="4:14" x14ac:dyDescent="0.25">
      <c r="D1150" s="559" t="s">
        <v>867</v>
      </c>
      <c r="E1150" s="558">
        <v>310835</v>
      </c>
      <c r="F1150" s="559">
        <v>301768</v>
      </c>
      <c r="G1150" s="558" t="s">
        <v>2112</v>
      </c>
      <c r="H1150" s="564">
        <v>40015</v>
      </c>
      <c r="I1150" s="563">
        <v>883.35</v>
      </c>
      <c r="J1150" s="563">
        <v>-585</v>
      </c>
      <c r="K1150" s="582">
        <f t="shared" si="51"/>
        <v>298.35000000000002</v>
      </c>
      <c r="L1150" s="563">
        <f t="shared" si="52"/>
        <v>328.18500000000006</v>
      </c>
      <c r="M1150" s="563">
        <f t="shared" si="53"/>
        <v>971.68500000000006</v>
      </c>
      <c r="N1150" s="580"/>
    </row>
    <row r="1151" spans="4:14" x14ac:dyDescent="0.25">
      <c r="D1151" s="559" t="s">
        <v>867</v>
      </c>
      <c r="E1151" s="558">
        <v>310839</v>
      </c>
      <c r="F1151" s="559">
        <v>301942</v>
      </c>
      <c r="G1151" s="558" t="s">
        <v>2112</v>
      </c>
      <c r="H1151" s="564">
        <v>40015</v>
      </c>
      <c r="I1151" s="563">
        <v>64.349999999999994</v>
      </c>
      <c r="J1151" s="563">
        <v>-64.349999999999994</v>
      </c>
      <c r="K1151" s="582">
        <f t="shared" si="51"/>
        <v>0</v>
      </c>
      <c r="L1151" s="563">
        <f t="shared" si="52"/>
        <v>0</v>
      </c>
      <c r="M1151" s="563">
        <f t="shared" si="53"/>
        <v>70.784999999999997</v>
      </c>
      <c r="N1151" s="580"/>
    </row>
    <row r="1152" spans="4:14" x14ac:dyDescent="0.25">
      <c r="D1152" s="559" t="s">
        <v>867</v>
      </c>
      <c r="E1152" s="558">
        <v>310840</v>
      </c>
      <c r="F1152" s="559">
        <v>302230</v>
      </c>
      <c r="G1152" s="558" t="s">
        <v>2112</v>
      </c>
      <c r="H1152" s="564">
        <v>40015</v>
      </c>
      <c r="I1152" s="563">
        <v>727.35</v>
      </c>
      <c r="J1152" s="563">
        <v>-585</v>
      </c>
      <c r="K1152" s="582">
        <f t="shared" si="51"/>
        <v>142.35000000000002</v>
      </c>
      <c r="L1152" s="563">
        <f t="shared" si="52"/>
        <v>156.58500000000004</v>
      </c>
      <c r="M1152" s="563">
        <f t="shared" si="53"/>
        <v>800.08500000000004</v>
      </c>
      <c r="N1152" s="580"/>
    </row>
    <row r="1153" spans="4:14" x14ac:dyDescent="0.25">
      <c r="D1153" s="559" t="s">
        <v>867</v>
      </c>
      <c r="E1153" s="558">
        <v>310847</v>
      </c>
      <c r="F1153" s="559">
        <v>302172</v>
      </c>
      <c r="G1153" s="558" t="s">
        <v>2112</v>
      </c>
      <c r="H1153" s="564">
        <v>40015</v>
      </c>
      <c r="I1153" s="563">
        <v>64.349999999999994</v>
      </c>
      <c r="J1153" s="563">
        <v>-64.349999999999994</v>
      </c>
      <c r="K1153" s="582">
        <f t="shared" si="51"/>
        <v>0</v>
      </c>
      <c r="L1153" s="563">
        <f t="shared" si="52"/>
        <v>0</v>
      </c>
      <c r="M1153" s="563">
        <f t="shared" si="53"/>
        <v>70.784999999999997</v>
      </c>
      <c r="N1153" s="580"/>
    </row>
    <row r="1154" spans="4:14" x14ac:dyDescent="0.25">
      <c r="D1154" s="559" t="s">
        <v>867</v>
      </c>
      <c r="E1154" s="558">
        <v>310854</v>
      </c>
      <c r="F1154" s="559">
        <v>301499</v>
      </c>
      <c r="G1154" s="558" t="s">
        <v>2113</v>
      </c>
      <c r="H1154" s="564">
        <v>40015</v>
      </c>
      <c r="I1154" s="563">
        <v>727.35</v>
      </c>
      <c r="J1154" s="563">
        <v>-585</v>
      </c>
      <c r="K1154" s="582">
        <f t="shared" si="51"/>
        <v>142.35000000000002</v>
      </c>
      <c r="L1154" s="563">
        <f t="shared" si="52"/>
        <v>156.58500000000004</v>
      </c>
      <c r="M1154" s="563">
        <f t="shared" si="53"/>
        <v>800.08500000000004</v>
      </c>
      <c r="N1154" s="580"/>
    </row>
    <row r="1155" spans="4:14" x14ac:dyDescent="0.25">
      <c r="D1155" s="559" t="s">
        <v>867</v>
      </c>
      <c r="E1155" s="558">
        <v>310855</v>
      </c>
      <c r="F1155" s="559">
        <v>301857</v>
      </c>
      <c r="G1155" s="558" t="s">
        <v>2113</v>
      </c>
      <c r="H1155" s="564">
        <v>40015</v>
      </c>
      <c r="I1155" s="563">
        <v>727.35</v>
      </c>
      <c r="J1155" s="563">
        <v>-585</v>
      </c>
      <c r="K1155" s="582">
        <f t="shared" si="51"/>
        <v>142.35000000000002</v>
      </c>
      <c r="L1155" s="563">
        <f t="shared" si="52"/>
        <v>156.58500000000004</v>
      </c>
      <c r="M1155" s="563">
        <f t="shared" si="53"/>
        <v>800.08500000000004</v>
      </c>
      <c r="N1155" s="580"/>
    </row>
    <row r="1156" spans="4:14" x14ac:dyDescent="0.25">
      <c r="D1156" s="559" t="s">
        <v>867</v>
      </c>
      <c r="E1156" s="558">
        <v>310856</v>
      </c>
      <c r="F1156" s="559">
        <v>300502</v>
      </c>
      <c r="G1156" s="558" t="s">
        <v>2113</v>
      </c>
      <c r="H1156" s="564">
        <v>40015</v>
      </c>
      <c r="I1156" s="563">
        <v>64.349999999999994</v>
      </c>
      <c r="J1156" s="563">
        <v>-64.349999999999994</v>
      </c>
      <c r="K1156" s="582">
        <f t="shared" si="51"/>
        <v>0</v>
      </c>
      <c r="L1156" s="563">
        <f t="shared" si="52"/>
        <v>0</v>
      </c>
      <c r="M1156" s="563">
        <f t="shared" si="53"/>
        <v>70.784999999999997</v>
      </c>
      <c r="N1156" s="580"/>
    </row>
    <row r="1157" spans="4:14" x14ac:dyDescent="0.25">
      <c r="D1157" s="559" t="s">
        <v>867</v>
      </c>
      <c r="E1157" s="558">
        <v>310862</v>
      </c>
      <c r="F1157" s="559">
        <v>301786</v>
      </c>
      <c r="G1157" s="558" t="s">
        <v>2113</v>
      </c>
      <c r="H1157" s="564">
        <v>40015</v>
      </c>
      <c r="I1157" s="563">
        <v>376.35</v>
      </c>
      <c r="J1157" s="563">
        <v>-376.35</v>
      </c>
      <c r="K1157" s="582">
        <f t="shared" si="51"/>
        <v>0</v>
      </c>
      <c r="L1157" s="563">
        <f t="shared" si="52"/>
        <v>0</v>
      </c>
      <c r="M1157" s="563">
        <f t="shared" si="53"/>
        <v>413.98500000000007</v>
      </c>
      <c r="N1157" s="580"/>
    </row>
    <row r="1158" spans="4:14" x14ac:dyDescent="0.25">
      <c r="D1158" s="559" t="s">
        <v>867</v>
      </c>
      <c r="E1158" s="558">
        <v>310864</v>
      </c>
      <c r="F1158" s="559">
        <v>301253</v>
      </c>
      <c r="G1158" s="558" t="s">
        <v>2113</v>
      </c>
      <c r="H1158" s="564">
        <v>40015</v>
      </c>
      <c r="I1158" s="563">
        <v>766.35</v>
      </c>
      <c r="J1158" s="563">
        <v>-585</v>
      </c>
      <c r="K1158" s="582">
        <f t="shared" si="51"/>
        <v>181.35000000000002</v>
      </c>
      <c r="L1158" s="563">
        <f t="shared" si="52"/>
        <v>199.48500000000004</v>
      </c>
      <c r="M1158" s="563">
        <f t="shared" si="53"/>
        <v>842.98500000000013</v>
      </c>
      <c r="N1158" s="580"/>
    </row>
    <row r="1159" spans="4:14" x14ac:dyDescent="0.25">
      <c r="D1159" s="559" t="s">
        <v>867</v>
      </c>
      <c r="E1159" s="558">
        <v>310868</v>
      </c>
      <c r="F1159" s="559">
        <v>300250</v>
      </c>
      <c r="G1159" s="558" t="s">
        <v>2114</v>
      </c>
      <c r="H1159" s="564">
        <v>40015</v>
      </c>
      <c r="I1159" s="563">
        <v>64.349999999999994</v>
      </c>
      <c r="J1159" s="563">
        <v>-64.349999999999994</v>
      </c>
      <c r="K1159" s="582">
        <f t="shared" si="51"/>
        <v>0</v>
      </c>
      <c r="L1159" s="563">
        <f t="shared" si="52"/>
        <v>0</v>
      </c>
      <c r="M1159" s="563">
        <f t="shared" si="53"/>
        <v>70.784999999999997</v>
      </c>
      <c r="N1159" s="580"/>
    </row>
    <row r="1160" spans="4:14" x14ac:dyDescent="0.25">
      <c r="D1160" s="559" t="s">
        <v>867</v>
      </c>
      <c r="E1160" s="558">
        <v>310874</v>
      </c>
      <c r="F1160" s="559">
        <v>302002</v>
      </c>
      <c r="G1160" s="558" t="s">
        <v>2114</v>
      </c>
      <c r="H1160" s="564">
        <v>40015</v>
      </c>
      <c r="I1160" s="563">
        <v>727.35</v>
      </c>
      <c r="J1160" s="563">
        <v>-585</v>
      </c>
      <c r="K1160" s="582">
        <f t="shared" si="51"/>
        <v>142.35000000000002</v>
      </c>
      <c r="L1160" s="563">
        <f t="shared" si="52"/>
        <v>156.58500000000004</v>
      </c>
      <c r="M1160" s="563">
        <f t="shared" si="53"/>
        <v>800.08500000000004</v>
      </c>
      <c r="N1160" s="580"/>
    </row>
    <row r="1161" spans="4:14" x14ac:dyDescent="0.25">
      <c r="D1161" s="559" t="s">
        <v>867</v>
      </c>
      <c r="E1161" s="558">
        <v>310879</v>
      </c>
      <c r="F1161" s="559">
        <v>300221</v>
      </c>
      <c r="G1161" s="558" t="s">
        <v>2114</v>
      </c>
      <c r="H1161" s="564">
        <v>40015</v>
      </c>
      <c r="I1161" s="563">
        <v>493.35</v>
      </c>
      <c r="J1161" s="563">
        <v>-493.35</v>
      </c>
      <c r="K1161" s="582">
        <f t="shared" si="51"/>
        <v>0</v>
      </c>
      <c r="L1161" s="563">
        <f t="shared" si="52"/>
        <v>0</v>
      </c>
      <c r="M1161" s="563">
        <f t="shared" si="53"/>
        <v>542.68500000000006</v>
      </c>
      <c r="N1161" s="580"/>
    </row>
    <row r="1162" spans="4:14" x14ac:dyDescent="0.25">
      <c r="D1162" s="559" t="s">
        <v>867</v>
      </c>
      <c r="E1162" s="558">
        <v>310881</v>
      </c>
      <c r="F1162" s="559">
        <v>301043</v>
      </c>
      <c r="G1162" s="558" t="s">
        <v>2114</v>
      </c>
      <c r="H1162" s="564">
        <v>40015</v>
      </c>
      <c r="I1162" s="563">
        <v>181.35</v>
      </c>
      <c r="J1162" s="563">
        <v>-181.35</v>
      </c>
      <c r="K1162" s="582">
        <f t="shared" si="51"/>
        <v>0</v>
      </c>
      <c r="L1162" s="563">
        <f t="shared" si="52"/>
        <v>0</v>
      </c>
      <c r="M1162" s="563">
        <f t="shared" si="53"/>
        <v>199.48500000000001</v>
      </c>
      <c r="N1162" s="580"/>
    </row>
    <row r="1163" spans="4:14" x14ac:dyDescent="0.25">
      <c r="D1163" s="559" t="s">
        <v>867</v>
      </c>
      <c r="E1163" s="558">
        <v>310883</v>
      </c>
      <c r="F1163" s="559">
        <v>301454</v>
      </c>
      <c r="G1163" s="558" t="s">
        <v>2114</v>
      </c>
      <c r="H1163" s="564">
        <v>40015</v>
      </c>
      <c r="I1163" s="563">
        <v>493.35</v>
      </c>
      <c r="J1163" s="563">
        <v>-493.35</v>
      </c>
      <c r="K1163" s="582">
        <f t="shared" si="51"/>
        <v>0</v>
      </c>
      <c r="L1163" s="563">
        <f t="shared" si="52"/>
        <v>0</v>
      </c>
      <c r="M1163" s="563">
        <f t="shared" si="53"/>
        <v>542.68500000000006</v>
      </c>
      <c r="N1163" s="580"/>
    </row>
    <row r="1164" spans="4:14" x14ac:dyDescent="0.25">
      <c r="D1164" s="559" t="s">
        <v>867</v>
      </c>
      <c r="E1164" s="558">
        <v>310885</v>
      </c>
      <c r="F1164" s="559">
        <v>301117</v>
      </c>
      <c r="G1164" s="558" t="s">
        <v>2115</v>
      </c>
      <c r="H1164" s="564">
        <v>40015</v>
      </c>
      <c r="I1164" s="563">
        <v>766.35</v>
      </c>
      <c r="J1164" s="563">
        <v>-585</v>
      </c>
      <c r="K1164" s="582">
        <f t="shared" si="51"/>
        <v>181.35000000000002</v>
      </c>
      <c r="L1164" s="563">
        <f t="shared" si="52"/>
        <v>199.48500000000004</v>
      </c>
      <c r="M1164" s="563">
        <f t="shared" si="53"/>
        <v>842.98500000000013</v>
      </c>
      <c r="N1164" s="580"/>
    </row>
    <row r="1165" spans="4:14" x14ac:dyDescent="0.25">
      <c r="D1165" s="559" t="s">
        <v>867</v>
      </c>
      <c r="E1165" s="558">
        <v>310888</v>
      </c>
      <c r="F1165" s="559">
        <v>300301</v>
      </c>
      <c r="G1165" s="558" t="s">
        <v>2115</v>
      </c>
      <c r="H1165" s="564">
        <v>40015</v>
      </c>
      <c r="I1165" s="563">
        <v>727.35</v>
      </c>
      <c r="J1165" s="563">
        <v>-585</v>
      </c>
      <c r="K1165" s="582">
        <f t="shared" si="51"/>
        <v>142.35000000000002</v>
      </c>
      <c r="L1165" s="563">
        <f t="shared" si="52"/>
        <v>156.58500000000004</v>
      </c>
      <c r="M1165" s="563">
        <f t="shared" si="53"/>
        <v>800.08500000000004</v>
      </c>
      <c r="N1165" s="580"/>
    </row>
    <row r="1166" spans="4:14" x14ac:dyDescent="0.25">
      <c r="D1166" s="559" t="s">
        <v>867</v>
      </c>
      <c r="E1166" s="558">
        <v>310889</v>
      </c>
      <c r="F1166" s="559">
        <v>301331</v>
      </c>
      <c r="G1166" s="558" t="s">
        <v>2115</v>
      </c>
      <c r="H1166" s="564">
        <v>40015</v>
      </c>
      <c r="I1166" s="563">
        <v>493.35</v>
      </c>
      <c r="J1166" s="563">
        <v>-493.35</v>
      </c>
      <c r="K1166" s="582">
        <f t="shared" si="51"/>
        <v>0</v>
      </c>
      <c r="L1166" s="563">
        <f t="shared" si="52"/>
        <v>0</v>
      </c>
      <c r="M1166" s="563">
        <f t="shared" si="53"/>
        <v>542.68500000000006</v>
      </c>
      <c r="N1166" s="580"/>
    </row>
    <row r="1167" spans="4:14" x14ac:dyDescent="0.25">
      <c r="D1167" s="559" t="s">
        <v>867</v>
      </c>
      <c r="E1167" s="558">
        <v>310891</v>
      </c>
      <c r="F1167" s="559">
        <v>301680</v>
      </c>
      <c r="G1167" s="558" t="s">
        <v>2115</v>
      </c>
      <c r="H1167" s="564">
        <v>40015</v>
      </c>
      <c r="I1167" s="563">
        <v>727.35</v>
      </c>
      <c r="J1167" s="563">
        <v>-585</v>
      </c>
      <c r="K1167" s="582">
        <f t="shared" si="51"/>
        <v>142.35000000000002</v>
      </c>
      <c r="L1167" s="563">
        <f t="shared" si="52"/>
        <v>156.58500000000004</v>
      </c>
      <c r="M1167" s="563">
        <f t="shared" si="53"/>
        <v>800.08500000000004</v>
      </c>
      <c r="N1167" s="580"/>
    </row>
    <row r="1168" spans="4:14" x14ac:dyDescent="0.25">
      <c r="D1168" s="559" t="s">
        <v>867</v>
      </c>
      <c r="E1168" s="558">
        <v>310892</v>
      </c>
      <c r="F1168" s="559">
        <v>301614</v>
      </c>
      <c r="G1168" s="558" t="s">
        <v>2115</v>
      </c>
      <c r="H1168" s="564">
        <v>40015</v>
      </c>
      <c r="I1168" s="563">
        <v>64.349999999999994</v>
      </c>
      <c r="J1168" s="563">
        <v>-64.349999999999994</v>
      </c>
      <c r="K1168" s="582">
        <f t="shared" si="51"/>
        <v>0</v>
      </c>
      <c r="L1168" s="563">
        <f t="shared" si="52"/>
        <v>0</v>
      </c>
      <c r="M1168" s="563">
        <f t="shared" si="53"/>
        <v>70.784999999999997</v>
      </c>
      <c r="N1168" s="580"/>
    </row>
    <row r="1169" spans="4:14" x14ac:dyDescent="0.25">
      <c r="D1169" s="559" t="s">
        <v>867</v>
      </c>
      <c r="E1169" s="558">
        <v>310894</v>
      </c>
      <c r="F1169" s="559">
        <v>300029</v>
      </c>
      <c r="G1169" s="558" t="s">
        <v>2116</v>
      </c>
      <c r="H1169" s="564">
        <v>40015</v>
      </c>
      <c r="I1169" s="563">
        <v>64.349999999999994</v>
      </c>
      <c r="J1169" s="563">
        <v>-64.349999999999994</v>
      </c>
      <c r="K1169" s="582">
        <f t="shared" si="51"/>
        <v>0</v>
      </c>
      <c r="L1169" s="563">
        <f t="shared" si="52"/>
        <v>0</v>
      </c>
      <c r="M1169" s="563">
        <f t="shared" si="53"/>
        <v>70.784999999999997</v>
      </c>
      <c r="N1169" s="580"/>
    </row>
    <row r="1170" spans="4:14" x14ac:dyDescent="0.25">
      <c r="D1170" s="559" t="s">
        <v>867</v>
      </c>
      <c r="E1170" s="558">
        <v>310895</v>
      </c>
      <c r="F1170" s="559">
        <v>300278</v>
      </c>
      <c r="G1170" s="558" t="s">
        <v>2116</v>
      </c>
      <c r="H1170" s="564">
        <v>40015</v>
      </c>
      <c r="I1170" s="563">
        <v>64.349999999999994</v>
      </c>
      <c r="J1170" s="563">
        <v>-64.349999999999994</v>
      </c>
      <c r="K1170" s="582">
        <f t="shared" si="51"/>
        <v>0</v>
      </c>
      <c r="L1170" s="563">
        <f t="shared" si="52"/>
        <v>0</v>
      </c>
      <c r="M1170" s="563">
        <f t="shared" si="53"/>
        <v>70.784999999999997</v>
      </c>
      <c r="N1170" s="580"/>
    </row>
    <row r="1171" spans="4:14" x14ac:dyDescent="0.25">
      <c r="D1171" s="559" t="s">
        <v>867</v>
      </c>
      <c r="E1171" s="558">
        <v>310896</v>
      </c>
      <c r="F1171" s="559">
        <v>300927</v>
      </c>
      <c r="G1171" s="558" t="s">
        <v>2116</v>
      </c>
      <c r="H1171" s="564">
        <v>40015</v>
      </c>
      <c r="I1171" s="563">
        <v>64.349999999999994</v>
      </c>
      <c r="J1171" s="563">
        <v>-64.349999999999994</v>
      </c>
      <c r="K1171" s="582">
        <f t="shared" si="51"/>
        <v>0</v>
      </c>
      <c r="L1171" s="563">
        <f t="shared" si="52"/>
        <v>0</v>
      </c>
      <c r="M1171" s="563">
        <f t="shared" si="53"/>
        <v>70.784999999999997</v>
      </c>
      <c r="N1171" s="580"/>
    </row>
    <row r="1172" spans="4:14" x14ac:dyDescent="0.25">
      <c r="D1172" s="559" t="s">
        <v>867</v>
      </c>
      <c r="E1172" s="558">
        <v>310899</v>
      </c>
      <c r="F1172" s="559">
        <v>300768</v>
      </c>
      <c r="G1172" s="558" t="s">
        <v>2116</v>
      </c>
      <c r="H1172" s="564">
        <v>40015</v>
      </c>
      <c r="I1172" s="563">
        <v>376.35</v>
      </c>
      <c r="J1172" s="563">
        <v>-376.35</v>
      </c>
      <c r="K1172" s="582">
        <f t="shared" si="51"/>
        <v>0</v>
      </c>
      <c r="L1172" s="563">
        <f t="shared" si="52"/>
        <v>0</v>
      </c>
      <c r="M1172" s="563">
        <f t="shared" si="53"/>
        <v>413.98500000000007</v>
      </c>
      <c r="N1172" s="580"/>
    </row>
    <row r="1173" spans="4:14" x14ac:dyDescent="0.25">
      <c r="D1173" s="559" t="s">
        <v>867</v>
      </c>
      <c r="E1173" s="558">
        <v>310905</v>
      </c>
      <c r="F1173" s="559">
        <v>300196</v>
      </c>
      <c r="G1173" s="558" t="s">
        <v>2116</v>
      </c>
      <c r="H1173" s="564">
        <v>40015</v>
      </c>
      <c r="I1173" s="563">
        <v>25.35</v>
      </c>
      <c r="J1173" s="563">
        <v>-25.35</v>
      </c>
      <c r="K1173" s="582">
        <f t="shared" si="51"/>
        <v>0</v>
      </c>
      <c r="L1173" s="563">
        <f t="shared" si="52"/>
        <v>0</v>
      </c>
      <c r="M1173" s="563">
        <f t="shared" si="53"/>
        <v>27.885000000000005</v>
      </c>
      <c r="N1173" s="580"/>
    </row>
    <row r="1174" spans="4:14" x14ac:dyDescent="0.25">
      <c r="D1174" s="559" t="s">
        <v>867</v>
      </c>
      <c r="E1174" s="558">
        <v>310908</v>
      </c>
      <c r="F1174" s="559">
        <v>301372</v>
      </c>
      <c r="G1174" s="558" t="s">
        <v>2117</v>
      </c>
      <c r="H1174" s="564">
        <v>40015</v>
      </c>
      <c r="I1174" s="563">
        <v>727.35</v>
      </c>
      <c r="J1174" s="563">
        <v>-585</v>
      </c>
      <c r="K1174" s="582">
        <f t="shared" si="51"/>
        <v>142.35000000000002</v>
      </c>
      <c r="L1174" s="563">
        <f t="shared" si="52"/>
        <v>156.58500000000004</v>
      </c>
      <c r="M1174" s="563">
        <f t="shared" si="53"/>
        <v>800.08500000000004</v>
      </c>
      <c r="N1174" s="580"/>
    </row>
    <row r="1175" spans="4:14" x14ac:dyDescent="0.25">
      <c r="D1175" s="559" t="s">
        <v>867</v>
      </c>
      <c r="E1175" s="558">
        <v>310909</v>
      </c>
      <c r="F1175" s="559">
        <v>300615</v>
      </c>
      <c r="G1175" s="558" t="s">
        <v>2117</v>
      </c>
      <c r="H1175" s="564">
        <v>40015</v>
      </c>
      <c r="I1175" s="563">
        <v>727.35</v>
      </c>
      <c r="J1175" s="563">
        <v>-585</v>
      </c>
      <c r="K1175" s="582">
        <f t="shared" si="51"/>
        <v>142.35000000000002</v>
      </c>
      <c r="L1175" s="563">
        <f t="shared" si="52"/>
        <v>156.58500000000004</v>
      </c>
      <c r="M1175" s="563">
        <f t="shared" si="53"/>
        <v>800.08500000000004</v>
      </c>
      <c r="N1175" s="580"/>
    </row>
    <row r="1176" spans="4:14" x14ac:dyDescent="0.25">
      <c r="D1176" s="559" t="s">
        <v>867</v>
      </c>
      <c r="E1176" s="558">
        <v>310910</v>
      </c>
      <c r="F1176" s="559">
        <v>301419</v>
      </c>
      <c r="G1176" s="558" t="s">
        <v>2117</v>
      </c>
      <c r="H1176" s="564">
        <v>40015</v>
      </c>
      <c r="I1176" s="563">
        <v>727.35</v>
      </c>
      <c r="J1176" s="563">
        <v>-585</v>
      </c>
      <c r="K1176" s="582">
        <f t="shared" si="51"/>
        <v>142.35000000000002</v>
      </c>
      <c r="L1176" s="563">
        <f t="shared" si="52"/>
        <v>156.58500000000004</v>
      </c>
      <c r="M1176" s="563">
        <f t="shared" si="53"/>
        <v>800.08500000000004</v>
      </c>
      <c r="N1176" s="580"/>
    </row>
    <row r="1177" spans="4:14" x14ac:dyDescent="0.25">
      <c r="D1177" s="559" t="s">
        <v>867</v>
      </c>
      <c r="E1177" s="558">
        <v>310911</v>
      </c>
      <c r="F1177" s="559">
        <v>300007</v>
      </c>
      <c r="G1177" s="558" t="s">
        <v>2117</v>
      </c>
      <c r="H1177" s="564">
        <v>40015</v>
      </c>
      <c r="I1177" s="563">
        <v>844.35</v>
      </c>
      <c r="J1177" s="563">
        <v>-585</v>
      </c>
      <c r="K1177" s="582">
        <f t="shared" si="51"/>
        <v>259.35000000000002</v>
      </c>
      <c r="L1177" s="563">
        <f t="shared" si="52"/>
        <v>285.28500000000003</v>
      </c>
      <c r="M1177" s="563">
        <f t="shared" si="53"/>
        <v>928.78500000000008</v>
      </c>
      <c r="N1177" s="580"/>
    </row>
    <row r="1178" spans="4:14" x14ac:dyDescent="0.25">
      <c r="D1178" s="559" t="s">
        <v>867</v>
      </c>
      <c r="E1178" s="558">
        <v>310913</v>
      </c>
      <c r="F1178" s="559">
        <v>302023</v>
      </c>
      <c r="G1178" s="558" t="s">
        <v>2117</v>
      </c>
      <c r="H1178" s="564">
        <v>40015</v>
      </c>
      <c r="I1178" s="563">
        <v>64.349999999999994</v>
      </c>
      <c r="J1178" s="563">
        <v>-64.349999999999994</v>
      </c>
      <c r="K1178" s="582">
        <f t="shared" si="51"/>
        <v>0</v>
      </c>
      <c r="L1178" s="563">
        <f t="shared" si="52"/>
        <v>0</v>
      </c>
      <c r="M1178" s="563">
        <f t="shared" si="53"/>
        <v>70.784999999999997</v>
      </c>
      <c r="N1178" s="580"/>
    </row>
    <row r="1179" spans="4:14" x14ac:dyDescent="0.25">
      <c r="D1179" s="559" t="s">
        <v>867</v>
      </c>
      <c r="E1179" s="558">
        <v>310917</v>
      </c>
      <c r="F1179" s="559">
        <v>301175</v>
      </c>
      <c r="G1179" s="558" t="s">
        <v>2118</v>
      </c>
      <c r="H1179" s="564">
        <v>40015</v>
      </c>
      <c r="I1179" s="563">
        <v>571.35</v>
      </c>
      <c r="J1179" s="563">
        <v>-571.35</v>
      </c>
      <c r="K1179" s="582">
        <f t="shared" si="51"/>
        <v>0</v>
      </c>
      <c r="L1179" s="563">
        <f t="shared" si="52"/>
        <v>0</v>
      </c>
      <c r="M1179" s="563">
        <f t="shared" si="53"/>
        <v>628.48500000000013</v>
      </c>
      <c r="N1179" s="580"/>
    </row>
    <row r="1180" spans="4:14" x14ac:dyDescent="0.25">
      <c r="D1180" s="559" t="s">
        <v>867</v>
      </c>
      <c r="E1180" s="558">
        <v>310918</v>
      </c>
      <c r="F1180" s="559">
        <v>300699</v>
      </c>
      <c r="G1180" s="558" t="s">
        <v>2118</v>
      </c>
      <c r="H1180" s="564">
        <v>40015</v>
      </c>
      <c r="I1180" s="563">
        <v>727.35</v>
      </c>
      <c r="J1180" s="563">
        <v>-585</v>
      </c>
      <c r="K1180" s="582">
        <f t="shared" si="51"/>
        <v>142.35000000000002</v>
      </c>
      <c r="L1180" s="563">
        <f t="shared" si="52"/>
        <v>156.58500000000004</v>
      </c>
      <c r="M1180" s="563">
        <f t="shared" si="53"/>
        <v>800.08500000000004</v>
      </c>
      <c r="N1180" s="580"/>
    </row>
    <row r="1181" spans="4:14" x14ac:dyDescent="0.25">
      <c r="D1181" s="559" t="s">
        <v>867</v>
      </c>
      <c r="E1181" s="558">
        <v>310919</v>
      </c>
      <c r="F1181" s="559">
        <v>300045</v>
      </c>
      <c r="G1181" s="558" t="s">
        <v>2118</v>
      </c>
      <c r="H1181" s="564">
        <v>40015</v>
      </c>
      <c r="I1181" s="563">
        <v>727.35</v>
      </c>
      <c r="J1181" s="563">
        <v>-585</v>
      </c>
      <c r="K1181" s="582">
        <f t="shared" si="51"/>
        <v>142.35000000000002</v>
      </c>
      <c r="L1181" s="563">
        <f t="shared" si="52"/>
        <v>156.58500000000004</v>
      </c>
      <c r="M1181" s="563">
        <f t="shared" si="53"/>
        <v>800.08500000000004</v>
      </c>
      <c r="N1181" s="580"/>
    </row>
    <row r="1182" spans="4:14" x14ac:dyDescent="0.25">
      <c r="D1182" s="559" t="s">
        <v>867</v>
      </c>
      <c r="E1182" s="558">
        <v>310920</v>
      </c>
      <c r="F1182" s="559">
        <v>302104</v>
      </c>
      <c r="G1182" s="558" t="s">
        <v>2118</v>
      </c>
      <c r="H1182" s="564">
        <v>40015</v>
      </c>
      <c r="I1182" s="563">
        <v>727.35</v>
      </c>
      <c r="J1182" s="563">
        <v>-585</v>
      </c>
      <c r="K1182" s="582">
        <f t="shared" si="51"/>
        <v>142.35000000000002</v>
      </c>
      <c r="L1182" s="563">
        <f t="shared" si="52"/>
        <v>156.58500000000004</v>
      </c>
      <c r="M1182" s="563">
        <f t="shared" si="53"/>
        <v>800.08500000000004</v>
      </c>
      <c r="N1182" s="580"/>
    </row>
    <row r="1183" spans="4:14" x14ac:dyDescent="0.25">
      <c r="D1183" s="559" t="s">
        <v>867</v>
      </c>
      <c r="E1183" s="558">
        <v>310921</v>
      </c>
      <c r="F1183" s="559">
        <v>300336</v>
      </c>
      <c r="G1183" s="558" t="s">
        <v>2118</v>
      </c>
      <c r="H1183" s="564">
        <v>40015</v>
      </c>
      <c r="I1183" s="563">
        <v>727.35</v>
      </c>
      <c r="J1183" s="563">
        <v>-585</v>
      </c>
      <c r="K1183" s="582">
        <f t="shared" si="51"/>
        <v>142.35000000000002</v>
      </c>
      <c r="L1183" s="563">
        <f t="shared" si="52"/>
        <v>156.58500000000004</v>
      </c>
      <c r="M1183" s="563">
        <f t="shared" si="53"/>
        <v>800.08500000000004</v>
      </c>
      <c r="N1183" s="580"/>
    </row>
    <row r="1184" spans="4:14" x14ac:dyDescent="0.25">
      <c r="D1184" s="559" t="s">
        <v>867</v>
      </c>
      <c r="E1184" s="558">
        <v>310922</v>
      </c>
      <c r="F1184" s="559">
        <v>300048</v>
      </c>
      <c r="G1184" s="558" t="s">
        <v>2119</v>
      </c>
      <c r="H1184" s="564">
        <v>40015</v>
      </c>
      <c r="I1184" s="563">
        <v>727.35</v>
      </c>
      <c r="J1184" s="563">
        <v>-585</v>
      </c>
      <c r="K1184" s="582">
        <f t="shared" si="51"/>
        <v>142.35000000000002</v>
      </c>
      <c r="L1184" s="563">
        <f t="shared" si="52"/>
        <v>156.58500000000004</v>
      </c>
      <c r="M1184" s="563">
        <f t="shared" si="53"/>
        <v>800.08500000000004</v>
      </c>
      <c r="N1184" s="580"/>
    </row>
    <row r="1185" spans="4:14" x14ac:dyDescent="0.25">
      <c r="D1185" s="559" t="s">
        <v>867</v>
      </c>
      <c r="E1185" s="558">
        <v>310923</v>
      </c>
      <c r="F1185" s="559">
        <v>302158</v>
      </c>
      <c r="G1185" s="558" t="s">
        <v>2119</v>
      </c>
      <c r="H1185" s="564">
        <v>40015</v>
      </c>
      <c r="I1185" s="563">
        <v>961.35</v>
      </c>
      <c r="J1185" s="563">
        <v>-585</v>
      </c>
      <c r="K1185" s="582">
        <f t="shared" si="51"/>
        <v>376.35</v>
      </c>
      <c r="L1185" s="563">
        <f t="shared" si="52"/>
        <v>413.98500000000007</v>
      </c>
      <c r="M1185" s="563">
        <f t="shared" si="53"/>
        <v>1057.4850000000001</v>
      </c>
      <c r="N1185" s="580"/>
    </row>
    <row r="1186" spans="4:14" x14ac:dyDescent="0.25">
      <c r="D1186" s="559" t="s">
        <v>867</v>
      </c>
      <c r="E1186" s="558">
        <v>310925</v>
      </c>
      <c r="F1186" s="559">
        <v>301447</v>
      </c>
      <c r="G1186" s="558" t="s">
        <v>2119</v>
      </c>
      <c r="H1186" s="564">
        <v>40015</v>
      </c>
      <c r="I1186" s="563">
        <v>64.349999999999994</v>
      </c>
      <c r="J1186" s="563">
        <v>-64.349999999999994</v>
      </c>
      <c r="K1186" s="582">
        <f t="shared" si="51"/>
        <v>0</v>
      </c>
      <c r="L1186" s="563">
        <f t="shared" si="52"/>
        <v>0</v>
      </c>
      <c r="M1186" s="563">
        <f t="shared" si="53"/>
        <v>70.784999999999997</v>
      </c>
      <c r="N1186" s="580"/>
    </row>
    <row r="1187" spans="4:14" x14ac:dyDescent="0.25">
      <c r="D1187" s="559" t="s">
        <v>867</v>
      </c>
      <c r="E1187" s="558">
        <v>310926</v>
      </c>
      <c r="F1187" s="559">
        <v>302053</v>
      </c>
      <c r="G1187" s="558" t="s">
        <v>2119</v>
      </c>
      <c r="H1187" s="564">
        <v>40015</v>
      </c>
      <c r="I1187" s="563">
        <v>64.349999999999994</v>
      </c>
      <c r="J1187" s="563">
        <v>-64.349999999999994</v>
      </c>
      <c r="K1187" s="582">
        <f t="shared" si="51"/>
        <v>0</v>
      </c>
      <c r="L1187" s="563">
        <f t="shared" si="52"/>
        <v>0</v>
      </c>
      <c r="M1187" s="563">
        <f t="shared" si="53"/>
        <v>70.784999999999997</v>
      </c>
      <c r="N1187" s="580"/>
    </row>
    <row r="1188" spans="4:14" x14ac:dyDescent="0.25">
      <c r="D1188" s="559" t="s">
        <v>867</v>
      </c>
      <c r="E1188" s="558">
        <v>310927</v>
      </c>
      <c r="F1188" s="559">
        <v>301889</v>
      </c>
      <c r="G1188" s="558" t="s">
        <v>2119</v>
      </c>
      <c r="H1188" s="564">
        <v>40015</v>
      </c>
      <c r="I1188" s="563">
        <v>64.349999999999994</v>
      </c>
      <c r="J1188" s="563">
        <v>-64.349999999999994</v>
      </c>
      <c r="K1188" s="582">
        <f t="shared" si="51"/>
        <v>0</v>
      </c>
      <c r="L1188" s="563">
        <f t="shared" si="52"/>
        <v>0</v>
      </c>
      <c r="M1188" s="563">
        <f t="shared" si="53"/>
        <v>70.784999999999997</v>
      </c>
      <c r="N1188" s="580"/>
    </row>
    <row r="1189" spans="4:14" x14ac:dyDescent="0.25">
      <c r="D1189" s="559" t="s">
        <v>867</v>
      </c>
      <c r="E1189" s="558">
        <v>310928</v>
      </c>
      <c r="F1189" s="559">
        <v>300272</v>
      </c>
      <c r="G1189" s="558" t="s">
        <v>2120</v>
      </c>
      <c r="H1189" s="564">
        <v>40015</v>
      </c>
      <c r="I1189" s="563">
        <v>727.35</v>
      </c>
      <c r="J1189" s="563">
        <v>-585</v>
      </c>
      <c r="K1189" s="582">
        <f t="shared" si="51"/>
        <v>142.35000000000002</v>
      </c>
      <c r="L1189" s="563">
        <f t="shared" si="52"/>
        <v>156.58500000000004</v>
      </c>
      <c r="M1189" s="563">
        <f t="shared" si="53"/>
        <v>800.08500000000004</v>
      </c>
      <c r="N1189" s="580"/>
    </row>
    <row r="1190" spans="4:14" x14ac:dyDescent="0.25">
      <c r="D1190" s="559" t="s">
        <v>867</v>
      </c>
      <c r="E1190" s="558">
        <v>310929</v>
      </c>
      <c r="F1190" s="559">
        <v>301612</v>
      </c>
      <c r="G1190" s="558" t="s">
        <v>2120</v>
      </c>
      <c r="H1190" s="564">
        <v>40015</v>
      </c>
      <c r="I1190" s="563">
        <v>766.35</v>
      </c>
      <c r="J1190" s="563">
        <v>-585</v>
      </c>
      <c r="K1190" s="582">
        <f t="shared" si="51"/>
        <v>181.35000000000002</v>
      </c>
      <c r="L1190" s="563">
        <f t="shared" si="52"/>
        <v>199.48500000000004</v>
      </c>
      <c r="M1190" s="563">
        <f t="shared" si="53"/>
        <v>842.98500000000013</v>
      </c>
      <c r="N1190" s="580"/>
    </row>
    <row r="1191" spans="4:14" x14ac:dyDescent="0.25">
      <c r="D1191" s="559" t="s">
        <v>867</v>
      </c>
      <c r="E1191" s="558">
        <v>310930</v>
      </c>
      <c r="F1191" s="559">
        <v>302125</v>
      </c>
      <c r="G1191" s="558" t="s">
        <v>2120</v>
      </c>
      <c r="H1191" s="564">
        <v>40015</v>
      </c>
      <c r="I1191" s="563">
        <v>64.349999999999994</v>
      </c>
      <c r="J1191" s="563">
        <v>-64.349999999999994</v>
      </c>
      <c r="K1191" s="582">
        <f t="shared" si="51"/>
        <v>0</v>
      </c>
      <c r="L1191" s="563">
        <f t="shared" si="52"/>
        <v>0</v>
      </c>
      <c r="M1191" s="563">
        <f t="shared" si="53"/>
        <v>70.784999999999997</v>
      </c>
      <c r="N1191" s="580"/>
    </row>
    <row r="1192" spans="4:14" x14ac:dyDescent="0.25">
      <c r="D1192" s="559" t="s">
        <v>867</v>
      </c>
      <c r="E1192" s="558">
        <v>310931</v>
      </c>
      <c r="F1192" s="559">
        <v>300722</v>
      </c>
      <c r="G1192" s="558" t="s">
        <v>2120</v>
      </c>
      <c r="H1192" s="564">
        <v>40015</v>
      </c>
      <c r="I1192" s="563">
        <v>64.349999999999994</v>
      </c>
      <c r="J1192" s="563">
        <v>-64.349999999999994</v>
      </c>
      <c r="K1192" s="582">
        <f t="shared" si="51"/>
        <v>0</v>
      </c>
      <c r="L1192" s="563">
        <f t="shared" si="52"/>
        <v>0</v>
      </c>
      <c r="M1192" s="563">
        <f t="shared" si="53"/>
        <v>70.784999999999997</v>
      </c>
      <c r="N1192" s="580"/>
    </row>
    <row r="1193" spans="4:14" x14ac:dyDescent="0.25">
      <c r="D1193" s="559" t="s">
        <v>867</v>
      </c>
      <c r="E1193" s="558">
        <v>310932</v>
      </c>
      <c r="F1193" s="559">
        <v>300076</v>
      </c>
      <c r="G1193" s="558" t="s">
        <v>2120</v>
      </c>
      <c r="H1193" s="564">
        <v>40015</v>
      </c>
      <c r="I1193" s="563">
        <v>532.35</v>
      </c>
      <c r="J1193" s="563">
        <v>-532.35</v>
      </c>
      <c r="K1193" s="582">
        <f t="shared" ref="K1193:K1256" si="54">+I1193+J1193</f>
        <v>0</v>
      </c>
      <c r="L1193" s="563">
        <f t="shared" ref="L1193:L1256" si="55">+K1193*1.1</f>
        <v>0</v>
      </c>
      <c r="M1193" s="563">
        <f t="shared" ref="M1193:M1256" si="56">+I1193*1.1</f>
        <v>585.58500000000004</v>
      </c>
      <c r="N1193" s="580"/>
    </row>
    <row r="1194" spans="4:14" x14ac:dyDescent="0.25">
      <c r="D1194" s="559" t="s">
        <v>867</v>
      </c>
      <c r="E1194" s="558">
        <v>310933</v>
      </c>
      <c r="F1194" s="559">
        <v>300807</v>
      </c>
      <c r="G1194" s="558" t="s">
        <v>2121</v>
      </c>
      <c r="H1194" s="564">
        <v>40015</v>
      </c>
      <c r="I1194" s="563">
        <v>64.349999999999994</v>
      </c>
      <c r="J1194" s="563">
        <v>-64.349999999999994</v>
      </c>
      <c r="K1194" s="582">
        <f t="shared" si="54"/>
        <v>0</v>
      </c>
      <c r="L1194" s="563">
        <f t="shared" si="55"/>
        <v>0</v>
      </c>
      <c r="M1194" s="563">
        <f t="shared" si="56"/>
        <v>70.784999999999997</v>
      </c>
      <c r="N1194" s="580"/>
    </row>
    <row r="1195" spans="4:14" x14ac:dyDescent="0.25">
      <c r="D1195" s="559" t="s">
        <v>867</v>
      </c>
      <c r="E1195" s="558">
        <v>310934</v>
      </c>
      <c r="F1195" s="559">
        <v>301643</v>
      </c>
      <c r="G1195" s="558" t="s">
        <v>2121</v>
      </c>
      <c r="H1195" s="564">
        <v>40015</v>
      </c>
      <c r="I1195" s="563">
        <v>571.35</v>
      </c>
      <c r="J1195" s="563">
        <v>-571.35</v>
      </c>
      <c r="K1195" s="582">
        <f t="shared" si="54"/>
        <v>0</v>
      </c>
      <c r="L1195" s="563">
        <f t="shared" si="55"/>
        <v>0</v>
      </c>
      <c r="M1195" s="563">
        <f t="shared" si="56"/>
        <v>628.48500000000013</v>
      </c>
      <c r="N1195" s="580"/>
    </row>
    <row r="1196" spans="4:14" x14ac:dyDescent="0.25">
      <c r="D1196" s="559" t="s">
        <v>867</v>
      </c>
      <c r="E1196" s="558">
        <v>310935</v>
      </c>
      <c r="F1196" s="559">
        <v>300152</v>
      </c>
      <c r="G1196" s="558" t="s">
        <v>2121</v>
      </c>
      <c r="H1196" s="564">
        <v>40015</v>
      </c>
      <c r="I1196" s="563">
        <v>688.35</v>
      </c>
      <c r="J1196" s="563">
        <v>-585</v>
      </c>
      <c r="K1196" s="582">
        <f t="shared" si="54"/>
        <v>103.35000000000002</v>
      </c>
      <c r="L1196" s="563">
        <f t="shared" si="55"/>
        <v>113.68500000000003</v>
      </c>
      <c r="M1196" s="563">
        <f t="shared" si="56"/>
        <v>757.18500000000006</v>
      </c>
      <c r="N1196" s="580"/>
    </row>
    <row r="1197" spans="4:14" x14ac:dyDescent="0.25">
      <c r="D1197" s="559" t="s">
        <v>867</v>
      </c>
      <c r="E1197" s="558">
        <v>310936</v>
      </c>
      <c r="F1197" s="559">
        <v>300256</v>
      </c>
      <c r="G1197" s="558" t="s">
        <v>2121</v>
      </c>
      <c r="H1197" s="564">
        <v>40015</v>
      </c>
      <c r="I1197" s="563">
        <v>727.35</v>
      </c>
      <c r="J1197" s="563">
        <v>-585</v>
      </c>
      <c r="K1197" s="582">
        <f t="shared" si="54"/>
        <v>142.35000000000002</v>
      </c>
      <c r="L1197" s="563">
        <f t="shared" si="55"/>
        <v>156.58500000000004</v>
      </c>
      <c r="M1197" s="563">
        <f t="shared" si="56"/>
        <v>800.08500000000004</v>
      </c>
      <c r="N1197" s="580"/>
    </row>
    <row r="1198" spans="4:14" x14ac:dyDescent="0.25">
      <c r="D1198" s="559" t="s">
        <v>867</v>
      </c>
      <c r="E1198" s="558">
        <v>310937</v>
      </c>
      <c r="F1198" s="559">
        <v>301041</v>
      </c>
      <c r="G1198" s="558" t="s">
        <v>2121</v>
      </c>
      <c r="H1198" s="564">
        <v>40015</v>
      </c>
      <c r="I1198" s="563">
        <v>64.349999999999994</v>
      </c>
      <c r="J1198" s="563">
        <v>-64.349999999999994</v>
      </c>
      <c r="K1198" s="582">
        <f t="shared" si="54"/>
        <v>0</v>
      </c>
      <c r="L1198" s="563">
        <f t="shared" si="55"/>
        <v>0</v>
      </c>
      <c r="M1198" s="563">
        <f t="shared" si="56"/>
        <v>70.784999999999997</v>
      </c>
      <c r="N1198" s="580"/>
    </row>
    <row r="1199" spans="4:14" x14ac:dyDescent="0.25">
      <c r="D1199" s="559" t="s">
        <v>867</v>
      </c>
      <c r="E1199" s="558">
        <v>310938</v>
      </c>
      <c r="F1199" s="559">
        <v>302059</v>
      </c>
      <c r="G1199" s="558" t="s">
        <v>2122</v>
      </c>
      <c r="H1199" s="564">
        <v>40015</v>
      </c>
      <c r="I1199" s="563">
        <v>727.35</v>
      </c>
      <c r="J1199" s="563">
        <v>-585</v>
      </c>
      <c r="K1199" s="582">
        <f t="shared" si="54"/>
        <v>142.35000000000002</v>
      </c>
      <c r="L1199" s="563">
        <f t="shared" si="55"/>
        <v>156.58500000000004</v>
      </c>
      <c r="M1199" s="563">
        <f t="shared" si="56"/>
        <v>800.08500000000004</v>
      </c>
      <c r="N1199" s="580"/>
    </row>
    <row r="1200" spans="4:14" x14ac:dyDescent="0.25">
      <c r="D1200" s="559" t="s">
        <v>867</v>
      </c>
      <c r="E1200" s="558">
        <v>310939</v>
      </c>
      <c r="F1200" s="559">
        <v>300625</v>
      </c>
      <c r="G1200" s="558" t="s">
        <v>2122</v>
      </c>
      <c r="H1200" s="564">
        <v>40015</v>
      </c>
      <c r="I1200" s="563">
        <v>571.35</v>
      </c>
      <c r="J1200" s="563">
        <v>-571.35</v>
      </c>
      <c r="K1200" s="582">
        <f t="shared" si="54"/>
        <v>0</v>
      </c>
      <c r="L1200" s="563">
        <f t="shared" si="55"/>
        <v>0</v>
      </c>
      <c r="M1200" s="563">
        <f t="shared" si="56"/>
        <v>628.48500000000013</v>
      </c>
      <c r="N1200" s="580"/>
    </row>
    <row r="1201" spans="4:14" x14ac:dyDescent="0.25">
      <c r="D1201" s="559" t="s">
        <v>867</v>
      </c>
      <c r="E1201" s="558">
        <v>310940</v>
      </c>
      <c r="F1201" s="559">
        <v>301517</v>
      </c>
      <c r="G1201" s="558" t="s">
        <v>2122</v>
      </c>
      <c r="H1201" s="564">
        <v>40015</v>
      </c>
      <c r="I1201" s="563">
        <v>727.35</v>
      </c>
      <c r="J1201" s="563">
        <v>-585</v>
      </c>
      <c r="K1201" s="582">
        <f t="shared" si="54"/>
        <v>142.35000000000002</v>
      </c>
      <c r="L1201" s="563">
        <f t="shared" si="55"/>
        <v>156.58500000000004</v>
      </c>
      <c r="M1201" s="563">
        <f t="shared" si="56"/>
        <v>800.08500000000004</v>
      </c>
      <c r="N1201" s="580"/>
    </row>
    <row r="1202" spans="4:14" x14ac:dyDescent="0.25">
      <c r="D1202" s="559" t="s">
        <v>867</v>
      </c>
      <c r="E1202" s="558">
        <v>310941</v>
      </c>
      <c r="F1202" s="559">
        <v>300664</v>
      </c>
      <c r="G1202" s="558" t="s">
        <v>2122</v>
      </c>
      <c r="H1202" s="564">
        <v>40015</v>
      </c>
      <c r="I1202" s="563">
        <v>25.35</v>
      </c>
      <c r="J1202" s="563">
        <v>-25.35</v>
      </c>
      <c r="K1202" s="582">
        <f t="shared" si="54"/>
        <v>0</v>
      </c>
      <c r="L1202" s="563">
        <f t="shared" si="55"/>
        <v>0</v>
      </c>
      <c r="M1202" s="563">
        <f t="shared" si="56"/>
        <v>27.885000000000005</v>
      </c>
      <c r="N1202" s="580"/>
    </row>
    <row r="1203" spans="4:14" x14ac:dyDescent="0.25">
      <c r="D1203" s="559" t="s">
        <v>867</v>
      </c>
      <c r="E1203" s="558">
        <v>310942</v>
      </c>
      <c r="F1203" s="559">
        <v>300316</v>
      </c>
      <c r="G1203" s="558" t="s">
        <v>2122</v>
      </c>
      <c r="H1203" s="564">
        <v>40015</v>
      </c>
      <c r="I1203" s="563">
        <v>64.349999999999994</v>
      </c>
      <c r="J1203" s="563">
        <v>-64.349999999999994</v>
      </c>
      <c r="K1203" s="582">
        <f t="shared" si="54"/>
        <v>0</v>
      </c>
      <c r="L1203" s="563">
        <f t="shared" si="55"/>
        <v>0</v>
      </c>
      <c r="M1203" s="563">
        <f t="shared" si="56"/>
        <v>70.784999999999997</v>
      </c>
      <c r="N1203" s="580"/>
    </row>
    <row r="1204" spans="4:14" x14ac:dyDescent="0.25">
      <c r="D1204" s="559" t="s">
        <v>867</v>
      </c>
      <c r="E1204" s="558">
        <v>310943</v>
      </c>
      <c r="F1204" s="559">
        <v>301969</v>
      </c>
      <c r="G1204" s="558" t="s">
        <v>2123</v>
      </c>
      <c r="H1204" s="564">
        <v>40015</v>
      </c>
      <c r="I1204" s="563">
        <v>727.35</v>
      </c>
      <c r="J1204" s="563">
        <v>-585</v>
      </c>
      <c r="K1204" s="582">
        <f t="shared" si="54"/>
        <v>142.35000000000002</v>
      </c>
      <c r="L1204" s="563">
        <f t="shared" si="55"/>
        <v>156.58500000000004</v>
      </c>
      <c r="M1204" s="563">
        <f t="shared" si="56"/>
        <v>800.08500000000004</v>
      </c>
      <c r="N1204" s="580"/>
    </row>
    <row r="1205" spans="4:14" x14ac:dyDescent="0.25">
      <c r="D1205" s="559" t="s">
        <v>867</v>
      </c>
      <c r="E1205" s="558">
        <v>310944</v>
      </c>
      <c r="F1205" s="559">
        <v>301078</v>
      </c>
      <c r="G1205" s="558" t="s">
        <v>2123</v>
      </c>
      <c r="H1205" s="564">
        <v>40015</v>
      </c>
      <c r="I1205" s="563">
        <v>64.349999999999994</v>
      </c>
      <c r="J1205" s="563">
        <v>-64.349999999999994</v>
      </c>
      <c r="K1205" s="582">
        <f t="shared" si="54"/>
        <v>0</v>
      </c>
      <c r="L1205" s="563">
        <f t="shared" si="55"/>
        <v>0</v>
      </c>
      <c r="M1205" s="563">
        <f t="shared" si="56"/>
        <v>70.784999999999997</v>
      </c>
      <c r="N1205" s="580"/>
    </row>
    <row r="1206" spans="4:14" x14ac:dyDescent="0.25">
      <c r="D1206" s="559" t="s">
        <v>867</v>
      </c>
      <c r="E1206" s="558">
        <v>310945</v>
      </c>
      <c r="F1206" s="559">
        <v>300803</v>
      </c>
      <c r="G1206" s="558" t="s">
        <v>2123</v>
      </c>
      <c r="H1206" s="564">
        <v>40015</v>
      </c>
      <c r="I1206" s="563">
        <v>64.349999999999994</v>
      </c>
      <c r="J1206" s="563">
        <v>-64.349999999999994</v>
      </c>
      <c r="K1206" s="582">
        <f t="shared" si="54"/>
        <v>0</v>
      </c>
      <c r="L1206" s="563">
        <f t="shared" si="55"/>
        <v>0</v>
      </c>
      <c r="M1206" s="563">
        <f t="shared" si="56"/>
        <v>70.784999999999997</v>
      </c>
      <c r="N1206" s="580"/>
    </row>
    <row r="1207" spans="4:14" x14ac:dyDescent="0.25">
      <c r="D1207" s="559" t="s">
        <v>867</v>
      </c>
      <c r="E1207" s="558">
        <v>310946</v>
      </c>
      <c r="F1207" s="559">
        <v>300800</v>
      </c>
      <c r="G1207" s="558" t="s">
        <v>2123</v>
      </c>
      <c r="H1207" s="564">
        <v>40015</v>
      </c>
      <c r="I1207" s="563">
        <v>727.35</v>
      </c>
      <c r="J1207" s="563">
        <v>-585</v>
      </c>
      <c r="K1207" s="582">
        <f t="shared" si="54"/>
        <v>142.35000000000002</v>
      </c>
      <c r="L1207" s="563">
        <f t="shared" si="55"/>
        <v>156.58500000000004</v>
      </c>
      <c r="M1207" s="563">
        <f t="shared" si="56"/>
        <v>800.08500000000004</v>
      </c>
      <c r="N1207" s="580"/>
    </row>
    <row r="1208" spans="4:14" x14ac:dyDescent="0.25">
      <c r="D1208" s="559" t="s">
        <v>867</v>
      </c>
      <c r="E1208" s="558">
        <v>310947</v>
      </c>
      <c r="F1208" s="559">
        <v>302020</v>
      </c>
      <c r="G1208" s="558" t="s">
        <v>2123</v>
      </c>
      <c r="H1208" s="564">
        <v>40015</v>
      </c>
      <c r="I1208" s="563">
        <v>532.35</v>
      </c>
      <c r="J1208" s="563">
        <v>-532.35</v>
      </c>
      <c r="K1208" s="582">
        <f t="shared" si="54"/>
        <v>0</v>
      </c>
      <c r="L1208" s="563">
        <f t="shared" si="55"/>
        <v>0</v>
      </c>
      <c r="M1208" s="563">
        <f t="shared" si="56"/>
        <v>585.58500000000004</v>
      </c>
      <c r="N1208" s="580"/>
    </row>
    <row r="1209" spans="4:14" x14ac:dyDescent="0.25">
      <c r="D1209" s="559" t="s">
        <v>867</v>
      </c>
      <c r="E1209" s="558">
        <v>310948</v>
      </c>
      <c r="F1209" s="559">
        <v>300855</v>
      </c>
      <c r="G1209" s="558" t="s">
        <v>2124</v>
      </c>
      <c r="H1209" s="564">
        <v>40015</v>
      </c>
      <c r="I1209" s="563">
        <v>727.35</v>
      </c>
      <c r="J1209" s="563">
        <v>-585</v>
      </c>
      <c r="K1209" s="582">
        <f t="shared" si="54"/>
        <v>142.35000000000002</v>
      </c>
      <c r="L1209" s="563">
        <f t="shared" si="55"/>
        <v>156.58500000000004</v>
      </c>
      <c r="M1209" s="563">
        <f t="shared" si="56"/>
        <v>800.08500000000004</v>
      </c>
      <c r="N1209" s="580"/>
    </row>
    <row r="1210" spans="4:14" x14ac:dyDescent="0.25">
      <c r="D1210" s="559" t="s">
        <v>867</v>
      </c>
      <c r="E1210" s="558">
        <v>310949</v>
      </c>
      <c r="F1210" s="559">
        <v>300439</v>
      </c>
      <c r="G1210" s="558" t="s">
        <v>2124</v>
      </c>
      <c r="H1210" s="564">
        <v>40015</v>
      </c>
      <c r="I1210" s="563">
        <v>64.349999999999994</v>
      </c>
      <c r="J1210" s="563">
        <v>-64.349999999999994</v>
      </c>
      <c r="K1210" s="582">
        <f t="shared" si="54"/>
        <v>0</v>
      </c>
      <c r="L1210" s="563">
        <f t="shared" si="55"/>
        <v>0</v>
      </c>
      <c r="M1210" s="563">
        <f t="shared" si="56"/>
        <v>70.784999999999997</v>
      </c>
      <c r="N1210" s="580"/>
    </row>
    <row r="1211" spans="4:14" x14ac:dyDescent="0.25">
      <c r="D1211" s="559" t="s">
        <v>867</v>
      </c>
      <c r="E1211" s="558">
        <v>310950</v>
      </c>
      <c r="F1211" s="559">
        <v>300267</v>
      </c>
      <c r="G1211" s="558" t="s">
        <v>2124</v>
      </c>
      <c r="H1211" s="564">
        <v>40015</v>
      </c>
      <c r="I1211" s="563">
        <v>532.35</v>
      </c>
      <c r="J1211" s="563">
        <v>-532.35</v>
      </c>
      <c r="K1211" s="582">
        <f t="shared" si="54"/>
        <v>0</v>
      </c>
      <c r="L1211" s="563">
        <f t="shared" si="55"/>
        <v>0</v>
      </c>
      <c r="M1211" s="563">
        <f t="shared" si="56"/>
        <v>585.58500000000004</v>
      </c>
      <c r="N1211" s="580"/>
    </row>
    <row r="1212" spans="4:14" x14ac:dyDescent="0.25">
      <c r="D1212" s="559" t="s">
        <v>867</v>
      </c>
      <c r="E1212" s="558">
        <v>310951</v>
      </c>
      <c r="F1212" s="559">
        <v>301190</v>
      </c>
      <c r="G1212" s="558" t="s">
        <v>2124</v>
      </c>
      <c r="H1212" s="564">
        <v>40015</v>
      </c>
      <c r="I1212" s="563">
        <v>64.349999999999994</v>
      </c>
      <c r="J1212" s="563">
        <v>-64.349999999999994</v>
      </c>
      <c r="K1212" s="582">
        <f t="shared" si="54"/>
        <v>0</v>
      </c>
      <c r="L1212" s="563">
        <f t="shared" si="55"/>
        <v>0</v>
      </c>
      <c r="M1212" s="563">
        <f t="shared" si="56"/>
        <v>70.784999999999997</v>
      </c>
      <c r="N1212" s="580"/>
    </row>
    <row r="1213" spans="4:14" x14ac:dyDescent="0.25">
      <c r="D1213" s="559" t="s">
        <v>867</v>
      </c>
      <c r="E1213" s="558">
        <v>310952</v>
      </c>
      <c r="F1213" s="559">
        <v>302238</v>
      </c>
      <c r="G1213" s="558" t="s">
        <v>2124</v>
      </c>
      <c r="H1213" s="564">
        <v>40015</v>
      </c>
      <c r="I1213" s="563">
        <v>493.35</v>
      </c>
      <c r="J1213" s="563">
        <v>-493.35</v>
      </c>
      <c r="K1213" s="582">
        <f t="shared" si="54"/>
        <v>0</v>
      </c>
      <c r="L1213" s="563">
        <f t="shared" si="55"/>
        <v>0</v>
      </c>
      <c r="M1213" s="563">
        <f t="shared" si="56"/>
        <v>542.68500000000006</v>
      </c>
      <c r="N1213" s="580"/>
    </row>
    <row r="1214" spans="4:14" x14ac:dyDescent="0.25">
      <c r="D1214" s="559" t="s">
        <v>867</v>
      </c>
      <c r="E1214" s="558">
        <v>310953</v>
      </c>
      <c r="F1214" s="559">
        <v>301538</v>
      </c>
      <c r="G1214" s="558" t="s">
        <v>2125</v>
      </c>
      <c r="H1214" s="564">
        <v>40015</v>
      </c>
      <c r="I1214" s="563">
        <v>64.349999999999994</v>
      </c>
      <c r="J1214" s="563">
        <v>-64.349999999999994</v>
      </c>
      <c r="K1214" s="582">
        <f t="shared" si="54"/>
        <v>0</v>
      </c>
      <c r="L1214" s="563">
        <f t="shared" si="55"/>
        <v>0</v>
      </c>
      <c r="M1214" s="563">
        <f t="shared" si="56"/>
        <v>70.784999999999997</v>
      </c>
      <c r="N1214" s="580"/>
    </row>
    <row r="1215" spans="4:14" x14ac:dyDescent="0.25">
      <c r="D1215" s="559" t="s">
        <v>867</v>
      </c>
      <c r="E1215" s="558">
        <v>310954</v>
      </c>
      <c r="F1215" s="559">
        <v>301356</v>
      </c>
      <c r="G1215" s="558" t="s">
        <v>2125</v>
      </c>
      <c r="H1215" s="564">
        <v>40015</v>
      </c>
      <c r="I1215" s="563">
        <v>532.35</v>
      </c>
      <c r="J1215" s="563">
        <v>-532.35</v>
      </c>
      <c r="K1215" s="582">
        <f t="shared" si="54"/>
        <v>0</v>
      </c>
      <c r="L1215" s="563">
        <f t="shared" si="55"/>
        <v>0</v>
      </c>
      <c r="M1215" s="563">
        <f t="shared" si="56"/>
        <v>585.58500000000004</v>
      </c>
      <c r="N1215" s="580"/>
    </row>
    <row r="1216" spans="4:14" x14ac:dyDescent="0.25">
      <c r="D1216" s="559" t="s">
        <v>867</v>
      </c>
      <c r="E1216" s="558">
        <v>310955</v>
      </c>
      <c r="F1216" s="559">
        <v>300197</v>
      </c>
      <c r="G1216" s="558" t="s">
        <v>2125</v>
      </c>
      <c r="H1216" s="564">
        <v>40015</v>
      </c>
      <c r="I1216" s="563">
        <v>727.35</v>
      </c>
      <c r="J1216" s="563">
        <v>-585</v>
      </c>
      <c r="K1216" s="582">
        <f t="shared" si="54"/>
        <v>142.35000000000002</v>
      </c>
      <c r="L1216" s="563">
        <f t="shared" si="55"/>
        <v>156.58500000000004</v>
      </c>
      <c r="M1216" s="563">
        <f t="shared" si="56"/>
        <v>800.08500000000004</v>
      </c>
      <c r="N1216" s="580"/>
    </row>
    <row r="1217" spans="4:14" x14ac:dyDescent="0.25">
      <c r="D1217" s="559" t="s">
        <v>867</v>
      </c>
      <c r="E1217" s="558">
        <v>310956</v>
      </c>
      <c r="F1217" s="559">
        <v>300101</v>
      </c>
      <c r="G1217" s="558" t="s">
        <v>2125</v>
      </c>
      <c r="H1217" s="564">
        <v>40015</v>
      </c>
      <c r="I1217" s="563">
        <v>64.349999999999994</v>
      </c>
      <c r="J1217" s="563">
        <v>-64.349999999999994</v>
      </c>
      <c r="K1217" s="582">
        <f t="shared" si="54"/>
        <v>0</v>
      </c>
      <c r="L1217" s="563">
        <f t="shared" si="55"/>
        <v>0</v>
      </c>
      <c r="M1217" s="563">
        <f t="shared" si="56"/>
        <v>70.784999999999997</v>
      </c>
      <c r="N1217" s="580"/>
    </row>
    <row r="1218" spans="4:14" x14ac:dyDescent="0.25">
      <c r="D1218" s="559" t="s">
        <v>867</v>
      </c>
      <c r="E1218" s="558">
        <v>310957</v>
      </c>
      <c r="F1218" s="559">
        <v>303065</v>
      </c>
      <c r="G1218" s="558" t="s">
        <v>2125</v>
      </c>
      <c r="H1218" s="564">
        <v>40015</v>
      </c>
      <c r="I1218" s="563">
        <v>64.349999999999994</v>
      </c>
      <c r="J1218" s="563">
        <v>-64.349999999999994</v>
      </c>
      <c r="K1218" s="582">
        <f t="shared" si="54"/>
        <v>0</v>
      </c>
      <c r="L1218" s="563">
        <f t="shared" si="55"/>
        <v>0</v>
      </c>
      <c r="M1218" s="563">
        <f t="shared" si="56"/>
        <v>70.784999999999997</v>
      </c>
      <c r="N1218" s="580"/>
    </row>
    <row r="1219" spans="4:14" x14ac:dyDescent="0.25">
      <c r="D1219" s="559" t="s">
        <v>867</v>
      </c>
      <c r="E1219" s="558">
        <v>310958</v>
      </c>
      <c r="F1219" s="559">
        <v>301773</v>
      </c>
      <c r="G1219" s="558" t="s">
        <v>2126</v>
      </c>
      <c r="H1219" s="564">
        <v>40015</v>
      </c>
      <c r="I1219" s="563">
        <v>64.349999999999994</v>
      </c>
      <c r="J1219" s="563">
        <v>-64.349999999999994</v>
      </c>
      <c r="K1219" s="582">
        <f t="shared" si="54"/>
        <v>0</v>
      </c>
      <c r="L1219" s="563">
        <f t="shared" si="55"/>
        <v>0</v>
      </c>
      <c r="M1219" s="563">
        <f t="shared" si="56"/>
        <v>70.784999999999997</v>
      </c>
      <c r="N1219" s="580"/>
    </row>
    <row r="1220" spans="4:14" x14ac:dyDescent="0.25">
      <c r="D1220" s="559" t="s">
        <v>867</v>
      </c>
      <c r="E1220" s="558">
        <v>310959</v>
      </c>
      <c r="F1220" s="559">
        <v>300773</v>
      </c>
      <c r="G1220" s="558" t="s">
        <v>2126</v>
      </c>
      <c r="H1220" s="564">
        <v>40015</v>
      </c>
      <c r="I1220" s="563">
        <v>25.35</v>
      </c>
      <c r="J1220" s="563">
        <v>-25.35</v>
      </c>
      <c r="K1220" s="582">
        <f t="shared" si="54"/>
        <v>0</v>
      </c>
      <c r="L1220" s="563">
        <f t="shared" si="55"/>
        <v>0</v>
      </c>
      <c r="M1220" s="563">
        <f t="shared" si="56"/>
        <v>27.885000000000005</v>
      </c>
      <c r="N1220" s="580"/>
    </row>
    <row r="1221" spans="4:14" x14ac:dyDescent="0.25">
      <c r="D1221" s="559" t="s">
        <v>867</v>
      </c>
      <c r="E1221" s="558">
        <v>310963</v>
      </c>
      <c r="F1221" s="559">
        <v>302106</v>
      </c>
      <c r="G1221" s="558" t="s">
        <v>2126</v>
      </c>
      <c r="H1221" s="564">
        <v>40015</v>
      </c>
      <c r="I1221" s="563">
        <v>727.35</v>
      </c>
      <c r="J1221" s="563">
        <v>-585</v>
      </c>
      <c r="K1221" s="582">
        <f t="shared" si="54"/>
        <v>142.35000000000002</v>
      </c>
      <c r="L1221" s="563">
        <f t="shared" si="55"/>
        <v>156.58500000000004</v>
      </c>
      <c r="M1221" s="563">
        <f t="shared" si="56"/>
        <v>800.08500000000004</v>
      </c>
      <c r="N1221" s="580"/>
    </row>
    <row r="1222" spans="4:14" x14ac:dyDescent="0.25">
      <c r="D1222" s="559" t="s">
        <v>867</v>
      </c>
      <c r="E1222" s="558">
        <v>310964</v>
      </c>
      <c r="F1222" s="559">
        <v>301135</v>
      </c>
      <c r="G1222" s="558" t="s">
        <v>2126</v>
      </c>
      <c r="H1222" s="564">
        <v>40015</v>
      </c>
      <c r="I1222" s="563">
        <v>727.35</v>
      </c>
      <c r="J1222" s="563">
        <v>-585</v>
      </c>
      <c r="K1222" s="582">
        <f t="shared" si="54"/>
        <v>142.35000000000002</v>
      </c>
      <c r="L1222" s="563">
        <f t="shared" si="55"/>
        <v>156.58500000000004</v>
      </c>
      <c r="M1222" s="563">
        <f t="shared" si="56"/>
        <v>800.08500000000004</v>
      </c>
      <c r="N1222" s="580"/>
    </row>
    <row r="1223" spans="4:14" x14ac:dyDescent="0.25">
      <c r="D1223" s="559" t="s">
        <v>867</v>
      </c>
      <c r="E1223" s="558">
        <v>310965</v>
      </c>
      <c r="F1223" s="559">
        <v>302064</v>
      </c>
      <c r="G1223" s="558" t="s">
        <v>2126</v>
      </c>
      <c r="H1223" s="564">
        <v>40015</v>
      </c>
      <c r="I1223" s="563">
        <v>727.35</v>
      </c>
      <c r="J1223" s="563">
        <v>-585</v>
      </c>
      <c r="K1223" s="582">
        <f t="shared" si="54"/>
        <v>142.35000000000002</v>
      </c>
      <c r="L1223" s="563">
        <f t="shared" si="55"/>
        <v>156.58500000000004</v>
      </c>
      <c r="M1223" s="563">
        <f t="shared" si="56"/>
        <v>800.08500000000004</v>
      </c>
      <c r="N1223" s="580"/>
    </row>
    <row r="1224" spans="4:14" x14ac:dyDescent="0.25">
      <c r="D1224" s="559" t="s">
        <v>867</v>
      </c>
      <c r="E1224" s="558">
        <v>310966</v>
      </c>
      <c r="F1224" s="559">
        <v>300450</v>
      </c>
      <c r="G1224" s="558" t="s">
        <v>2127</v>
      </c>
      <c r="H1224" s="564">
        <v>40015</v>
      </c>
      <c r="I1224" s="563">
        <v>727.35</v>
      </c>
      <c r="J1224" s="563">
        <v>-585</v>
      </c>
      <c r="K1224" s="582">
        <f t="shared" si="54"/>
        <v>142.35000000000002</v>
      </c>
      <c r="L1224" s="563">
        <f t="shared" si="55"/>
        <v>156.58500000000004</v>
      </c>
      <c r="M1224" s="563">
        <f t="shared" si="56"/>
        <v>800.08500000000004</v>
      </c>
      <c r="N1224" s="580"/>
    </row>
    <row r="1225" spans="4:14" x14ac:dyDescent="0.25">
      <c r="D1225" s="559" t="s">
        <v>867</v>
      </c>
      <c r="E1225" s="558">
        <v>310967</v>
      </c>
      <c r="F1225" s="559">
        <v>300709</v>
      </c>
      <c r="G1225" s="558" t="s">
        <v>2127</v>
      </c>
      <c r="H1225" s="564">
        <v>40015</v>
      </c>
      <c r="I1225" s="563">
        <v>468</v>
      </c>
      <c r="J1225" s="563">
        <v>-468</v>
      </c>
      <c r="K1225" s="582">
        <f t="shared" si="54"/>
        <v>0</v>
      </c>
      <c r="L1225" s="563">
        <f t="shared" si="55"/>
        <v>0</v>
      </c>
      <c r="M1225" s="563">
        <f t="shared" si="56"/>
        <v>514.80000000000007</v>
      </c>
      <c r="N1225" s="580"/>
    </row>
    <row r="1226" spans="4:14" x14ac:dyDescent="0.25">
      <c r="D1226" s="559" t="s">
        <v>867</v>
      </c>
      <c r="E1226" s="558">
        <v>310968</v>
      </c>
      <c r="F1226" s="559">
        <v>302171</v>
      </c>
      <c r="G1226" s="558" t="s">
        <v>2127</v>
      </c>
      <c r="H1226" s="564">
        <v>40015</v>
      </c>
      <c r="I1226" s="563">
        <v>64.349999999999994</v>
      </c>
      <c r="J1226" s="563">
        <v>-64.349999999999994</v>
      </c>
      <c r="K1226" s="582">
        <f t="shared" si="54"/>
        <v>0</v>
      </c>
      <c r="L1226" s="563">
        <f t="shared" si="55"/>
        <v>0</v>
      </c>
      <c r="M1226" s="563">
        <f t="shared" si="56"/>
        <v>70.784999999999997</v>
      </c>
      <c r="N1226" s="580"/>
    </row>
    <row r="1227" spans="4:14" x14ac:dyDescent="0.25">
      <c r="D1227" s="559" t="s">
        <v>867</v>
      </c>
      <c r="E1227" s="558">
        <v>310969</v>
      </c>
      <c r="F1227" s="559">
        <v>300255</v>
      </c>
      <c r="G1227" s="558" t="s">
        <v>2127</v>
      </c>
      <c r="H1227" s="564">
        <v>40015</v>
      </c>
      <c r="I1227" s="563">
        <v>64.349999999999994</v>
      </c>
      <c r="J1227" s="563">
        <v>-64.349999999999994</v>
      </c>
      <c r="K1227" s="582">
        <f t="shared" si="54"/>
        <v>0</v>
      </c>
      <c r="L1227" s="563">
        <f t="shared" si="55"/>
        <v>0</v>
      </c>
      <c r="M1227" s="563">
        <f t="shared" si="56"/>
        <v>70.784999999999997</v>
      </c>
      <c r="N1227" s="580"/>
    </row>
    <row r="1228" spans="4:14" x14ac:dyDescent="0.25">
      <c r="D1228" s="559" t="s">
        <v>867</v>
      </c>
      <c r="E1228" s="558">
        <v>310970</v>
      </c>
      <c r="F1228" s="559">
        <v>301046</v>
      </c>
      <c r="G1228" s="558" t="s">
        <v>2127</v>
      </c>
      <c r="H1228" s="564">
        <v>40015</v>
      </c>
      <c r="I1228" s="563">
        <v>727.35</v>
      </c>
      <c r="J1228" s="563">
        <v>-585</v>
      </c>
      <c r="K1228" s="582">
        <f t="shared" si="54"/>
        <v>142.35000000000002</v>
      </c>
      <c r="L1228" s="563">
        <f t="shared" si="55"/>
        <v>156.58500000000004</v>
      </c>
      <c r="M1228" s="563">
        <f t="shared" si="56"/>
        <v>800.08500000000004</v>
      </c>
      <c r="N1228" s="580"/>
    </row>
    <row r="1229" spans="4:14" x14ac:dyDescent="0.25">
      <c r="D1229" s="559" t="s">
        <v>867</v>
      </c>
      <c r="E1229" s="558">
        <v>310971</v>
      </c>
      <c r="F1229" s="559">
        <v>301183</v>
      </c>
      <c r="G1229" s="558" t="s">
        <v>2128</v>
      </c>
      <c r="H1229" s="564">
        <v>40015</v>
      </c>
      <c r="I1229" s="563">
        <v>727.35</v>
      </c>
      <c r="J1229" s="563">
        <v>-585</v>
      </c>
      <c r="K1229" s="582">
        <f t="shared" si="54"/>
        <v>142.35000000000002</v>
      </c>
      <c r="L1229" s="563">
        <f t="shared" si="55"/>
        <v>156.58500000000004</v>
      </c>
      <c r="M1229" s="563">
        <f t="shared" si="56"/>
        <v>800.08500000000004</v>
      </c>
      <c r="N1229" s="580"/>
    </row>
    <row r="1230" spans="4:14" x14ac:dyDescent="0.25">
      <c r="D1230" s="559" t="s">
        <v>867</v>
      </c>
      <c r="E1230" s="558">
        <v>310972</v>
      </c>
      <c r="F1230" s="559">
        <v>300318</v>
      </c>
      <c r="G1230" s="558" t="s">
        <v>2128</v>
      </c>
      <c r="H1230" s="564">
        <v>40015</v>
      </c>
      <c r="I1230" s="563">
        <v>727.35</v>
      </c>
      <c r="J1230" s="563">
        <v>-585</v>
      </c>
      <c r="K1230" s="582">
        <f t="shared" si="54"/>
        <v>142.35000000000002</v>
      </c>
      <c r="L1230" s="563">
        <f t="shared" si="55"/>
        <v>156.58500000000004</v>
      </c>
      <c r="M1230" s="563">
        <f t="shared" si="56"/>
        <v>800.08500000000004</v>
      </c>
      <c r="N1230" s="580"/>
    </row>
    <row r="1231" spans="4:14" x14ac:dyDescent="0.25">
      <c r="D1231" s="559" t="s">
        <v>867</v>
      </c>
      <c r="E1231" s="558">
        <v>310973</v>
      </c>
      <c r="F1231" s="559">
        <v>301785</v>
      </c>
      <c r="G1231" s="558" t="s">
        <v>2128</v>
      </c>
      <c r="H1231" s="564">
        <v>40015</v>
      </c>
      <c r="I1231" s="563">
        <v>64.349999999999994</v>
      </c>
      <c r="J1231" s="563">
        <v>-64.349999999999994</v>
      </c>
      <c r="K1231" s="582">
        <f t="shared" si="54"/>
        <v>0</v>
      </c>
      <c r="L1231" s="563">
        <f t="shared" si="55"/>
        <v>0</v>
      </c>
      <c r="M1231" s="563">
        <f t="shared" si="56"/>
        <v>70.784999999999997</v>
      </c>
      <c r="N1231" s="580"/>
    </row>
    <row r="1232" spans="4:14" x14ac:dyDescent="0.25">
      <c r="D1232" s="559" t="s">
        <v>867</v>
      </c>
      <c r="E1232" s="558">
        <v>310974</v>
      </c>
      <c r="F1232" s="559">
        <v>301113</v>
      </c>
      <c r="G1232" s="558" t="s">
        <v>2128</v>
      </c>
      <c r="H1232" s="564">
        <v>40015</v>
      </c>
      <c r="I1232" s="563">
        <v>64.349999999999994</v>
      </c>
      <c r="J1232" s="563">
        <v>-64.349999999999994</v>
      </c>
      <c r="K1232" s="582">
        <f t="shared" si="54"/>
        <v>0</v>
      </c>
      <c r="L1232" s="563">
        <f t="shared" si="55"/>
        <v>0</v>
      </c>
      <c r="M1232" s="563">
        <f t="shared" si="56"/>
        <v>70.784999999999997</v>
      </c>
      <c r="N1232" s="580"/>
    </row>
    <row r="1233" spans="4:16" x14ac:dyDescent="0.25">
      <c r="D1233" s="559" t="s">
        <v>867</v>
      </c>
      <c r="E1233" s="558">
        <v>310975</v>
      </c>
      <c r="F1233" s="559">
        <v>300075</v>
      </c>
      <c r="G1233" s="558" t="s">
        <v>2128</v>
      </c>
      <c r="H1233" s="564">
        <v>40015</v>
      </c>
      <c r="I1233" s="563">
        <v>493.35</v>
      </c>
      <c r="J1233" s="563">
        <v>-493.35</v>
      </c>
      <c r="K1233" s="582">
        <f t="shared" si="54"/>
        <v>0</v>
      </c>
      <c r="L1233" s="563">
        <f t="shared" si="55"/>
        <v>0</v>
      </c>
      <c r="M1233" s="563">
        <f t="shared" si="56"/>
        <v>542.68500000000006</v>
      </c>
      <c r="N1233" s="580"/>
    </row>
    <row r="1234" spans="4:16" x14ac:dyDescent="0.25">
      <c r="D1234" s="559" t="s">
        <v>867</v>
      </c>
      <c r="E1234" s="558">
        <v>310976</v>
      </c>
      <c r="F1234" s="559">
        <v>300291</v>
      </c>
      <c r="G1234" s="558" t="s">
        <v>2129</v>
      </c>
      <c r="H1234" s="564">
        <v>40015</v>
      </c>
      <c r="I1234" s="563">
        <v>727.35</v>
      </c>
      <c r="J1234" s="563">
        <v>-585</v>
      </c>
      <c r="K1234" s="582">
        <f t="shared" si="54"/>
        <v>142.35000000000002</v>
      </c>
      <c r="L1234" s="563">
        <f t="shared" si="55"/>
        <v>156.58500000000004</v>
      </c>
      <c r="M1234" s="563">
        <f t="shared" si="56"/>
        <v>800.08500000000004</v>
      </c>
      <c r="N1234" s="580"/>
    </row>
    <row r="1235" spans="4:16" x14ac:dyDescent="0.25">
      <c r="D1235" s="559" t="s">
        <v>867</v>
      </c>
      <c r="E1235" s="558">
        <v>310977</v>
      </c>
      <c r="F1235" s="559">
        <v>301444</v>
      </c>
      <c r="G1235" s="558" t="s">
        <v>2129</v>
      </c>
      <c r="H1235" s="564">
        <v>40015</v>
      </c>
      <c r="I1235" s="563">
        <v>64.349999999999994</v>
      </c>
      <c r="J1235" s="563">
        <v>-64.349999999999994</v>
      </c>
      <c r="K1235" s="582">
        <f t="shared" si="54"/>
        <v>0</v>
      </c>
      <c r="L1235" s="563">
        <f t="shared" si="55"/>
        <v>0</v>
      </c>
      <c r="M1235" s="563">
        <f t="shared" si="56"/>
        <v>70.784999999999997</v>
      </c>
      <c r="N1235" s="580"/>
    </row>
    <row r="1236" spans="4:16" x14ac:dyDescent="0.25">
      <c r="D1236" s="559" t="s">
        <v>867</v>
      </c>
      <c r="E1236" s="558">
        <v>310979</v>
      </c>
      <c r="F1236" s="559">
        <v>301402</v>
      </c>
      <c r="G1236" s="558" t="s">
        <v>2129</v>
      </c>
      <c r="H1236" s="564">
        <v>40015</v>
      </c>
      <c r="I1236" s="563">
        <v>727.35</v>
      </c>
      <c r="J1236" s="563">
        <v>-585</v>
      </c>
      <c r="K1236" s="582">
        <f t="shared" si="54"/>
        <v>142.35000000000002</v>
      </c>
      <c r="L1236" s="563">
        <f t="shared" si="55"/>
        <v>156.58500000000004</v>
      </c>
      <c r="M1236" s="563">
        <f t="shared" si="56"/>
        <v>800.08500000000004</v>
      </c>
      <c r="N1236" s="580"/>
    </row>
    <row r="1237" spans="4:16" x14ac:dyDescent="0.25">
      <c r="D1237" s="559" t="s">
        <v>867</v>
      </c>
      <c r="E1237" s="558">
        <v>310980</v>
      </c>
      <c r="F1237" s="559">
        <v>301264</v>
      </c>
      <c r="G1237" s="558" t="s">
        <v>2129</v>
      </c>
      <c r="H1237" s="564">
        <v>40015</v>
      </c>
      <c r="I1237" s="563">
        <v>727.35</v>
      </c>
      <c r="J1237" s="563">
        <v>-585</v>
      </c>
      <c r="K1237" s="582">
        <f t="shared" si="54"/>
        <v>142.35000000000002</v>
      </c>
      <c r="L1237" s="563">
        <f t="shared" si="55"/>
        <v>156.58500000000004</v>
      </c>
      <c r="M1237" s="563">
        <f t="shared" si="56"/>
        <v>800.08500000000004</v>
      </c>
      <c r="N1237" s="580"/>
    </row>
    <row r="1238" spans="4:16" x14ac:dyDescent="0.25">
      <c r="D1238" s="559" t="s">
        <v>867</v>
      </c>
      <c r="E1238" s="558">
        <v>310981</v>
      </c>
      <c r="F1238" s="559">
        <v>300891</v>
      </c>
      <c r="G1238" s="558" t="s">
        <v>2129</v>
      </c>
      <c r="H1238" s="564">
        <v>40015</v>
      </c>
      <c r="I1238" s="563">
        <v>64.349999999999994</v>
      </c>
      <c r="J1238" s="563">
        <v>-64.349999999999994</v>
      </c>
      <c r="K1238" s="582">
        <f t="shared" si="54"/>
        <v>0</v>
      </c>
      <c r="L1238" s="563">
        <f t="shared" si="55"/>
        <v>0</v>
      </c>
      <c r="M1238" s="563">
        <f t="shared" si="56"/>
        <v>70.784999999999997</v>
      </c>
      <c r="N1238" s="580"/>
    </row>
    <row r="1239" spans="4:16" x14ac:dyDescent="0.25">
      <c r="D1239" s="559" t="s">
        <v>867</v>
      </c>
      <c r="E1239" s="558">
        <v>310982</v>
      </c>
      <c r="F1239" s="559">
        <v>302168</v>
      </c>
      <c r="G1239" s="558" t="s">
        <v>4835</v>
      </c>
      <c r="H1239" s="564">
        <v>40015</v>
      </c>
      <c r="I1239" s="563">
        <v>64.349999999999994</v>
      </c>
      <c r="J1239" s="563">
        <v>-64.349999999999994</v>
      </c>
      <c r="K1239" s="563">
        <f t="shared" si="54"/>
        <v>0</v>
      </c>
      <c r="L1239" s="563">
        <f t="shared" si="55"/>
        <v>0</v>
      </c>
      <c r="M1239" s="563">
        <f t="shared" si="56"/>
        <v>70.784999999999997</v>
      </c>
      <c r="N1239" s="580"/>
      <c r="O1239" s="558"/>
      <c r="P1239" s="564"/>
    </row>
    <row r="1240" spans="4:16" x14ac:dyDescent="0.25">
      <c r="D1240" s="559" t="s">
        <v>867</v>
      </c>
      <c r="E1240" s="558">
        <v>310983</v>
      </c>
      <c r="F1240" s="559">
        <v>300059</v>
      </c>
      <c r="G1240" s="558" t="s">
        <v>4835</v>
      </c>
      <c r="H1240" s="564">
        <v>40015</v>
      </c>
      <c r="I1240" s="563">
        <v>64.349999999999994</v>
      </c>
      <c r="J1240" s="563">
        <v>-64.349999999999994</v>
      </c>
      <c r="K1240" s="582">
        <f t="shared" si="54"/>
        <v>0</v>
      </c>
      <c r="L1240" s="563">
        <f t="shared" si="55"/>
        <v>0</v>
      </c>
      <c r="M1240" s="563">
        <f t="shared" si="56"/>
        <v>70.784999999999997</v>
      </c>
      <c r="N1240" s="580"/>
    </row>
    <row r="1241" spans="4:16" x14ac:dyDescent="0.25">
      <c r="D1241" s="559" t="s">
        <v>867</v>
      </c>
      <c r="E1241" s="558">
        <v>310984</v>
      </c>
      <c r="F1241" s="559">
        <v>302037</v>
      </c>
      <c r="G1241" s="558" t="s">
        <v>4835</v>
      </c>
      <c r="H1241" s="564">
        <v>40015</v>
      </c>
      <c r="I1241" s="563">
        <v>64.349999999999994</v>
      </c>
      <c r="J1241" s="563">
        <v>-64.349999999999994</v>
      </c>
      <c r="K1241" s="582">
        <f t="shared" si="54"/>
        <v>0</v>
      </c>
      <c r="L1241" s="563">
        <f t="shared" si="55"/>
        <v>0</v>
      </c>
      <c r="M1241" s="563">
        <f t="shared" si="56"/>
        <v>70.784999999999997</v>
      </c>
      <c r="N1241" s="580"/>
    </row>
    <row r="1242" spans="4:16" x14ac:dyDescent="0.25">
      <c r="D1242" s="559" t="s">
        <v>867</v>
      </c>
      <c r="E1242" s="558">
        <v>310986</v>
      </c>
      <c r="F1242" s="559">
        <v>302046</v>
      </c>
      <c r="G1242" s="558" t="s">
        <v>4835</v>
      </c>
      <c r="H1242" s="564">
        <v>40015</v>
      </c>
      <c r="I1242" s="563">
        <v>64.349999999999994</v>
      </c>
      <c r="J1242" s="563">
        <v>-64.349999999999994</v>
      </c>
      <c r="K1242" s="582">
        <f t="shared" si="54"/>
        <v>0</v>
      </c>
      <c r="L1242" s="563">
        <f t="shared" si="55"/>
        <v>0</v>
      </c>
      <c r="M1242" s="563">
        <f t="shared" si="56"/>
        <v>70.784999999999997</v>
      </c>
      <c r="N1242" s="580"/>
    </row>
    <row r="1243" spans="4:16" x14ac:dyDescent="0.25">
      <c r="D1243" s="559" t="s">
        <v>867</v>
      </c>
      <c r="E1243" s="558">
        <v>310987</v>
      </c>
      <c r="F1243" s="559">
        <v>301742</v>
      </c>
      <c r="G1243" s="558" t="s">
        <v>4835</v>
      </c>
      <c r="H1243" s="564">
        <v>40015</v>
      </c>
      <c r="I1243" s="563">
        <v>64.349999999999994</v>
      </c>
      <c r="J1243" s="563">
        <v>-64.349999999999994</v>
      </c>
      <c r="K1243" s="582">
        <f t="shared" si="54"/>
        <v>0</v>
      </c>
      <c r="L1243" s="563">
        <f t="shared" si="55"/>
        <v>0</v>
      </c>
      <c r="M1243" s="563">
        <f t="shared" si="56"/>
        <v>70.784999999999997</v>
      </c>
      <c r="N1243" s="580"/>
    </row>
    <row r="1244" spans="4:16" x14ac:dyDescent="0.25">
      <c r="D1244" s="559" t="s">
        <v>867</v>
      </c>
      <c r="E1244" s="558">
        <v>310988</v>
      </c>
      <c r="F1244" s="559">
        <v>300869</v>
      </c>
      <c r="G1244" s="558" t="s">
        <v>2130</v>
      </c>
      <c r="H1244" s="564">
        <v>40015</v>
      </c>
      <c r="I1244" s="563">
        <v>727.35</v>
      </c>
      <c r="J1244" s="563">
        <v>-585</v>
      </c>
      <c r="K1244" s="582">
        <f t="shared" si="54"/>
        <v>142.35000000000002</v>
      </c>
      <c r="L1244" s="563">
        <f t="shared" si="55"/>
        <v>156.58500000000004</v>
      </c>
      <c r="M1244" s="563">
        <f t="shared" si="56"/>
        <v>800.08500000000004</v>
      </c>
      <c r="N1244" s="580"/>
    </row>
    <row r="1245" spans="4:16" x14ac:dyDescent="0.25">
      <c r="D1245" s="559" t="s">
        <v>867</v>
      </c>
      <c r="E1245" s="558">
        <v>310989</v>
      </c>
      <c r="F1245" s="559">
        <v>300093</v>
      </c>
      <c r="G1245" s="558" t="s">
        <v>2130</v>
      </c>
      <c r="H1245" s="564">
        <v>40015</v>
      </c>
      <c r="I1245" s="563">
        <v>532.35</v>
      </c>
      <c r="J1245" s="563">
        <v>-532.35</v>
      </c>
      <c r="K1245" s="582">
        <f t="shared" si="54"/>
        <v>0</v>
      </c>
      <c r="L1245" s="563">
        <f t="shared" si="55"/>
        <v>0</v>
      </c>
      <c r="M1245" s="563">
        <f t="shared" si="56"/>
        <v>585.58500000000004</v>
      </c>
      <c r="N1245" s="580"/>
    </row>
    <row r="1246" spans="4:16" x14ac:dyDescent="0.25">
      <c r="D1246" s="559" t="s">
        <v>867</v>
      </c>
      <c r="E1246" s="558">
        <v>310990</v>
      </c>
      <c r="F1246" s="559">
        <v>301037</v>
      </c>
      <c r="G1246" s="558" t="s">
        <v>2130</v>
      </c>
      <c r="H1246" s="564">
        <v>40015</v>
      </c>
      <c r="I1246" s="563">
        <v>64.349999999999994</v>
      </c>
      <c r="J1246" s="563">
        <v>-64.349999999999994</v>
      </c>
      <c r="K1246" s="582">
        <f t="shared" si="54"/>
        <v>0</v>
      </c>
      <c r="L1246" s="563">
        <f t="shared" si="55"/>
        <v>0</v>
      </c>
      <c r="M1246" s="563">
        <f t="shared" si="56"/>
        <v>70.784999999999997</v>
      </c>
      <c r="N1246" s="580"/>
    </row>
    <row r="1247" spans="4:16" x14ac:dyDescent="0.25">
      <c r="D1247" s="559" t="s">
        <v>867</v>
      </c>
      <c r="E1247" s="558">
        <v>310991</v>
      </c>
      <c r="F1247" s="559">
        <v>300650</v>
      </c>
      <c r="G1247" s="558" t="s">
        <v>2130</v>
      </c>
      <c r="H1247" s="564">
        <v>40015</v>
      </c>
      <c r="I1247" s="563">
        <v>64.349999999999994</v>
      </c>
      <c r="J1247" s="563">
        <v>-64.349999999999994</v>
      </c>
      <c r="K1247" s="582">
        <f t="shared" si="54"/>
        <v>0</v>
      </c>
      <c r="L1247" s="563">
        <f t="shared" si="55"/>
        <v>0</v>
      </c>
      <c r="M1247" s="563">
        <f t="shared" si="56"/>
        <v>70.784999999999997</v>
      </c>
      <c r="N1247" s="580"/>
    </row>
    <row r="1248" spans="4:16" x14ac:dyDescent="0.25">
      <c r="D1248" s="559" t="s">
        <v>867</v>
      </c>
      <c r="E1248" s="558">
        <v>310992</v>
      </c>
      <c r="F1248" s="559">
        <v>301471</v>
      </c>
      <c r="G1248" s="558" t="s">
        <v>2130</v>
      </c>
      <c r="H1248" s="564">
        <v>40015</v>
      </c>
      <c r="I1248" s="563">
        <v>64.349999999999994</v>
      </c>
      <c r="J1248" s="563">
        <v>-64.349999999999994</v>
      </c>
      <c r="K1248" s="582">
        <f t="shared" si="54"/>
        <v>0</v>
      </c>
      <c r="L1248" s="563">
        <f t="shared" si="55"/>
        <v>0</v>
      </c>
      <c r="M1248" s="563">
        <f t="shared" si="56"/>
        <v>70.784999999999997</v>
      </c>
      <c r="N1248" s="580"/>
    </row>
    <row r="1249" spans="4:16" x14ac:dyDescent="0.25">
      <c r="D1249" s="559" t="s">
        <v>867</v>
      </c>
      <c r="E1249" s="558">
        <v>310994</v>
      </c>
      <c r="F1249" s="559">
        <v>300875</v>
      </c>
      <c r="G1249" s="558" t="s">
        <v>4836</v>
      </c>
      <c r="H1249" s="564">
        <v>40015</v>
      </c>
      <c r="I1249" s="563">
        <v>727.35</v>
      </c>
      <c r="J1249" s="563">
        <v>-585</v>
      </c>
      <c r="K1249" s="582">
        <f t="shared" si="54"/>
        <v>142.35000000000002</v>
      </c>
      <c r="L1249" s="563">
        <f t="shared" si="55"/>
        <v>156.58500000000004</v>
      </c>
      <c r="M1249" s="563">
        <f t="shared" si="56"/>
        <v>800.08500000000004</v>
      </c>
      <c r="N1249" s="580"/>
    </row>
    <row r="1250" spans="4:16" x14ac:dyDescent="0.25">
      <c r="D1250" s="559" t="s">
        <v>867</v>
      </c>
      <c r="E1250" s="558">
        <v>310995</v>
      </c>
      <c r="F1250" s="559">
        <v>300446</v>
      </c>
      <c r="G1250" s="558" t="s">
        <v>4836</v>
      </c>
      <c r="H1250" s="564">
        <v>40015</v>
      </c>
      <c r="I1250" s="563">
        <v>468</v>
      </c>
      <c r="J1250" s="563">
        <v>-468</v>
      </c>
      <c r="K1250" s="582">
        <f t="shared" si="54"/>
        <v>0</v>
      </c>
      <c r="L1250" s="563">
        <f t="shared" si="55"/>
        <v>0</v>
      </c>
      <c r="M1250" s="563">
        <f t="shared" si="56"/>
        <v>514.80000000000007</v>
      </c>
      <c r="N1250" s="580"/>
    </row>
    <row r="1251" spans="4:16" x14ac:dyDescent="0.25">
      <c r="D1251" s="559" t="s">
        <v>867</v>
      </c>
      <c r="E1251" s="558">
        <v>310996</v>
      </c>
      <c r="F1251" s="559">
        <v>301379</v>
      </c>
      <c r="G1251" s="558" t="s">
        <v>4836</v>
      </c>
      <c r="H1251" s="564">
        <v>40015</v>
      </c>
      <c r="I1251" s="563">
        <v>64.349999999999994</v>
      </c>
      <c r="J1251" s="563">
        <v>-64.349999999999994</v>
      </c>
      <c r="K1251" s="582">
        <f t="shared" si="54"/>
        <v>0</v>
      </c>
      <c r="L1251" s="563">
        <f t="shared" si="55"/>
        <v>0</v>
      </c>
      <c r="M1251" s="563">
        <f t="shared" si="56"/>
        <v>70.784999999999997</v>
      </c>
      <c r="N1251" s="580"/>
    </row>
    <row r="1252" spans="4:16" x14ac:dyDescent="0.25">
      <c r="D1252" s="559" t="s">
        <v>867</v>
      </c>
      <c r="E1252" s="558">
        <v>310997</v>
      </c>
      <c r="F1252" s="559">
        <v>300286</v>
      </c>
      <c r="G1252" s="558" t="s">
        <v>4836</v>
      </c>
      <c r="H1252" s="564">
        <v>40015</v>
      </c>
      <c r="I1252" s="563">
        <v>64.349999999999994</v>
      </c>
      <c r="J1252" s="563">
        <v>-64.349999999999994</v>
      </c>
      <c r="K1252" s="563">
        <f t="shared" si="54"/>
        <v>0</v>
      </c>
      <c r="L1252" s="563">
        <f t="shared" si="55"/>
        <v>0</v>
      </c>
      <c r="M1252" s="563">
        <f t="shared" si="56"/>
        <v>70.784999999999997</v>
      </c>
      <c r="N1252" s="580"/>
      <c r="O1252" s="558"/>
      <c r="P1252" s="564"/>
    </row>
    <row r="1253" spans="4:16" x14ac:dyDescent="0.25">
      <c r="D1253" s="559" t="s">
        <v>867</v>
      </c>
      <c r="E1253" s="558">
        <v>310998</v>
      </c>
      <c r="F1253" s="559">
        <v>300577</v>
      </c>
      <c r="G1253" s="558" t="s">
        <v>4836</v>
      </c>
      <c r="H1253" s="564">
        <v>40015</v>
      </c>
      <c r="I1253" s="563">
        <v>64.349999999999994</v>
      </c>
      <c r="J1253" s="563">
        <v>-64.349999999999994</v>
      </c>
      <c r="K1253" s="582">
        <f t="shared" si="54"/>
        <v>0</v>
      </c>
      <c r="L1253" s="563">
        <f t="shared" si="55"/>
        <v>0</v>
      </c>
      <c r="M1253" s="563">
        <f t="shared" si="56"/>
        <v>70.784999999999997</v>
      </c>
      <c r="N1253" s="580"/>
    </row>
    <row r="1254" spans="4:16" x14ac:dyDescent="0.25">
      <c r="D1254" s="559" t="s">
        <v>867</v>
      </c>
      <c r="E1254" s="558">
        <v>310999</v>
      </c>
      <c r="F1254" s="559">
        <v>301571</v>
      </c>
      <c r="G1254" s="558" t="s">
        <v>2131</v>
      </c>
      <c r="H1254" s="564">
        <v>40015</v>
      </c>
      <c r="I1254" s="563">
        <v>727.35</v>
      </c>
      <c r="J1254" s="563">
        <v>-585</v>
      </c>
      <c r="K1254" s="582">
        <f t="shared" si="54"/>
        <v>142.35000000000002</v>
      </c>
      <c r="L1254" s="563">
        <f t="shared" si="55"/>
        <v>156.58500000000004</v>
      </c>
      <c r="M1254" s="563">
        <f t="shared" si="56"/>
        <v>800.08500000000004</v>
      </c>
      <c r="N1254" s="580"/>
    </row>
    <row r="1255" spans="4:16" x14ac:dyDescent="0.25">
      <c r="D1255" s="559" t="s">
        <v>867</v>
      </c>
      <c r="E1255" s="558">
        <v>311000</v>
      </c>
      <c r="F1255" s="559">
        <v>300473</v>
      </c>
      <c r="G1255" s="558" t="s">
        <v>2131</v>
      </c>
      <c r="H1255" s="564">
        <v>40015</v>
      </c>
      <c r="I1255" s="563">
        <v>727.35</v>
      </c>
      <c r="J1255" s="563">
        <v>-585</v>
      </c>
      <c r="K1255" s="582">
        <f t="shared" si="54"/>
        <v>142.35000000000002</v>
      </c>
      <c r="L1255" s="563">
        <f t="shared" si="55"/>
        <v>156.58500000000004</v>
      </c>
      <c r="M1255" s="563">
        <f t="shared" si="56"/>
        <v>800.08500000000004</v>
      </c>
      <c r="N1255" s="580"/>
    </row>
    <row r="1256" spans="4:16" x14ac:dyDescent="0.25">
      <c r="D1256" s="559" t="s">
        <v>867</v>
      </c>
      <c r="E1256" s="558">
        <v>311001</v>
      </c>
      <c r="F1256" s="559">
        <v>300964</v>
      </c>
      <c r="G1256" s="558" t="s">
        <v>2131</v>
      </c>
      <c r="H1256" s="564">
        <v>40015</v>
      </c>
      <c r="I1256" s="563">
        <v>64.349999999999994</v>
      </c>
      <c r="J1256" s="563">
        <v>-64.349999999999994</v>
      </c>
      <c r="K1256" s="582">
        <f t="shared" si="54"/>
        <v>0</v>
      </c>
      <c r="L1256" s="563">
        <f t="shared" si="55"/>
        <v>0</v>
      </c>
      <c r="M1256" s="563">
        <f t="shared" si="56"/>
        <v>70.784999999999997</v>
      </c>
      <c r="N1256" s="580"/>
    </row>
    <row r="1257" spans="4:16" x14ac:dyDescent="0.25">
      <c r="D1257" s="559" t="s">
        <v>867</v>
      </c>
      <c r="E1257" s="558">
        <v>311002</v>
      </c>
      <c r="F1257" s="559">
        <v>300139</v>
      </c>
      <c r="G1257" s="558" t="s">
        <v>2131</v>
      </c>
      <c r="H1257" s="564">
        <v>40015</v>
      </c>
      <c r="I1257" s="563">
        <v>727.35</v>
      </c>
      <c r="J1257" s="563">
        <v>-585</v>
      </c>
      <c r="K1257" s="582">
        <f t="shared" ref="K1257:K1320" si="57">+I1257+J1257</f>
        <v>142.35000000000002</v>
      </c>
      <c r="L1257" s="563">
        <f t="shared" ref="L1257:L1320" si="58">+K1257*1.1</f>
        <v>156.58500000000004</v>
      </c>
      <c r="M1257" s="563">
        <f t="shared" ref="M1257:M1320" si="59">+I1257*1.1</f>
        <v>800.08500000000004</v>
      </c>
      <c r="N1257" s="580"/>
    </row>
    <row r="1258" spans="4:16" x14ac:dyDescent="0.25">
      <c r="D1258" s="559" t="s">
        <v>867</v>
      </c>
      <c r="E1258" s="558">
        <v>311003</v>
      </c>
      <c r="F1258" s="559">
        <v>301162</v>
      </c>
      <c r="G1258" s="558" t="s">
        <v>2131</v>
      </c>
      <c r="H1258" s="564">
        <v>40015</v>
      </c>
      <c r="I1258" s="563">
        <v>64.349999999999994</v>
      </c>
      <c r="J1258" s="563">
        <v>-64.349999999999994</v>
      </c>
      <c r="K1258" s="582">
        <f t="shared" si="57"/>
        <v>0</v>
      </c>
      <c r="L1258" s="563">
        <f t="shared" si="58"/>
        <v>0</v>
      </c>
      <c r="M1258" s="563">
        <f t="shared" si="59"/>
        <v>70.784999999999997</v>
      </c>
      <c r="N1258" s="580"/>
    </row>
    <row r="1259" spans="4:16" x14ac:dyDescent="0.25">
      <c r="D1259" s="559" t="s">
        <v>867</v>
      </c>
      <c r="E1259" s="558">
        <v>311005</v>
      </c>
      <c r="F1259" s="559">
        <v>301615</v>
      </c>
      <c r="G1259" s="558" t="s">
        <v>2132</v>
      </c>
      <c r="H1259" s="564">
        <v>40015</v>
      </c>
      <c r="I1259" s="563">
        <v>727.35</v>
      </c>
      <c r="J1259" s="563">
        <v>-585</v>
      </c>
      <c r="K1259" s="582">
        <f t="shared" si="57"/>
        <v>142.35000000000002</v>
      </c>
      <c r="L1259" s="563">
        <f t="shared" si="58"/>
        <v>156.58500000000004</v>
      </c>
      <c r="M1259" s="563">
        <f t="shared" si="59"/>
        <v>800.08500000000004</v>
      </c>
      <c r="N1259" s="580"/>
    </row>
    <row r="1260" spans="4:16" x14ac:dyDescent="0.25">
      <c r="D1260" s="559" t="s">
        <v>867</v>
      </c>
      <c r="E1260" s="558">
        <v>311006</v>
      </c>
      <c r="F1260" s="559">
        <v>302139</v>
      </c>
      <c r="G1260" s="558" t="s">
        <v>2132</v>
      </c>
      <c r="H1260" s="564">
        <v>40015</v>
      </c>
      <c r="I1260" s="563">
        <v>727.35</v>
      </c>
      <c r="J1260" s="563">
        <v>-585</v>
      </c>
      <c r="K1260" s="582">
        <f t="shared" si="57"/>
        <v>142.35000000000002</v>
      </c>
      <c r="L1260" s="563">
        <f t="shared" si="58"/>
        <v>156.58500000000004</v>
      </c>
      <c r="M1260" s="563">
        <f t="shared" si="59"/>
        <v>800.08500000000004</v>
      </c>
      <c r="N1260" s="580"/>
    </row>
    <row r="1261" spans="4:16" x14ac:dyDescent="0.25">
      <c r="D1261" s="559" t="s">
        <v>867</v>
      </c>
      <c r="E1261" s="558">
        <v>311007</v>
      </c>
      <c r="F1261" s="559">
        <v>300967</v>
      </c>
      <c r="G1261" s="558" t="s">
        <v>2132</v>
      </c>
      <c r="H1261" s="564">
        <v>40015</v>
      </c>
      <c r="I1261" s="563">
        <v>727.35</v>
      </c>
      <c r="J1261" s="563">
        <v>-585</v>
      </c>
      <c r="K1261" s="582">
        <f t="shared" si="57"/>
        <v>142.35000000000002</v>
      </c>
      <c r="L1261" s="563">
        <f t="shared" si="58"/>
        <v>156.58500000000004</v>
      </c>
      <c r="M1261" s="563">
        <f t="shared" si="59"/>
        <v>800.08500000000004</v>
      </c>
      <c r="N1261" s="580"/>
    </row>
    <row r="1262" spans="4:16" x14ac:dyDescent="0.25">
      <c r="D1262" s="559" t="s">
        <v>867</v>
      </c>
      <c r="E1262" s="558">
        <v>311010</v>
      </c>
      <c r="F1262" s="559">
        <v>302141</v>
      </c>
      <c r="G1262" s="558" t="s">
        <v>2132</v>
      </c>
      <c r="H1262" s="564">
        <v>40015</v>
      </c>
      <c r="I1262" s="563">
        <v>64.349999999999994</v>
      </c>
      <c r="J1262" s="563">
        <v>-64.349999999999994</v>
      </c>
      <c r="K1262" s="582">
        <f t="shared" si="57"/>
        <v>0</v>
      </c>
      <c r="L1262" s="563">
        <f t="shared" si="58"/>
        <v>0</v>
      </c>
      <c r="M1262" s="563">
        <f t="shared" si="59"/>
        <v>70.784999999999997</v>
      </c>
      <c r="N1262" s="580"/>
    </row>
    <row r="1263" spans="4:16" x14ac:dyDescent="0.25">
      <c r="D1263" s="559" t="s">
        <v>867</v>
      </c>
      <c r="E1263" s="558">
        <v>311011</v>
      </c>
      <c r="F1263" s="559">
        <v>300148</v>
      </c>
      <c r="G1263" s="558" t="s">
        <v>2132</v>
      </c>
      <c r="H1263" s="564">
        <v>40015</v>
      </c>
      <c r="I1263" s="563">
        <v>64.349999999999994</v>
      </c>
      <c r="J1263" s="563">
        <v>-64.349999999999994</v>
      </c>
      <c r="K1263" s="582">
        <f t="shared" si="57"/>
        <v>0</v>
      </c>
      <c r="L1263" s="563">
        <f t="shared" si="58"/>
        <v>0</v>
      </c>
      <c r="M1263" s="563">
        <f t="shared" si="59"/>
        <v>70.784999999999997</v>
      </c>
      <c r="N1263" s="580"/>
    </row>
    <row r="1264" spans="4:16" x14ac:dyDescent="0.25">
      <c r="D1264" s="559" t="s">
        <v>867</v>
      </c>
      <c r="E1264" s="558">
        <v>311012</v>
      </c>
      <c r="F1264" s="559">
        <v>300299</v>
      </c>
      <c r="G1264" s="558" t="s">
        <v>2133</v>
      </c>
      <c r="H1264" s="564">
        <v>40015</v>
      </c>
      <c r="I1264" s="563">
        <v>64.349999999999994</v>
      </c>
      <c r="J1264" s="563">
        <v>-64.349999999999994</v>
      </c>
      <c r="K1264" s="582">
        <f t="shared" si="57"/>
        <v>0</v>
      </c>
      <c r="L1264" s="563">
        <f t="shared" si="58"/>
        <v>0</v>
      </c>
      <c r="M1264" s="563">
        <f t="shared" si="59"/>
        <v>70.784999999999997</v>
      </c>
      <c r="N1264" s="580"/>
    </row>
    <row r="1265" spans="4:14" x14ac:dyDescent="0.25">
      <c r="D1265" s="559" t="s">
        <v>867</v>
      </c>
      <c r="E1265" s="558">
        <v>311018</v>
      </c>
      <c r="F1265" s="559">
        <v>301895</v>
      </c>
      <c r="G1265" s="558" t="s">
        <v>2133</v>
      </c>
      <c r="H1265" s="564">
        <v>40015</v>
      </c>
      <c r="I1265" s="563">
        <v>727.35</v>
      </c>
      <c r="J1265" s="563">
        <v>-585</v>
      </c>
      <c r="K1265" s="582">
        <f t="shared" si="57"/>
        <v>142.35000000000002</v>
      </c>
      <c r="L1265" s="563">
        <f t="shared" si="58"/>
        <v>156.58500000000004</v>
      </c>
      <c r="M1265" s="563">
        <f t="shared" si="59"/>
        <v>800.08500000000004</v>
      </c>
      <c r="N1265" s="580"/>
    </row>
    <row r="1266" spans="4:14" x14ac:dyDescent="0.25">
      <c r="D1266" s="559" t="s">
        <v>867</v>
      </c>
      <c r="E1266" s="558">
        <v>311019</v>
      </c>
      <c r="F1266" s="559">
        <v>301846</v>
      </c>
      <c r="G1266" s="558" t="s">
        <v>2133</v>
      </c>
      <c r="H1266" s="564">
        <v>40015</v>
      </c>
      <c r="I1266" s="563">
        <v>64.349999999999994</v>
      </c>
      <c r="J1266" s="563">
        <v>-64.349999999999994</v>
      </c>
      <c r="K1266" s="582">
        <f t="shared" si="57"/>
        <v>0</v>
      </c>
      <c r="L1266" s="563">
        <f t="shared" si="58"/>
        <v>0</v>
      </c>
      <c r="M1266" s="563">
        <f t="shared" si="59"/>
        <v>70.784999999999997</v>
      </c>
      <c r="N1266" s="580"/>
    </row>
    <row r="1267" spans="4:14" x14ac:dyDescent="0.25">
      <c r="D1267" s="559" t="s">
        <v>867</v>
      </c>
      <c r="E1267" s="558">
        <v>311020</v>
      </c>
      <c r="F1267" s="559">
        <v>300130</v>
      </c>
      <c r="G1267" s="558" t="s">
        <v>2133</v>
      </c>
      <c r="H1267" s="564">
        <v>40015</v>
      </c>
      <c r="I1267" s="563">
        <v>64.349999999999994</v>
      </c>
      <c r="J1267" s="563">
        <v>-64.349999999999994</v>
      </c>
      <c r="K1267" s="582">
        <f t="shared" si="57"/>
        <v>0</v>
      </c>
      <c r="L1267" s="563">
        <f t="shared" si="58"/>
        <v>0</v>
      </c>
      <c r="M1267" s="563">
        <f t="shared" si="59"/>
        <v>70.784999999999997</v>
      </c>
      <c r="N1267" s="580"/>
    </row>
    <row r="1268" spans="4:14" x14ac:dyDescent="0.25">
      <c r="D1268" s="559" t="s">
        <v>867</v>
      </c>
      <c r="E1268" s="558">
        <v>311024</v>
      </c>
      <c r="F1268" s="559">
        <v>301106</v>
      </c>
      <c r="G1268" s="558" t="s">
        <v>2133</v>
      </c>
      <c r="H1268" s="564">
        <v>40015</v>
      </c>
      <c r="I1268" s="563">
        <v>25.35</v>
      </c>
      <c r="J1268" s="563">
        <v>-25.35</v>
      </c>
      <c r="K1268" s="582">
        <f t="shared" si="57"/>
        <v>0</v>
      </c>
      <c r="L1268" s="563">
        <f t="shared" si="58"/>
        <v>0</v>
      </c>
      <c r="M1268" s="563">
        <f t="shared" si="59"/>
        <v>27.885000000000005</v>
      </c>
      <c r="N1268" s="580"/>
    </row>
    <row r="1269" spans="4:14" x14ac:dyDescent="0.25">
      <c r="D1269" s="559" t="s">
        <v>867</v>
      </c>
      <c r="E1269" s="558">
        <v>311029</v>
      </c>
      <c r="F1269" s="559">
        <v>301121</v>
      </c>
      <c r="G1269" s="558" t="s">
        <v>2134</v>
      </c>
      <c r="H1269" s="564">
        <v>40015</v>
      </c>
      <c r="I1269" s="563">
        <v>454.35</v>
      </c>
      <c r="J1269" s="563">
        <v>-454.35</v>
      </c>
      <c r="K1269" s="582">
        <f t="shared" si="57"/>
        <v>0</v>
      </c>
      <c r="L1269" s="563">
        <f t="shared" si="58"/>
        <v>0</v>
      </c>
      <c r="M1269" s="563">
        <f t="shared" si="59"/>
        <v>499.78500000000008</v>
      </c>
      <c r="N1269" s="580"/>
    </row>
    <row r="1270" spans="4:14" x14ac:dyDescent="0.25">
      <c r="D1270" s="559" t="s">
        <v>867</v>
      </c>
      <c r="E1270" s="558">
        <v>311035</v>
      </c>
      <c r="F1270" s="559">
        <v>300543</v>
      </c>
      <c r="G1270" s="558" t="s">
        <v>2134</v>
      </c>
      <c r="H1270" s="564">
        <v>40015</v>
      </c>
      <c r="I1270" s="563">
        <v>727.35</v>
      </c>
      <c r="J1270" s="563">
        <v>-585</v>
      </c>
      <c r="K1270" s="582">
        <f t="shared" si="57"/>
        <v>142.35000000000002</v>
      </c>
      <c r="L1270" s="563">
        <f t="shared" si="58"/>
        <v>156.58500000000004</v>
      </c>
      <c r="M1270" s="563">
        <f t="shared" si="59"/>
        <v>800.08500000000004</v>
      </c>
      <c r="N1270" s="580"/>
    </row>
    <row r="1271" spans="4:14" x14ac:dyDescent="0.25">
      <c r="D1271" s="559" t="s">
        <v>867</v>
      </c>
      <c r="E1271" s="558">
        <v>311036</v>
      </c>
      <c r="F1271" s="559">
        <v>301579</v>
      </c>
      <c r="G1271" s="558" t="s">
        <v>2134</v>
      </c>
      <c r="H1271" s="564">
        <v>40015</v>
      </c>
      <c r="I1271" s="563">
        <v>493.35</v>
      </c>
      <c r="J1271" s="563">
        <v>-493.35</v>
      </c>
      <c r="K1271" s="582">
        <f t="shared" si="57"/>
        <v>0</v>
      </c>
      <c r="L1271" s="563">
        <f t="shared" si="58"/>
        <v>0</v>
      </c>
      <c r="M1271" s="563">
        <f t="shared" si="59"/>
        <v>542.68500000000006</v>
      </c>
      <c r="N1271" s="580"/>
    </row>
    <row r="1272" spans="4:14" x14ac:dyDescent="0.25">
      <c r="D1272" s="559" t="s">
        <v>867</v>
      </c>
      <c r="E1272" s="558">
        <v>311039</v>
      </c>
      <c r="F1272" s="559">
        <v>301004</v>
      </c>
      <c r="G1272" s="558" t="s">
        <v>2134</v>
      </c>
      <c r="H1272" s="564">
        <v>40015</v>
      </c>
      <c r="I1272" s="563">
        <v>571.35</v>
      </c>
      <c r="J1272" s="563">
        <v>-571.35</v>
      </c>
      <c r="K1272" s="582">
        <f t="shared" si="57"/>
        <v>0</v>
      </c>
      <c r="L1272" s="563">
        <f t="shared" si="58"/>
        <v>0</v>
      </c>
      <c r="M1272" s="563">
        <f t="shared" si="59"/>
        <v>628.48500000000013</v>
      </c>
      <c r="N1272" s="580"/>
    </row>
    <row r="1273" spans="4:14" x14ac:dyDescent="0.25">
      <c r="D1273" s="559" t="s">
        <v>867</v>
      </c>
      <c r="E1273" s="558">
        <v>311040</v>
      </c>
      <c r="F1273" s="559">
        <v>300370</v>
      </c>
      <c r="G1273" s="558" t="s">
        <v>2134</v>
      </c>
      <c r="H1273" s="564">
        <v>40015</v>
      </c>
      <c r="I1273" s="563">
        <v>727.35</v>
      </c>
      <c r="J1273" s="563">
        <v>-585</v>
      </c>
      <c r="K1273" s="582">
        <f t="shared" si="57"/>
        <v>142.35000000000002</v>
      </c>
      <c r="L1273" s="563">
        <f t="shared" si="58"/>
        <v>156.58500000000004</v>
      </c>
      <c r="M1273" s="563">
        <f t="shared" si="59"/>
        <v>800.08500000000004</v>
      </c>
      <c r="N1273" s="580"/>
    </row>
    <row r="1274" spans="4:14" x14ac:dyDescent="0.25">
      <c r="D1274" s="559" t="s">
        <v>867</v>
      </c>
      <c r="E1274" s="558">
        <v>311042</v>
      </c>
      <c r="F1274" s="559">
        <v>300456</v>
      </c>
      <c r="G1274" s="558" t="s">
        <v>2135</v>
      </c>
      <c r="H1274" s="564">
        <v>40015</v>
      </c>
      <c r="I1274" s="563">
        <v>64.349999999999994</v>
      </c>
      <c r="J1274" s="563">
        <v>-64.349999999999994</v>
      </c>
      <c r="K1274" s="582">
        <f t="shared" si="57"/>
        <v>0</v>
      </c>
      <c r="L1274" s="563">
        <f t="shared" si="58"/>
        <v>0</v>
      </c>
      <c r="M1274" s="563">
        <f t="shared" si="59"/>
        <v>70.784999999999997</v>
      </c>
      <c r="N1274" s="580"/>
    </row>
    <row r="1275" spans="4:14" x14ac:dyDescent="0.25">
      <c r="D1275" s="559" t="s">
        <v>867</v>
      </c>
      <c r="E1275" s="558">
        <v>311043</v>
      </c>
      <c r="F1275" s="559">
        <v>301409</v>
      </c>
      <c r="G1275" s="558" t="s">
        <v>2135</v>
      </c>
      <c r="H1275" s="564">
        <v>40015</v>
      </c>
      <c r="I1275" s="563">
        <v>64.349999999999994</v>
      </c>
      <c r="J1275" s="563">
        <v>-64.349999999999994</v>
      </c>
      <c r="K1275" s="582">
        <f t="shared" si="57"/>
        <v>0</v>
      </c>
      <c r="L1275" s="563">
        <f t="shared" si="58"/>
        <v>0</v>
      </c>
      <c r="M1275" s="563">
        <f t="shared" si="59"/>
        <v>70.784999999999997</v>
      </c>
      <c r="N1275" s="580"/>
    </row>
    <row r="1276" spans="4:14" x14ac:dyDescent="0.25">
      <c r="D1276" s="559" t="s">
        <v>867</v>
      </c>
      <c r="E1276" s="558">
        <v>311045</v>
      </c>
      <c r="F1276" s="559">
        <v>303443</v>
      </c>
      <c r="G1276" s="558" t="s">
        <v>2135</v>
      </c>
      <c r="H1276" s="564">
        <v>40015</v>
      </c>
      <c r="I1276" s="563">
        <v>64.349999999999994</v>
      </c>
      <c r="J1276" s="563">
        <v>-64.349999999999994</v>
      </c>
      <c r="K1276" s="582">
        <f t="shared" si="57"/>
        <v>0</v>
      </c>
      <c r="L1276" s="563">
        <f t="shared" si="58"/>
        <v>0</v>
      </c>
      <c r="M1276" s="563">
        <f t="shared" si="59"/>
        <v>70.784999999999997</v>
      </c>
      <c r="N1276" s="580"/>
    </row>
    <row r="1277" spans="4:14" x14ac:dyDescent="0.25">
      <c r="D1277" s="559" t="s">
        <v>867</v>
      </c>
      <c r="E1277" s="558">
        <v>311047</v>
      </c>
      <c r="F1277" s="559">
        <v>301124</v>
      </c>
      <c r="G1277" s="558" t="s">
        <v>2135</v>
      </c>
      <c r="H1277" s="564">
        <v>40015</v>
      </c>
      <c r="I1277" s="563">
        <v>64.349999999999994</v>
      </c>
      <c r="J1277" s="563">
        <v>-64.349999999999994</v>
      </c>
      <c r="K1277" s="582">
        <f t="shared" si="57"/>
        <v>0</v>
      </c>
      <c r="L1277" s="563">
        <f t="shared" si="58"/>
        <v>0</v>
      </c>
      <c r="M1277" s="563">
        <f t="shared" si="59"/>
        <v>70.784999999999997</v>
      </c>
      <c r="N1277" s="580"/>
    </row>
    <row r="1278" spans="4:14" x14ac:dyDescent="0.25">
      <c r="D1278" s="559" t="s">
        <v>867</v>
      </c>
      <c r="E1278" s="558">
        <v>311052</v>
      </c>
      <c r="F1278" s="559">
        <v>300362</v>
      </c>
      <c r="G1278" s="558" t="s">
        <v>2135</v>
      </c>
      <c r="H1278" s="564">
        <v>40015</v>
      </c>
      <c r="I1278" s="563">
        <v>64.349999999999994</v>
      </c>
      <c r="J1278" s="563">
        <v>-64.349999999999994</v>
      </c>
      <c r="K1278" s="582">
        <f t="shared" si="57"/>
        <v>0</v>
      </c>
      <c r="L1278" s="563">
        <f t="shared" si="58"/>
        <v>0</v>
      </c>
      <c r="M1278" s="563">
        <f t="shared" si="59"/>
        <v>70.784999999999997</v>
      </c>
      <c r="N1278" s="580"/>
    </row>
    <row r="1279" spans="4:14" x14ac:dyDescent="0.25">
      <c r="D1279" s="559" t="s">
        <v>867</v>
      </c>
      <c r="E1279" s="558">
        <v>311056</v>
      </c>
      <c r="F1279" s="559">
        <v>303449</v>
      </c>
      <c r="G1279" s="558" t="s">
        <v>2136</v>
      </c>
      <c r="H1279" s="564">
        <v>40015</v>
      </c>
      <c r="I1279" s="563">
        <v>727.35</v>
      </c>
      <c r="J1279" s="563">
        <v>-585</v>
      </c>
      <c r="K1279" s="582">
        <f t="shared" si="57"/>
        <v>142.35000000000002</v>
      </c>
      <c r="L1279" s="563">
        <f t="shared" si="58"/>
        <v>156.58500000000004</v>
      </c>
      <c r="M1279" s="563">
        <f t="shared" si="59"/>
        <v>800.08500000000004</v>
      </c>
      <c r="N1279" s="580"/>
    </row>
    <row r="1280" spans="4:14" x14ac:dyDescent="0.25">
      <c r="D1280" s="559" t="s">
        <v>867</v>
      </c>
      <c r="E1280" s="558">
        <v>311059</v>
      </c>
      <c r="F1280" s="559">
        <v>301480</v>
      </c>
      <c r="G1280" s="558" t="s">
        <v>2136</v>
      </c>
      <c r="H1280" s="564">
        <v>40015</v>
      </c>
      <c r="I1280" s="563">
        <v>727.35</v>
      </c>
      <c r="J1280" s="563">
        <v>-585</v>
      </c>
      <c r="K1280" s="582">
        <f t="shared" si="57"/>
        <v>142.35000000000002</v>
      </c>
      <c r="L1280" s="563">
        <f t="shared" si="58"/>
        <v>156.58500000000004</v>
      </c>
      <c r="M1280" s="563">
        <f t="shared" si="59"/>
        <v>800.08500000000004</v>
      </c>
      <c r="N1280" s="580"/>
    </row>
    <row r="1281" spans="4:14" x14ac:dyDescent="0.25">
      <c r="D1281" s="559" t="s">
        <v>867</v>
      </c>
      <c r="E1281" s="558">
        <v>311060</v>
      </c>
      <c r="F1281" s="559">
        <v>302054</v>
      </c>
      <c r="G1281" s="558" t="s">
        <v>2136</v>
      </c>
      <c r="H1281" s="564">
        <v>40015</v>
      </c>
      <c r="I1281" s="563">
        <v>727.35</v>
      </c>
      <c r="J1281" s="563">
        <v>-585</v>
      </c>
      <c r="K1281" s="582">
        <f t="shared" si="57"/>
        <v>142.35000000000002</v>
      </c>
      <c r="L1281" s="563">
        <f t="shared" si="58"/>
        <v>156.58500000000004</v>
      </c>
      <c r="M1281" s="563">
        <f t="shared" si="59"/>
        <v>800.08500000000004</v>
      </c>
      <c r="N1281" s="580"/>
    </row>
    <row r="1282" spans="4:14" x14ac:dyDescent="0.25">
      <c r="D1282" s="559" t="s">
        <v>867</v>
      </c>
      <c r="E1282" s="558">
        <v>311061</v>
      </c>
      <c r="F1282" s="559">
        <v>301445</v>
      </c>
      <c r="G1282" s="558" t="s">
        <v>2136</v>
      </c>
      <c r="H1282" s="564">
        <v>40015</v>
      </c>
      <c r="I1282" s="563">
        <v>64.349999999999994</v>
      </c>
      <c r="J1282" s="563">
        <v>-64.349999999999994</v>
      </c>
      <c r="K1282" s="582">
        <f t="shared" si="57"/>
        <v>0</v>
      </c>
      <c r="L1282" s="563">
        <f t="shared" si="58"/>
        <v>0</v>
      </c>
      <c r="M1282" s="563">
        <f t="shared" si="59"/>
        <v>70.784999999999997</v>
      </c>
      <c r="N1282" s="580"/>
    </row>
    <row r="1283" spans="4:14" x14ac:dyDescent="0.25">
      <c r="D1283" s="559" t="s">
        <v>867</v>
      </c>
      <c r="E1283" s="558">
        <v>311063</v>
      </c>
      <c r="F1283" s="559">
        <v>300141</v>
      </c>
      <c r="G1283" s="558" t="s">
        <v>2136</v>
      </c>
      <c r="H1283" s="564">
        <v>40015</v>
      </c>
      <c r="I1283" s="563">
        <v>64.349999999999994</v>
      </c>
      <c r="J1283" s="563">
        <v>-64.349999999999994</v>
      </c>
      <c r="K1283" s="582">
        <f t="shared" si="57"/>
        <v>0</v>
      </c>
      <c r="L1283" s="563">
        <f t="shared" si="58"/>
        <v>0</v>
      </c>
      <c r="M1283" s="563">
        <f t="shared" si="59"/>
        <v>70.784999999999997</v>
      </c>
      <c r="N1283" s="580"/>
    </row>
    <row r="1284" spans="4:14" x14ac:dyDescent="0.25">
      <c r="D1284" s="559" t="s">
        <v>867</v>
      </c>
      <c r="E1284" s="558">
        <v>311076</v>
      </c>
      <c r="F1284" s="559">
        <v>300693</v>
      </c>
      <c r="G1284" s="558" t="s">
        <v>2137</v>
      </c>
      <c r="H1284" s="564">
        <v>40015</v>
      </c>
      <c r="I1284" s="563">
        <v>766.35</v>
      </c>
      <c r="J1284" s="563">
        <v>-585</v>
      </c>
      <c r="K1284" s="582">
        <f t="shared" si="57"/>
        <v>181.35000000000002</v>
      </c>
      <c r="L1284" s="563">
        <f t="shared" si="58"/>
        <v>199.48500000000004</v>
      </c>
      <c r="M1284" s="563">
        <f t="shared" si="59"/>
        <v>842.98500000000013</v>
      </c>
      <c r="N1284" s="580"/>
    </row>
    <row r="1285" spans="4:14" x14ac:dyDescent="0.25">
      <c r="D1285" s="559" t="s">
        <v>867</v>
      </c>
      <c r="E1285" s="558">
        <v>311077</v>
      </c>
      <c r="F1285" s="559">
        <v>301978</v>
      </c>
      <c r="G1285" s="558" t="s">
        <v>2137</v>
      </c>
      <c r="H1285" s="564">
        <v>40015</v>
      </c>
      <c r="I1285" s="563">
        <v>727.35</v>
      </c>
      <c r="J1285" s="563">
        <v>-585</v>
      </c>
      <c r="K1285" s="582">
        <f t="shared" si="57"/>
        <v>142.35000000000002</v>
      </c>
      <c r="L1285" s="563">
        <f t="shared" si="58"/>
        <v>156.58500000000004</v>
      </c>
      <c r="M1285" s="563">
        <f t="shared" si="59"/>
        <v>800.08500000000004</v>
      </c>
      <c r="N1285" s="580"/>
    </row>
    <row r="1286" spans="4:14" x14ac:dyDescent="0.25">
      <c r="D1286" s="559" t="s">
        <v>867</v>
      </c>
      <c r="E1286" s="558">
        <v>311080</v>
      </c>
      <c r="F1286" s="559">
        <v>301426</v>
      </c>
      <c r="G1286" s="558" t="s">
        <v>2137</v>
      </c>
      <c r="H1286" s="564">
        <v>40015</v>
      </c>
      <c r="I1286" s="563">
        <v>727.35</v>
      </c>
      <c r="J1286" s="563">
        <v>-585</v>
      </c>
      <c r="K1286" s="582">
        <f t="shared" si="57"/>
        <v>142.35000000000002</v>
      </c>
      <c r="L1286" s="563">
        <f t="shared" si="58"/>
        <v>156.58500000000004</v>
      </c>
      <c r="M1286" s="563">
        <f t="shared" si="59"/>
        <v>800.08500000000004</v>
      </c>
      <c r="N1286" s="580"/>
    </row>
    <row r="1287" spans="4:14" x14ac:dyDescent="0.25">
      <c r="D1287" s="559" t="s">
        <v>867</v>
      </c>
      <c r="E1287" s="558">
        <v>311081</v>
      </c>
      <c r="F1287" s="559">
        <v>300889</v>
      </c>
      <c r="G1287" s="558" t="s">
        <v>2137</v>
      </c>
      <c r="H1287" s="564">
        <v>40015</v>
      </c>
      <c r="I1287" s="563">
        <v>64.349999999999994</v>
      </c>
      <c r="J1287" s="563">
        <v>-64.349999999999994</v>
      </c>
      <c r="K1287" s="582">
        <f t="shared" si="57"/>
        <v>0</v>
      </c>
      <c r="L1287" s="563">
        <f t="shared" si="58"/>
        <v>0</v>
      </c>
      <c r="M1287" s="563">
        <f t="shared" si="59"/>
        <v>70.784999999999997</v>
      </c>
      <c r="N1287" s="580"/>
    </row>
    <row r="1288" spans="4:14" x14ac:dyDescent="0.25">
      <c r="D1288" s="559" t="s">
        <v>867</v>
      </c>
      <c r="E1288" s="558">
        <v>311082</v>
      </c>
      <c r="F1288" s="559">
        <v>302045</v>
      </c>
      <c r="G1288" s="558" t="s">
        <v>2137</v>
      </c>
      <c r="H1288" s="564">
        <v>40015</v>
      </c>
      <c r="I1288" s="563">
        <v>493.35</v>
      </c>
      <c r="J1288" s="563">
        <v>-493.35</v>
      </c>
      <c r="K1288" s="582">
        <f t="shared" si="57"/>
        <v>0</v>
      </c>
      <c r="L1288" s="563">
        <f t="shared" si="58"/>
        <v>0</v>
      </c>
      <c r="M1288" s="563">
        <f t="shared" si="59"/>
        <v>542.68500000000006</v>
      </c>
      <c r="N1288" s="580"/>
    </row>
    <row r="1289" spans="4:14" x14ac:dyDescent="0.25">
      <c r="D1289" s="559" t="s">
        <v>867</v>
      </c>
      <c r="E1289" s="558">
        <v>311088</v>
      </c>
      <c r="F1289" s="559">
        <v>301629</v>
      </c>
      <c r="G1289" s="558" t="s">
        <v>2138</v>
      </c>
      <c r="H1289" s="564">
        <v>40015</v>
      </c>
      <c r="I1289" s="563">
        <v>64.349999999999994</v>
      </c>
      <c r="J1289" s="563">
        <v>-64.349999999999994</v>
      </c>
      <c r="K1289" s="582">
        <f t="shared" si="57"/>
        <v>0</v>
      </c>
      <c r="L1289" s="563">
        <f t="shared" si="58"/>
        <v>0</v>
      </c>
      <c r="M1289" s="563">
        <f t="shared" si="59"/>
        <v>70.784999999999997</v>
      </c>
      <c r="N1289" s="580"/>
    </row>
    <row r="1290" spans="4:14" x14ac:dyDescent="0.25">
      <c r="D1290" s="559" t="s">
        <v>867</v>
      </c>
      <c r="E1290" s="558">
        <v>311096</v>
      </c>
      <c r="F1290" s="559">
        <v>301125</v>
      </c>
      <c r="G1290" s="558" t="s">
        <v>2138</v>
      </c>
      <c r="H1290" s="564">
        <v>40015</v>
      </c>
      <c r="I1290" s="563">
        <v>337.35</v>
      </c>
      <c r="J1290" s="563">
        <v>-337.35</v>
      </c>
      <c r="K1290" s="582">
        <f t="shared" si="57"/>
        <v>0</v>
      </c>
      <c r="L1290" s="563">
        <f t="shared" si="58"/>
        <v>0</v>
      </c>
      <c r="M1290" s="563">
        <f t="shared" si="59"/>
        <v>371.08500000000004</v>
      </c>
      <c r="N1290" s="580"/>
    </row>
    <row r="1291" spans="4:14" x14ac:dyDescent="0.25">
      <c r="D1291" s="559" t="s">
        <v>867</v>
      </c>
      <c r="E1291" s="558">
        <v>311098</v>
      </c>
      <c r="F1291" s="559">
        <v>300621</v>
      </c>
      <c r="G1291" s="558" t="s">
        <v>2138</v>
      </c>
      <c r="H1291" s="564">
        <v>40015</v>
      </c>
      <c r="I1291" s="563">
        <v>64.349999999999994</v>
      </c>
      <c r="J1291" s="563">
        <v>-64.349999999999994</v>
      </c>
      <c r="K1291" s="582">
        <f t="shared" si="57"/>
        <v>0</v>
      </c>
      <c r="L1291" s="563">
        <f t="shared" si="58"/>
        <v>0</v>
      </c>
      <c r="M1291" s="563">
        <f t="shared" si="59"/>
        <v>70.784999999999997</v>
      </c>
      <c r="N1291" s="580"/>
    </row>
    <row r="1292" spans="4:14" x14ac:dyDescent="0.25">
      <c r="D1292" s="559" t="s">
        <v>867</v>
      </c>
      <c r="E1292" s="558">
        <v>311099</v>
      </c>
      <c r="F1292" s="559">
        <v>300581</v>
      </c>
      <c r="G1292" s="558" t="s">
        <v>2138</v>
      </c>
      <c r="H1292" s="564">
        <v>40015</v>
      </c>
      <c r="I1292" s="563">
        <v>25.35</v>
      </c>
      <c r="J1292" s="563">
        <v>-25.35</v>
      </c>
      <c r="K1292" s="582">
        <f t="shared" si="57"/>
        <v>0</v>
      </c>
      <c r="L1292" s="563">
        <f t="shared" si="58"/>
        <v>0</v>
      </c>
      <c r="M1292" s="563">
        <f t="shared" si="59"/>
        <v>27.885000000000005</v>
      </c>
      <c r="N1292" s="580"/>
    </row>
    <row r="1293" spans="4:14" x14ac:dyDescent="0.25">
      <c r="D1293" s="559" t="s">
        <v>867</v>
      </c>
      <c r="E1293" s="558">
        <v>311101</v>
      </c>
      <c r="F1293" s="559">
        <v>301616</v>
      </c>
      <c r="G1293" s="558" t="s">
        <v>2138</v>
      </c>
      <c r="H1293" s="564">
        <v>40015</v>
      </c>
      <c r="I1293" s="563">
        <v>298.35000000000002</v>
      </c>
      <c r="J1293" s="563">
        <v>-298.35000000000002</v>
      </c>
      <c r="K1293" s="582">
        <f t="shared" si="57"/>
        <v>0</v>
      </c>
      <c r="L1293" s="563">
        <f t="shared" si="58"/>
        <v>0</v>
      </c>
      <c r="M1293" s="563">
        <f t="shared" si="59"/>
        <v>328.18500000000006</v>
      </c>
      <c r="N1293" s="580"/>
    </row>
    <row r="1294" spans="4:14" x14ac:dyDescent="0.25">
      <c r="D1294" s="559" t="s">
        <v>867</v>
      </c>
      <c r="E1294" s="558">
        <v>311102</v>
      </c>
      <c r="F1294" s="559">
        <v>302193</v>
      </c>
      <c r="G1294" s="558" t="s">
        <v>2139</v>
      </c>
      <c r="H1294" s="564">
        <v>40015</v>
      </c>
      <c r="I1294" s="563">
        <v>64.349999999999994</v>
      </c>
      <c r="J1294" s="563">
        <v>-64.349999999999994</v>
      </c>
      <c r="K1294" s="582">
        <f t="shared" si="57"/>
        <v>0</v>
      </c>
      <c r="L1294" s="563">
        <f t="shared" si="58"/>
        <v>0</v>
      </c>
      <c r="M1294" s="563">
        <f t="shared" si="59"/>
        <v>70.784999999999997</v>
      </c>
      <c r="N1294" s="580"/>
    </row>
    <row r="1295" spans="4:14" x14ac:dyDescent="0.25">
      <c r="D1295" s="559" t="s">
        <v>867</v>
      </c>
      <c r="E1295" s="558">
        <v>311103</v>
      </c>
      <c r="F1295" s="559">
        <v>300198</v>
      </c>
      <c r="G1295" s="558" t="s">
        <v>2139</v>
      </c>
      <c r="H1295" s="564">
        <v>40015</v>
      </c>
      <c r="I1295" s="563">
        <v>103.35</v>
      </c>
      <c r="J1295" s="563">
        <v>-103.35</v>
      </c>
      <c r="K1295" s="582">
        <f t="shared" si="57"/>
        <v>0</v>
      </c>
      <c r="L1295" s="563">
        <f t="shared" si="58"/>
        <v>0</v>
      </c>
      <c r="M1295" s="563">
        <f t="shared" si="59"/>
        <v>113.685</v>
      </c>
      <c r="N1295" s="580"/>
    </row>
    <row r="1296" spans="4:14" x14ac:dyDescent="0.25">
      <c r="D1296" s="559" t="s">
        <v>867</v>
      </c>
      <c r="E1296" s="558">
        <v>311105</v>
      </c>
      <c r="F1296" s="559">
        <v>302144</v>
      </c>
      <c r="G1296" s="558" t="s">
        <v>2139</v>
      </c>
      <c r="H1296" s="564">
        <v>40015</v>
      </c>
      <c r="I1296" s="563">
        <v>493.35</v>
      </c>
      <c r="J1296" s="563">
        <v>-493.35</v>
      </c>
      <c r="K1296" s="582">
        <f t="shared" si="57"/>
        <v>0</v>
      </c>
      <c r="L1296" s="563">
        <f t="shared" si="58"/>
        <v>0</v>
      </c>
      <c r="M1296" s="563">
        <f t="shared" si="59"/>
        <v>542.68500000000006</v>
      </c>
      <c r="N1296" s="580"/>
    </row>
    <row r="1297" spans="4:14" x14ac:dyDescent="0.25">
      <c r="D1297" s="559" t="s">
        <v>867</v>
      </c>
      <c r="E1297" s="558">
        <v>311112</v>
      </c>
      <c r="F1297" s="559">
        <v>300238</v>
      </c>
      <c r="G1297" s="558" t="s">
        <v>2139</v>
      </c>
      <c r="H1297" s="564">
        <v>40015</v>
      </c>
      <c r="I1297" s="563">
        <v>727.35</v>
      </c>
      <c r="J1297" s="563">
        <v>-585</v>
      </c>
      <c r="K1297" s="582">
        <f t="shared" si="57"/>
        <v>142.35000000000002</v>
      </c>
      <c r="L1297" s="563">
        <f t="shared" si="58"/>
        <v>156.58500000000004</v>
      </c>
      <c r="M1297" s="563">
        <f t="shared" si="59"/>
        <v>800.08500000000004</v>
      </c>
      <c r="N1297" s="580"/>
    </row>
    <row r="1298" spans="4:14" x14ac:dyDescent="0.25">
      <c r="D1298" s="559" t="s">
        <v>867</v>
      </c>
      <c r="E1298" s="558">
        <v>311117</v>
      </c>
      <c r="F1298" s="559">
        <v>301365</v>
      </c>
      <c r="G1298" s="558" t="s">
        <v>2139</v>
      </c>
      <c r="H1298" s="564">
        <v>40015</v>
      </c>
      <c r="I1298" s="563">
        <v>727.35</v>
      </c>
      <c r="J1298" s="563">
        <v>-585</v>
      </c>
      <c r="K1298" s="582">
        <f t="shared" si="57"/>
        <v>142.35000000000002</v>
      </c>
      <c r="L1298" s="563">
        <f t="shared" si="58"/>
        <v>156.58500000000004</v>
      </c>
      <c r="M1298" s="563">
        <f t="shared" si="59"/>
        <v>800.08500000000004</v>
      </c>
      <c r="N1298" s="580"/>
    </row>
    <row r="1299" spans="4:14" x14ac:dyDescent="0.25">
      <c r="D1299" s="559" t="s">
        <v>867</v>
      </c>
      <c r="E1299" s="558">
        <v>311118</v>
      </c>
      <c r="F1299" s="559">
        <v>301270</v>
      </c>
      <c r="G1299" s="558" t="s">
        <v>2140</v>
      </c>
      <c r="H1299" s="564">
        <v>40015</v>
      </c>
      <c r="I1299" s="563">
        <v>727.35</v>
      </c>
      <c r="J1299" s="563">
        <v>-585</v>
      </c>
      <c r="K1299" s="582">
        <f t="shared" si="57"/>
        <v>142.35000000000002</v>
      </c>
      <c r="L1299" s="563">
        <f t="shared" si="58"/>
        <v>156.58500000000004</v>
      </c>
      <c r="M1299" s="563">
        <f t="shared" si="59"/>
        <v>800.08500000000004</v>
      </c>
      <c r="N1299" s="580"/>
    </row>
    <row r="1300" spans="4:14" x14ac:dyDescent="0.25">
      <c r="D1300" s="559" t="s">
        <v>867</v>
      </c>
      <c r="E1300" s="558">
        <v>311123</v>
      </c>
      <c r="F1300" s="559">
        <v>302272</v>
      </c>
      <c r="G1300" s="558" t="s">
        <v>2140</v>
      </c>
      <c r="H1300" s="564">
        <v>40015</v>
      </c>
      <c r="I1300" s="563">
        <v>727.35</v>
      </c>
      <c r="J1300" s="563">
        <v>-585</v>
      </c>
      <c r="K1300" s="582">
        <f t="shared" si="57"/>
        <v>142.35000000000002</v>
      </c>
      <c r="L1300" s="563">
        <f t="shared" si="58"/>
        <v>156.58500000000004</v>
      </c>
      <c r="M1300" s="563">
        <f t="shared" si="59"/>
        <v>800.08500000000004</v>
      </c>
      <c r="N1300" s="580"/>
    </row>
    <row r="1301" spans="4:14" x14ac:dyDescent="0.25">
      <c r="D1301" s="559" t="s">
        <v>867</v>
      </c>
      <c r="E1301" s="558">
        <v>311124</v>
      </c>
      <c r="F1301" s="559">
        <v>300426</v>
      </c>
      <c r="G1301" s="558" t="s">
        <v>2140</v>
      </c>
      <c r="H1301" s="564">
        <v>40015</v>
      </c>
      <c r="I1301" s="563">
        <v>64.349999999999994</v>
      </c>
      <c r="J1301" s="563">
        <v>-64.349999999999994</v>
      </c>
      <c r="K1301" s="582">
        <f t="shared" si="57"/>
        <v>0</v>
      </c>
      <c r="L1301" s="563">
        <f t="shared" si="58"/>
        <v>0</v>
      </c>
      <c r="M1301" s="563">
        <f t="shared" si="59"/>
        <v>70.784999999999997</v>
      </c>
      <c r="N1301" s="580"/>
    </row>
    <row r="1302" spans="4:14" x14ac:dyDescent="0.25">
      <c r="D1302" s="559" t="s">
        <v>867</v>
      </c>
      <c r="E1302" s="558">
        <v>311126</v>
      </c>
      <c r="F1302" s="559">
        <v>301088</v>
      </c>
      <c r="G1302" s="558" t="s">
        <v>2140</v>
      </c>
      <c r="H1302" s="564">
        <v>40015</v>
      </c>
      <c r="I1302" s="563">
        <v>727.35</v>
      </c>
      <c r="J1302" s="563">
        <v>-585</v>
      </c>
      <c r="K1302" s="582">
        <f t="shared" si="57"/>
        <v>142.35000000000002</v>
      </c>
      <c r="L1302" s="563">
        <f t="shared" si="58"/>
        <v>156.58500000000004</v>
      </c>
      <c r="M1302" s="563">
        <f t="shared" si="59"/>
        <v>800.08500000000004</v>
      </c>
      <c r="N1302" s="580"/>
    </row>
    <row r="1303" spans="4:14" x14ac:dyDescent="0.25">
      <c r="D1303" s="559" t="s">
        <v>867</v>
      </c>
      <c r="E1303" s="558">
        <v>311127</v>
      </c>
      <c r="F1303" s="559">
        <v>301733</v>
      </c>
      <c r="G1303" s="558" t="s">
        <v>2140</v>
      </c>
      <c r="H1303" s="564">
        <v>40015</v>
      </c>
      <c r="I1303" s="563">
        <v>727.35</v>
      </c>
      <c r="J1303" s="563">
        <v>-585</v>
      </c>
      <c r="K1303" s="582">
        <f t="shared" si="57"/>
        <v>142.35000000000002</v>
      </c>
      <c r="L1303" s="563">
        <f t="shared" si="58"/>
        <v>156.58500000000004</v>
      </c>
      <c r="M1303" s="563">
        <f t="shared" si="59"/>
        <v>800.08500000000004</v>
      </c>
      <c r="N1303" s="580"/>
    </row>
    <row r="1304" spans="4:14" x14ac:dyDescent="0.25">
      <c r="D1304" s="559" t="s">
        <v>867</v>
      </c>
      <c r="E1304" s="558">
        <v>311130</v>
      </c>
      <c r="F1304" s="559">
        <v>302215</v>
      </c>
      <c r="G1304" s="558" t="s">
        <v>2141</v>
      </c>
      <c r="H1304" s="564">
        <v>40015</v>
      </c>
      <c r="I1304" s="563">
        <v>64.349999999999994</v>
      </c>
      <c r="J1304" s="563">
        <v>-64.349999999999994</v>
      </c>
      <c r="K1304" s="582">
        <f t="shared" si="57"/>
        <v>0</v>
      </c>
      <c r="L1304" s="563">
        <f t="shared" si="58"/>
        <v>0</v>
      </c>
      <c r="M1304" s="563">
        <f t="shared" si="59"/>
        <v>70.784999999999997</v>
      </c>
      <c r="N1304" s="580"/>
    </row>
    <row r="1305" spans="4:14" x14ac:dyDescent="0.25">
      <c r="D1305" s="559" t="s">
        <v>867</v>
      </c>
      <c r="E1305" s="558">
        <v>311131</v>
      </c>
      <c r="F1305" s="559">
        <v>300257</v>
      </c>
      <c r="G1305" s="558" t="s">
        <v>2141</v>
      </c>
      <c r="H1305" s="564">
        <v>40015</v>
      </c>
      <c r="I1305" s="563">
        <v>727.35</v>
      </c>
      <c r="J1305" s="563">
        <v>-585</v>
      </c>
      <c r="K1305" s="582">
        <f t="shared" si="57"/>
        <v>142.35000000000002</v>
      </c>
      <c r="L1305" s="563">
        <f t="shared" si="58"/>
        <v>156.58500000000004</v>
      </c>
      <c r="M1305" s="563">
        <f t="shared" si="59"/>
        <v>800.08500000000004</v>
      </c>
      <c r="N1305" s="580"/>
    </row>
    <row r="1306" spans="4:14" x14ac:dyDescent="0.25">
      <c r="D1306" s="559" t="s">
        <v>867</v>
      </c>
      <c r="E1306" s="558">
        <v>311132</v>
      </c>
      <c r="F1306" s="559">
        <v>300431</v>
      </c>
      <c r="G1306" s="558" t="s">
        <v>2141</v>
      </c>
      <c r="H1306" s="564">
        <v>40015</v>
      </c>
      <c r="I1306" s="563">
        <v>532.35</v>
      </c>
      <c r="J1306" s="563">
        <v>-532.35</v>
      </c>
      <c r="K1306" s="582">
        <f t="shared" si="57"/>
        <v>0</v>
      </c>
      <c r="L1306" s="563">
        <f t="shared" si="58"/>
        <v>0</v>
      </c>
      <c r="M1306" s="563">
        <f t="shared" si="59"/>
        <v>585.58500000000004</v>
      </c>
      <c r="N1306" s="580"/>
    </row>
    <row r="1307" spans="4:14" x14ac:dyDescent="0.25">
      <c r="D1307" s="559" t="s">
        <v>867</v>
      </c>
      <c r="E1307" s="558">
        <v>311138</v>
      </c>
      <c r="F1307" s="559">
        <v>303587</v>
      </c>
      <c r="G1307" s="558" t="s">
        <v>2141</v>
      </c>
      <c r="H1307" s="564">
        <v>40015</v>
      </c>
      <c r="I1307" s="563">
        <v>727.35</v>
      </c>
      <c r="J1307" s="563">
        <v>-585</v>
      </c>
      <c r="K1307" s="582">
        <f t="shared" si="57"/>
        <v>142.35000000000002</v>
      </c>
      <c r="L1307" s="563">
        <f t="shared" si="58"/>
        <v>156.58500000000004</v>
      </c>
      <c r="M1307" s="563">
        <f t="shared" si="59"/>
        <v>800.08500000000004</v>
      </c>
      <c r="N1307" s="580"/>
    </row>
    <row r="1308" spans="4:14" x14ac:dyDescent="0.25">
      <c r="D1308" s="559" t="s">
        <v>867</v>
      </c>
      <c r="E1308" s="558">
        <v>311140</v>
      </c>
      <c r="F1308" s="559">
        <v>301635</v>
      </c>
      <c r="G1308" s="558" t="s">
        <v>2141</v>
      </c>
      <c r="H1308" s="564">
        <v>40015</v>
      </c>
      <c r="I1308" s="563">
        <v>766.35</v>
      </c>
      <c r="J1308" s="563">
        <v>-585</v>
      </c>
      <c r="K1308" s="582">
        <f t="shared" si="57"/>
        <v>181.35000000000002</v>
      </c>
      <c r="L1308" s="563">
        <f t="shared" si="58"/>
        <v>199.48500000000004</v>
      </c>
      <c r="M1308" s="563">
        <f t="shared" si="59"/>
        <v>842.98500000000013</v>
      </c>
      <c r="N1308" s="580"/>
    </row>
    <row r="1309" spans="4:14" x14ac:dyDescent="0.25">
      <c r="D1309" s="559" t="s">
        <v>867</v>
      </c>
      <c r="E1309" s="558">
        <v>311141</v>
      </c>
      <c r="F1309" s="559">
        <v>300022</v>
      </c>
      <c r="G1309" s="558" t="s">
        <v>2142</v>
      </c>
      <c r="H1309" s="564">
        <v>40015</v>
      </c>
      <c r="I1309" s="563">
        <v>493.35</v>
      </c>
      <c r="J1309" s="563">
        <v>-493.35</v>
      </c>
      <c r="K1309" s="582">
        <f t="shared" si="57"/>
        <v>0</v>
      </c>
      <c r="L1309" s="563">
        <f t="shared" si="58"/>
        <v>0</v>
      </c>
      <c r="M1309" s="563">
        <f t="shared" si="59"/>
        <v>542.68500000000006</v>
      </c>
      <c r="N1309" s="580"/>
    </row>
    <row r="1310" spans="4:14" x14ac:dyDescent="0.25">
      <c r="D1310" s="559" t="s">
        <v>867</v>
      </c>
      <c r="E1310" s="558">
        <v>311143</v>
      </c>
      <c r="F1310" s="559">
        <v>300493</v>
      </c>
      <c r="G1310" s="558" t="s">
        <v>2142</v>
      </c>
      <c r="H1310" s="564">
        <v>40015</v>
      </c>
      <c r="I1310" s="563">
        <v>727.35</v>
      </c>
      <c r="J1310" s="563">
        <v>-585</v>
      </c>
      <c r="K1310" s="582">
        <f t="shared" si="57"/>
        <v>142.35000000000002</v>
      </c>
      <c r="L1310" s="563">
        <f t="shared" si="58"/>
        <v>156.58500000000004</v>
      </c>
      <c r="M1310" s="563">
        <f t="shared" si="59"/>
        <v>800.08500000000004</v>
      </c>
      <c r="N1310" s="580"/>
    </row>
    <row r="1311" spans="4:14" x14ac:dyDescent="0.25">
      <c r="D1311" s="559" t="s">
        <v>867</v>
      </c>
      <c r="E1311" s="558">
        <v>311144</v>
      </c>
      <c r="F1311" s="559">
        <v>302200</v>
      </c>
      <c r="G1311" s="558" t="s">
        <v>2142</v>
      </c>
      <c r="H1311" s="564">
        <v>40015</v>
      </c>
      <c r="I1311" s="563">
        <v>25.35</v>
      </c>
      <c r="J1311" s="563">
        <v>-25.35</v>
      </c>
      <c r="K1311" s="582">
        <f t="shared" si="57"/>
        <v>0</v>
      </c>
      <c r="L1311" s="563">
        <f t="shared" si="58"/>
        <v>0</v>
      </c>
      <c r="M1311" s="563">
        <f t="shared" si="59"/>
        <v>27.885000000000005</v>
      </c>
      <c r="N1311" s="580"/>
    </row>
    <row r="1312" spans="4:14" x14ac:dyDescent="0.25">
      <c r="D1312" s="559" t="s">
        <v>867</v>
      </c>
      <c r="E1312" s="558">
        <v>311145</v>
      </c>
      <c r="F1312" s="559">
        <v>300122</v>
      </c>
      <c r="G1312" s="558" t="s">
        <v>2142</v>
      </c>
      <c r="H1312" s="564">
        <v>40015</v>
      </c>
      <c r="I1312" s="563">
        <v>415.35</v>
      </c>
      <c r="J1312" s="563">
        <v>-415.35</v>
      </c>
      <c r="K1312" s="582">
        <f t="shared" si="57"/>
        <v>0</v>
      </c>
      <c r="L1312" s="563">
        <f t="shared" si="58"/>
        <v>0</v>
      </c>
      <c r="M1312" s="563">
        <f t="shared" si="59"/>
        <v>456.88500000000005</v>
      </c>
      <c r="N1312" s="580"/>
    </row>
    <row r="1313" spans="4:14" x14ac:dyDescent="0.25">
      <c r="D1313" s="559" t="s">
        <v>867</v>
      </c>
      <c r="E1313" s="558">
        <v>311151</v>
      </c>
      <c r="F1313" s="559">
        <v>302194</v>
      </c>
      <c r="G1313" s="558" t="s">
        <v>2142</v>
      </c>
      <c r="H1313" s="564">
        <v>40015</v>
      </c>
      <c r="I1313" s="563">
        <v>493.35</v>
      </c>
      <c r="J1313" s="563">
        <v>-493.35</v>
      </c>
      <c r="K1313" s="582">
        <f t="shared" si="57"/>
        <v>0</v>
      </c>
      <c r="L1313" s="563">
        <f t="shared" si="58"/>
        <v>0</v>
      </c>
      <c r="M1313" s="563">
        <f t="shared" si="59"/>
        <v>542.68500000000006</v>
      </c>
      <c r="N1313" s="580"/>
    </row>
    <row r="1314" spans="4:14" x14ac:dyDescent="0.25">
      <c r="D1314" s="559" t="s">
        <v>867</v>
      </c>
      <c r="E1314" s="558">
        <v>311153</v>
      </c>
      <c r="F1314" s="559">
        <v>302184</v>
      </c>
      <c r="G1314" s="558" t="s">
        <v>2143</v>
      </c>
      <c r="H1314" s="564">
        <v>40015</v>
      </c>
      <c r="I1314" s="563">
        <v>64.349999999999994</v>
      </c>
      <c r="J1314" s="563">
        <v>-64.349999999999994</v>
      </c>
      <c r="K1314" s="582">
        <f t="shared" si="57"/>
        <v>0</v>
      </c>
      <c r="L1314" s="563">
        <f t="shared" si="58"/>
        <v>0</v>
      </c>
      <c r="M1314" s="563">
        <f t="shared" si="59"/>
        <v>70.784999999999997</v>
      </c>
      <c r="N1314" s="580"/>
    </row>
    <row r="1315" spans="4:14" x14ac:dyDescent="0.25">
      <c r="D1315" s="559" t="s">
        <v>867</v>
      </c>
      <c r="E1315" s="558">
        <v>311154</v>
      </c>
      <c r="F1315" s="559">
        <v>301735</v>
      </c>
      <c r="G1315" s="558" t="s">
        <v>2143</v>
      </c>
      <c r="H1315" s="564">
        <v>40015</v>
      </c>
      <c r="I1315" s="563">
        <v>727.35</v>
      </c>
      <c r="J1315" s="563">
        <v>-585</v>
      </c>
      <c r="K1315" s="582">
        <f t="shared" si="57"/>
        <v>142.35000000000002</v>
      </c>
      <c r="L1315" s="563">
        <f t="shared" si="58"/>
        <v>156.58500000000004</v>
      </c>
      <c r="M1315" s="563">
        <f t="shared" si="59"/>
        <v>800.08500000000004</v>
      </c>
      <c r="N1315" s="580"/>
    </row>
    <row r="1316" spans="4:14" x14ac:dyDescent="0.25">
      <c r="D1316" s="559" t="s">
        <v>867</v>
      </c>
      <c r="E1316" s="558">
        <v>311157</v>
      </c>
      <c r="F1316" s="559">
        <v>300261</v>
      </c>
      <c r="G1316" s="558" t="s">
        <v>2143</v>
      </c>
      <c r="H1316" s="564">
        <v>40015</v>
      </c>
      <c r="I1316" s="563">
        <v>727.35</v>
      </c>
      <c r="J1316" s="563">
        <v>-585</v>
      </c>
      <c r="K1316" s="582">
        <f t="shared" si="57"/>
        <v>142.35000000000002</v>
      </c>
      <c r="L1316" s="563">
        <f t="shared" si="58"/>
        <v>156.58500000000004</v>
      </c>
      <c r="M1316" s="563">
        <f t="shared" si="59"/>
        <v>800.08500000000004</v>
      </c>
      <c r="N1316" s="580"/>
    </row>
    <row r="1317" spans="4:14" x14ac:dyDescent="0.25">
      <c r="D1317" s="559" t="s">
        <v>867</v>
      </c>
      <c r="E1317" s="558">
        <v>311158</v>
      </c>
      <c r="F1317" s="559">
        <v>302134</v>
      </c>
      <c r="G1317" s="558" t="s">
        <v>2143</v>
      </c>
      <c r="H1317" s="564">
        <v>40015</v>
      </c>
      <c r="I1317" s="563">
        <v>571.35</v>
      </c>
      <c r="J1317" s="563">
        <v>-571.35</v>
      </c>
      <c r="K1317" s="582">
        <f t="shared" si="57"/>
        <v>0</v>
      </c>
      <c r="L1317" s="563">
        <f t="shared" si="58"/>
        <v>0</v>
      </c>
      <c r="M1317" s="563">
        <f t="shared" si="59"/>
        <v>628.48500000000013</v>
      </c>
      <c r="N1317" s="580"/>
    </row>
    <row r="1318" spans="4:14" x14ac:dyDescent="0.25">
      <c r="D1318" s="559" t="s">
        <v>867</v>
      </c>
      <c r="E1318" s="558">
        <v>311161</v>
      </c>
      <c r="F1318" s="559">
        <v>301703</v>
      </c>
      <c r="G1318" s="558" t="s">
        <v>2143</v>
      </c>
      <c r="H1318" s="564">
        <v>40015</v>
      </c>
      <c r="I1318" s="563">
        <v>493.35</v>
      </c>
      <c r="J1318" s="563">
        <v>-493.35</v>
      </c>
      <c r="K1318" s="582">
        <f t="shared" si="57"/>
        <v>0</v>
      </c>
      <c r="L1318" s="563">
        <f t="shared" si="58"/>
        <v>0</v>
      </c>
      <c r="M1318" s="563">
        <f t="shared" si="59"/>
        <v>542.68500000000006</v>
      </c>
      <c r="N1318" s="580"/>
    </row>
    <row r="1319" spans="4:14" x14ac:dyDescent="0.25">
      <c r="D1319" s="559" t="s">
        <v>867</v>
      </c>
      <c r="E1319" s="558">
        <v>311162</v>
      </c>
      <c r="F1319" s="559">
        <v>302166</v>
      </c>
      <c r="G1319" s="558" t="s">
        <v>2144</v>
      </c>
      <c r="H1319" s="564">
        <v>40015</v>
      </c>
      <c r="I1319" s="563">
        <v>64.349999999999994</v>
      </c>
      <c r="J1319" s="563">
        <v>-64.349999999999994</v>
      </c>
      <c r="K1319" s="582">
        <f t="shared" si="57"/>
        <v>0</v>
      </c>
      <c r="L1319" s="563">
        <f t="shared" si="58"/>
        <v>0</v>
      </c>
      <c r="M1319" s="563">
        <f t="shared" si="59"/>
        <v>70.784999999999997</v>
      </c>
      <c r="N1319" s="580"/>
    </row>
    <row r="1320" spans="4:14" x14ac:dyDescent="0.25">
      <c r="D1320" s="559" t="s">
        <v>867</v>
      </c>
      <c r="E1320" s="558">
        <v>311163</v>
      </c>
      <c r="F1320" s="559">
        <v>300644</v>
      </c>
      <c r="G1320" s="558" t="s">
        <v>2144</v>
      </c>
      <c r="H1320" s="564">
        <v>40015</v>
      </c>
      <c r="I1320" s="563">
        <v>493.35</v>
      </c>
      <c r="J1320" s="563">
        <v>-493.35</v>
      </c>
      <c r="K1320" s="582">
        <f t="shared" si="57"/>
        <v>0</v>
      </c>
      <c r="L1320" s="563">
        <f t="shared" si="58"/>
        <v>0</v>
      </c>
      <c r="M1320" s="563">
        <f t="shared" si="59"/>
        <v>542.68500000000006</v>
      </c>
      <c r="N1320" s="580"/>
    </row>
    <row r="1321" spans="4:14" x14ac:dyDescent="0.25">
      <c r="D1321" s="559" t="s">
        <v>867</v>
      </c>
      <c r="E1321" s="558">
        <v>311166</v>
      </c>
      <c r="F1321" s="559">
        <v>300578</v>
      </c>
      <c r="G1321" s="558" t="s">
        <v>2144</v>
      </c>
      <c r="H1321" s="564">
        <v>40015</v>
      </c>
      <c r="I1321" s="563">
        <v>25.35</v>
      </c>
      <c r="J1321" s="563">
        <v>-25.35</v>
      </c>
      <c r="K1321" s="582">
        <f t="shared" ref="K1321:K1384" si="60">+I1321+J1321</f>
        <v>0</v>
      </c>
      <c r="L1321" s="563">
        <f t="shared" ref="L1321:L1384" si="61">+K1321*1.1</f>
        <v>0</v>
      </c>
      <c r="M1321" s="563">
        <f t="shared" ref="M1321:M1384" si="62">+I1321*1.1</f>
        <v>27.885000000000005</v>
      </c>
      <c r="N1321" s="580"/>
    </row>
    <row r="1322" spans="4:14" x14ac:dyDescent="0.25">
      <c r="D1322" s="559" t="s">
        <v>867</v>
      </c>
      <c r="E1322" s="558">
        <v>311169</v>
      </c>
      <c r="F1322" s="559">
        <v>301002</v>
      </c>
      <c r="G1322" s="558" t="s">
        <v>2144</v>
      </c>
      <c r="H1322" s="564">
        <v>40015</v>
      </c>
      <c r="I1322" s="563">
        <v>64.349999999999994</v>
      </c>
      <c r="J1322" s="563">
        <v>-64.349999999999994</v>
      </c>
      <c r="K1322" s="582">
        <f t="shared" si="60"/>
        <v>0</v>
      </c>
      <c r="L1322" s="563">
        <f t="shared" si="61"/>
        <v>0</v>
      </c>
      <c r="M1322" s="563">
        <f t="shared" si="62"/>
        <v>70.784999999999997</v>
      </c>
      <c r="N1322" s="580"/>
    </row>
    <row r="1323" spans="4:14" x14ac:dyDescent="0.25">
      <c r="D1323" s="559" t="s">
        <v>867</v>
      </c>
      <c r="E1323" s="558">
        <v>311170</v>
      </c>
      <c r="F1323" s="559">
        <v>301225</v>
      </c>
      <c r="G1323" s="558" t="s">
        <v>2144</v>
      </c>
      <c r="H1323" s="564">
        <v>40015</v>
      </c>
      <c r="I1323" s="563">
        <v>64.349999999999994</v>
      </c>
      <c r="J1323" s="563">
        <v>-64.349999999999994</v>
      </c>
      <c r="K1323" s="582">
        <f t="shared" si="60"/>
        <v>0</v>
      </c>
      <c r="L1323" s="563">
        <f t="shared" si="61"/>
        <v>0</v>
      </c>
      <c r="M1323" s="563">
        <f t="shared" si="62"/>
        <v>70.784999999999997</v>
      </c>
      <c r="N1323" s="580"/>
    </row>
    <row r="1324" spans="4:14" x14ac:dyDescent="0.25">
      <c r="D1324" s="559" t="s">
        <v>867</v>
      </c>
      <c r="E1324" s="558">
        <v>311171</v>
      </c>
      <c r="F1324" s="559">
        <v>300015</v>
      </c>
      <c r="G1324" s="558" t="s">
        <v>2145</v>
      </c>
      <c r="H1324" s="564">
        <v>40015</v>
      </c>
      <c r="I1324" s="563">
        <v>64.349999999999994</v>
      </c>
      <c r="J1324" s="563">
        <v>-64.349999999999994</v>
      </c>
      <c r="K1324" s="582">
        <f t="shared" si="60"/>
        <v>0</v>
      </c>
      <c r="L1324" s="563">
        <f t="shared" si="61"/>
        <v>0</v>
      </c>
      <c r="M1324" s="563">
        <f t="shared" si="62"/>
        <v>70.784999999999997</v>
      </c>
      <c r="N1324" s="580"/>
    </row>
    <row r="1325" spans="4:14" x14ac:dyDescent="0.25">
      <c r="D1325" s="559" t="s">
        <v>867</v>
      </c>
      <c r="E1325" s="558">
        <v>311174</v>
      </c>
      <c r="F1325" s="559">
        <v>301649</v>
      </c>
      <c r="G1325" s="558" t="s">
        <v>2145</v>
      </c>
      <c r="H1325" s="564">
        <v>40015</v>
      </c>
      <c r="I1325" s="563">
        <v>571.35</v>
      </c>
      <c r="J1325" s="563">
        <v>-571.35</v>
      </c>
      <c r="K1325" s="582">
        <f t="shared" si="60"/>
        <v>0</v>
      </c>
      <c r="L1325" s="563">
        <f t="shared" si="61"/>
        <v>0</v>
      </c>
      <c r="M1325" s="563">
        <f t="shared" si="62"/>
        <v>628.48500000000013</v>
      </c>
      <c r="N1325" s="580"/>
    </row>
    <row r="1326" spans="4:14" x14ac:dyDescent="0.25">
      <c r="D1326" s="559" t="s">
        <v>867</v>
      </c>
      <c r="E1326" s="558">
        <v>311178</v>
      </c>
      <c r="F1326" s="559">
        <v>301544</v>
      </c>
      <c r="G1326" s="558" t="s">
        <v>2145</v>
      </c>
      <c r="H1326" s="564">
        <v>40015</v>
      </c>
      <c r="I1326" s="563">
        <v>727.35</v>
      </c>
      <c r="J1326" s="563">
        <v>-585</v>
      </c>
      <c r="K1326" s="582">
        <f t="shared" si="60"/>
        <v>142.35000000000002</v>
      </c>
      <c r="L1326" s="563">
        <f t="shared" si="61"/>
        <v>156.58500000000004</v>
      </c>
      <c r="M1326" s="563">
        <f t="shared" si="62"/>
        <v>800.08500000000004</v>
      </c>
      <c r="N1326" s="580"/>
    </row>
    <row r="1327" spans="4:14" x14ac:dyDescent="0.25">
      <c r="D1327" s="559" t="s">
        <v>867</v>
      </c>
      <c r="E1327" s="558">
        <v>311180</v>
      </c>
      <c r="F1327" s="559">
        <v>300560</v>
      </c>
      <c r="G1327" s="558" t="s">
        <v>2145</v>
      </c>
      <c r="H1327" s="564">
        <v>40015</v>
      </c>
      <c r="I1327" s="563">
        <v>493.35</v>
      </c>
      <c r="J1327" s="563">
        <v>-493.35</v>
      </c>
      <c r="K1327" s="582">
        <f t="shared" si="60"/>
        <v>0</v>
      </c>
      <c r="L1327" s="563">
        <f t="shared" si="61"/>
        <v>0</v>
      </c>
      <c r="M1327" s="563">
        <f t="shared" si="62"/>
        <v>542.68500000000006</v>
      </c>
      <c r="N1327" s="580"/>
    </row>
    <row r="1328" spans="4:14" x14ac:dyDescent="0.25">
      <c r="D1328" s="559" t="s">
        <v>867</v>
      </c>
      <c r="E1328" s="558">
        <v>311181</v>
      </c>
      <c r="F1328" s="559">
        <v>300467</v>
      </c>
      <c r="G1328" s="558" t="s">
        <v>2145</v>
      </c>
      <c r="H1328" s="564">
        <v>40015</v>
      </c>
      <c r="I1328" s="563">
        <v>64.349999999999994</v>
      </c>
      <c r="J1328" s="563">
        <v>-64.349999999999994</v>
      </c>
      <c r="K1328" s="582">
        <f t="shared" si="60"/>
        <v>0</v>
      </c>
      <c r="L1328" s="563">
        <f t="shared" si="61"/>
        <v>0</v>
      </c>
      <c r="M1328" s="563">
        <f t="shared" si="62"/>
        <v>70.784999999999997</v>
      </c>
      <c r="N1328" s="580"/>
    </row>
    <row r="1329" spans="4:16" x14ac:dyDescent="0.25">
      <c r="D1329" s="559" t="s">
        <v>867</v>
      </c>
      <c r="E1329" s="558">
        <v>311183</v>
      </c>
      <c r="F1329" s="559">
        <v>301593</v>
      </c>
      <c r="G1329" s="558" t="s">
        <v>2146</v>
      </c>
      <c r="H1329" s="564">
        <v>40015</v>
      </c>
      <c r="I1329" s="563">
        <v>64.349999999999994</v>
      </c>
      <c r="J1329" s="563">
        <v>-64.349999999999994</v>
      </c>
      <c r="K1329" s="582">
        <f t="shared" si="60"/>
        <v>0</v>
      </c>
      <c r="L1329" s="563">
        <f t="shared" si="61"/>
        <v>0</v>
      </c>
      <c r="M1329" s="563">
        <f t="shared" si="62"/>
        <v>70.784999999999997</v>
      </c>
      <c r="N1329" s="580"/>
    </row>
    <row r="1330" spans="4:16" x14ac:dyDescent="0.25">
      <c r="D1330" s="559" t="s">
        <v>867</v>
      </c>
      <c r="E1330" s="558">
        <v>311186</v>
      </c>
      <c r="F1330" s="559">
        <v>300999</v>
      </c>
      <c r="G1330" s="558" t="s">
        <v>2146</v>
      </c>
      <c r="H1330" s="564">
        <v>40015</v>
      </c>
      <c r="I1330" s="563">
        <v>64.349999999999994</v>
      </c>
      <c r="J1330" s="563">
        <v>-64.349999999999994</v>
      </c>
      <c r="K1330" s="582">
        <f t="shared" si="60"/>
        <v>0</v>
      </c>
      <c r="L1330" s="563">
        <f t="shared" si="61"/>
        <v>0</v>
      </c>
      <c r="M1330" s="563">
        <f t="shared" si="62"/>
        <v>70.784999999999997</v>
      </c>
      <c r="N1330" s="580"/>
    </row>
    <row r="1331" spans="4:16" x14ac:dyDescent="0.25">
      <c r="D1331" s="559" t="s">
        <v>867</v>
      </c>
      <c r="E1331" s="558">
        <v>311189</v>
      </c>
      <c r="F1331" s="559">
        <v>302159</v>
      </c>
      <c r="G1331" s="558" t="s">
        <v>2146</v>
      </c>
      <c r="H1331" s="564">
        <v>40015</v>
      </c>
      <c r="I1331" s="563">
        <v>493.35</v>
      </c>
      <c r="J1331" s="563">
        <v>-493.35</v>
      </c>
      <c r="K1331" s="582">
        <f t="shared" si="60"/>
        <v>0</v>
      </c>
      <c r="L1331" s="563">
        <f t="shared" si="61"/>
        <v>0</v>
      </c>
      <c r="M1331" s="563">
        <f t="shared" si="62"/>
        <v>542.68500000000006</v>
      </c>
      <c r="N1331" s="580"/>
    </row>
    <row r="1332" spans="4:16" x14ac:dyDescent="0.25">
      <c r="D1332" s="559" t="s">
        <v>867</v>
      </c>
      <c r="E1332" s="558">
        <v>311191</v>
      </c>
      <c r="F1332" s="559">
        <v>300720</v>
      </c>
      <c r="G1332" s="558" t="s">
        <v>2146</v>
      </c>
      <c r="H1332" s="564">
        <v>40015</v>
      </c>
      <c r="I1332" s="563">
        <v>727.35</v>
      </c>
      <c r="J1332" s="563">
        <v>-585</v>
      </c>
      <c r="K1332" s="582">
        <f t="shared" si="60"/>
        <v>142.35000000000002</v>
      </c>
      <c r="L1332" s="563">
        <f t="shared" si="61"/>
        <v>156.58500000000004</v>
      </c>
      <c r="M1332" s="563">
        <f t="shared" si="62"/>
        <v>800.08500000000004</v>
      </c>
      <c r="N1332" s="580"/>
    </row>
    <row r="1333" spans="4:16" x14ac:dyDescent="0.25">
      <c r="D1333" s="559" t="s">
        <v>867</v>
      </c>
      <c r="E1333" s="558">
        <v>311192</v>
      </c>
      <c r="F1333" s="559">
        <v>300465</v>
      </c>
      <c r="G1333" s="558" t="s">
        <v>2146</v>
      </c>
      <c r="H1333" s="564">
        <v>40015</v>
      </c>
      <c r="I1333" s="563">
        <v>64.349999999999994</v>
      </c>
      <c r="J1333" s="563">
        <v>-64.349999999999994</v>
      </c>
      <c r="K1333" s="582">
        <f t="shared" si="60"/>
        <v>0</v>
      </c>
      <c r="L1333" s="563">
        <f t="shared" si="61"/>
        <v>0</v>
      </c>
      <c r="M1333" s="563">
        <f t="shared" si="62"/>
        <v>70.784999999999997</v>
      </c>
      <c r="N1333" s="580"/>
    </row>
    <row r="1334" spans="4:16" x14ac:dyDescent="0.25">
      <c r="D1334" s="559" t="s">
        <v>867</v>
      </c>
      <c r="E1334" s="558">
        <v>311198</v>
      </c>
      <c r="F1334" s="559">
        <v>300938</v>
      </c>
      <c r="G1334" s="558" t="s">
        <v>4837</v>
      </c>
      <c r="H1334" s="564">
        <v>40015</v>
      </c>
      <c r="I1334" s="563">
        <v>571.35</v>
      </c>
      <c r="J1334" s="563">
        <v>-571.35</v>
      </c>
      <c r="K1334" s="582">
        <f t="shared" si="60"/>
        <v>0</v>
      </c>
      <c r="L1334" s="563">
        <f t="shared" si="61"/>
        <v>0</v>
      </c>
      <c r="M1334" s="563">
        <f t="shared" si="62"/>
        <v>628.48500000000013</v>
      </c>
      <c r="N1334" s="580"/>
    </row>
    <row r="1335" spans="4:16" x14ac:dyDescent="0.25">
      <c r="D1335" s="559" t="s">
        <v>867</v>
      </c>
      <c r="E1335" s="558">
        <v>311203</v>
      </c>
      <c r="F1335" s="559">
        <v>300864</v>
      </c>
      <c r="G1335" s="558" t="s">
        <v>4837</v>
      </c>
      <c r="H1335" s="564">
        <v>40015</v>
      </c>
      <c r="I1335" s="563">
        <v>493.35</v>
      </c>
      <c r="J1335" s="563">
        <v>-493.35</v>
      </c>
      <c r="K1335" s="563">
        <f t="shared" si="60"/>
        <v>0</v>
      </c>
      <c r="L1335" s="563">
        <f t="shared" si="61"/>
        <v>0</v>
      </c>
      <c r="M1335" s="563">
        <f t="shared" si="62"/>
        <v>542.68500000000006</v>
      </c>
      <c r="N1335" s="580"/>
      <c r="O1335" s="558"/>
      <c r="P1335" s="564"/>
    </row>
    <row r="1336" spans="4:16" x14ac:dyDescent="0.25">
      <c r="D1336" s="559" t="s">
        <v>867</v>
      </c>
      <c r="E1336" s="558">
        <v>311206</v>
      </c>
      <c r="F1336" s="559">
        <v>302214</v>
      </c>
      <c r="G1336" s="558" t="s">
        <v>4837</v>
      </c>
      <c r="H1336" s="564">
        <v>40015</v>
      </c>
      <c r="I1336" s="563">
        <v>493.35</v>
      </c>
      <c r="J1336" s="563">
        <v>-493.35</v>
      </c>
      <c r="K1336" s="582">
        <f t="shared" si="60"/>
        <v>0</v>
      </c>
      <c r="L1336" s="563">
        <f t="shared" si="61"/>
        <v>0</v>
      </c>
      <c r="M1336" s="563">
        <f t="shared" si="62"/>
        <v>542.68500000000006</v>
      </c>
      <c r="N1336" s="580"/>
    </row>
    <row r="1337" spans="4:16" x14ac:dyDescent="0.25">
      <c r="D1337" s="559" t="s">
        <v>867</v>
      </c>
      <c r="E1337" s="558">
        <v>311209</v>
      </c>
      <c r="F1337" s="559">
        <v>302041</v>
      </c>
      <c r="G1337" s="558" t="s">
        <v>4837</v>
      </c>
      <c r="H1337" s="564">
        <v>40015</v>
      </c>
      <c r="I1337" s="563">
        <v>298.35000000000002</v>
      </c>
      <c r="J1337" s="563">
        <v>-298.35000000000002</v>
      </c>
      <c r="K1337" s="582">
        <f t="shared" si="60"/>
        <v>0</v>
      </c>
      <c r="L1337" s="563">
        <f t="shared" si="61"/>
        <v>0</v>
      </c>
      <c r="M1337" s="563">
        <f t="shared" si="62"/>
        <v>328.18500000000006</v>
      </c>
      <c r="N1337" s="580"/>
    </row>
    <row r="1338" spans="4:16" x14ac:dyDescent="0.25">
      <c r="D1338" s="559" t="s">
        <v>867</v>
      </c>
      <c r="E1338" s="558">
        <v>311216</v>
      </c>
      <c r="F1338" s="559">
        <v>302281</v>
      </c>
      <c r="G1338" s="558" t="s">
        <v>4837</v>
      </c>
      <c r="H1338" s="564">
        <v>40015</v>
      </c>
      <c r="I1338" s="563">
        <v>688.35</v>
      </c>
      <c r="J1338" s="563">
        <v>-585</v>
      </c>
      <c r="K1338" s="582">
        <f t="shared" si="60"/>
        <v>103.35000000000002</v>
      </c>
      <c r="L1338" s="563">
        <f t="shared" si="61"/>
        <v>113.68500000000003</v>
      </c>
      <c r="M1338" s="563">
        <f t="shared" si="62"/>
        <v>757.18500000000006</v>
      </c>
      <c r="N1338" s="580"/>
    </row>
    <row r="1339" spans="4:16" x14ac:dyDescent="0.25">
      <c r="D1339" s="559" t="s">
        <v>867</v>
      </c>
      <c r="E1339" s="558">
        <v>311222</v>
      </c>
      <c r="F1339" s="559">
        <v>301147</v>
      </c>
      <c r="G1339" s="558" t="s">
        <v>2147</v>
      </c>
      <c r="H1339" s="564">
        <v>40015</v>
      </c>
      <c r="I1339" s="563">
        <v>961.35</v>
      </c>
      <c r="J1339" s="563">
        <v>-585</v>
      </c>
      <c r="K1339" s="582">
        <f t="shared" si="60"/>
        <v>376.35</v>
      </c>
      <c r="L1339" s="563">
        <f t="shared" si="61"/>
        <v>413.98500000000007</v>
      </c>
      <c r="M1339" s="563">
        <f t="shared" si="62"/>
        <v>1057.4850000000001</v>
      </c>
      <c r="N1339" s="580"/>
    </row>
    <row r="1340" spans="4:16" x14ac:dyDescent="0.25">
      <c r="D1340" s="559" t="s">
        <v>867</v>
      </c>
      <c r="E1340" s="558">
        <v>311228</v>
      </c>
      <c r="F1340" s="559">
        <v>301351</v>
      </c>
      <c r="G1340" s="558" t="s">
        <v>2147</v>
      </c>
      <c r="H1340" s="564">
        <v>40015</v>
      </c>
      <c r="I1340" s="563">
        <v>727.35</v>
      </c>
      <c r="J1340" s="563">
        <v>-585</v>
      </c>
      <c r="K1340" s="582">
        <f t="shared" si="60"/>
        <v>142.35000000000002</v>
      </c>
      <c r="L1340" s="563">
        <f t="shared" si="61"/>
        <v>156.58500000000004</v>
      </c>
      <c r="M1340" s="563">
        <f t="shared" si="62"/>
        <v>800.08500000000004</v>
      </c>
      <c r="N1340" s="580"/>
    </row>
    <row r="1341" spans="4:16" x14ac:dyDescent="0.25">
      <c r="D1341" s="559" t="s">
        <v>867</v>
      </c>
      <c r="E1341" s="558">
        <v>311229</v>
      </c>
      <c r="F1341" s="559">
        <v>300965</v>
      </c>
      <c r="G1341" s="558" t="s">
        <v>2147</v>
      </c>
      <c r="H1341" s="564">
        <v>40015</v>
      </c>
      <c r="I1341" s="563">
        <v>64.349999999999994</v>
      </c>
      <c r="J1341" s="563">
        <v>-64.349999999999994</v>
      </c>
      <c r="K1341" s="582">
        <f t="shared" si="60"/>
        <v>0</v>
      </c>
      <c r="L1341" s="563">
        <f t="shared" si="61"/>
        <v>0</v>
      </c>
      <c r="M1341" s="563">
        <f t="shared" si="62"/>
        <v>70.784999999999997</v>
      </c>
      <c r="N1341" s="580"/>
    </row>
    <row r="1342" spans="4:16" x14ac:dyDescent="0.25">
      <c r="D1342" s="559" t="s">
        <v>867</v>
      </c>
      <c r="E1342" s="558">
        <v>311232</v>
      </c>
      <c r="F1342" s="559">
        <v>301194</v>
      </c>
      <c r="G1342" s="558" t="s">
        <v>2147</v>
      </c>
      <c r="H1342" s="564">
        <v>40015</v>
      </c>
      <c r="I1342" s="563">
        <v>727.35</v>
      </c>
      <c r="J1342" s="563">
        <v>-585</v>
      </c>
      <c r="K1342" s="582">
        <f t="shared" si="60"/>
        <v>142.35000000000002</v>
      </c>
      <c r="L1342" s="563">
        <f t="shared" si="61"/>
        <v>156.58500000000004</v>
      </c>
      <c r="M1342" s="563">
        <f t="shared" si="62"/>
        <v>800.08500000000004</v>
      </c>
      <c r="N1342" s="580"/>
    </row>
    <row r="1343" spans="4:16" x14ac:dyDescent="0.25">
      <c r="D1343" s="559" t="s">
        <v>867</v>
      </c>
      <c r="E1343" s="558">
        <v>311236</v>
      </c>
      <c r="F1343" s="559">
        <v>300639</v>
      </c>
      <c r="G1343" s="558" t="s">
        <v>2147</v>
      </c>
      <c r="H1343" s="564">
        <v>40015</v>
      </c>
      <c r="I1343" s="563">
        <v>727.35</v>
      </c>
      <c r="J1343" s="563">
        <v>-585</v>
      </c>
      <c r="K1343" s="582">
        <f t="shared" si="60"/>
        <v>142.35000000000002</v>
      </c>
      <c r="L1343" s="563">
        <f t="shared" si="61"/>
        <v>156.58500000000004</v>
      </c>
      <c r="M1343" s="563">
        <f t="shared" si="62"/>
        <v>800.08500000000004</v>
      </c>
      <c r="N1343" s="580"/>
    </row>
    <row r="1344" spans="4:16" x14ac:dyDescent="0.25">
      <c r="D1344" s="559" t="s">
        <v>867</v>
      </c>
      <c r="E1344" s="558">
        <v>311237</v>
      </c>
      <c r="F1344" s="559">
        <v>300966</v>
      </c>
      <c r="G1344" s="558" t="s">
        <v>2148</v>
      </c>
      <c r="H1344" s="564">
        <v>40015</v>
      </c>
      <c r="I1344" s="563">
        <v>64.349999999999994</v>
      </c>
      <c r="J1344" s="563">
        <v>-64.349999999999994</v>
      </c>
      <c r="K1344" s="582">
        <f t="shared" si="60"/>
        <v>0</v>
      </c>
      <c r="L1344" s="563">
        <f t="shared" si="61"/>
        <v>0</v>
      </c>
      <c r="M1344" s="563">
        <f t="shared" si="62"/>
        <v>70.784999999999997</v>
      </c>
      <c r="N1344" s="580"/>
    </row>
    <row r="1345" spans="4:14" x14ac:dyDescent="0.25">
      <c r="D1345" s="559" t="s">
        <v>867</v>
      </c>
      <c r="E1345" s="558">
        <v>311239</v>
      </c>
      <c r="F1345" s="559">
        <v>301297</v>
      </c>
      <c r="G1345" s="558" t="s">
        <v>2148</v>
      </c>
      <c r="H1345" s="564">
        <v>40015</v>
      </c>
      <c r="I1345" s="563">
        <v>64.349999999999994</v>
      </c>
      <c r="J1345" s="563">
        <v>-64.349999999999994</v>
      </c>
      <c r="K1345" s="582">
        <f t="shared" si="60"/>
        <v>0</v>
      </c>
      <c r="L1345" s="563">
        <f t="shared" si="61"/>
        <v>0</v>
      </c>
      <c r="M1345" s="563">
        <f t="shared" si="62"/>
        <v>70.784999999999997</v>
      </c>
      <c r="N1345" s="580"/>
    </row>
    <row r="1346" spans="4:14" x14ac:dyDescent="0.25">
      <c r="D1346" s="559" t="s">
        <v>867</v>
      </c>
      <c r="E1346" s="558">
        <v>311242</v>
      </c>
      <c r="F1346" s="559">
        <v>300228</v>
      </c>
      <c r="G1346" s="558" t="s">
        <v>2148</v>
      </c>
      <c r="H1346" s="564">
        <v>40015</v>
      </c>
      <c r="I1346" s="563">
        <v>727.35</v>
      </c>
      <c r="J1346" s="563">
        <v>-585</v>
      </c>
      <c r="K1346" s="582">
        <f t="shared" si="60"/>
        <v>142.35000000000002</v>
      </c>
      <c r="L1346" s="563">
        <f t="shared" si="61"/>
        <v>156.58500000000004</v>
      </c>
      <c r="M1346" s="563">
        <f t="shared" si="62"/>
        <v>800.08500000000004</v>
      </c>
      <c r="N1346" s="580"/>
    </row>
    <row r="1347" spans="4:14" x14ac:dyDescent="0.25">
      <c r="D1347" s="559" t="s">
        <v>867</v>
      </c>
      <c r="E1347" s="558">
        <v>311243</v>
      </c>
      <c r="F1347" s="559">
        <v>300901</v>
      </c>
      <c r="G1347" s="558" t="s">
        <v>2148</v>
      </c>
      <c r="H1347" s="564">
        <v>40015</v>
      </c>
      <c r="I1347" s="563">
        <v>727.35</v>
      </c>
      <c r="J1347" s="563">
        <v>-585</v>
      </c>
      <c r="K1347" s="582">
        <f t="shared" si="60"/>
        <v>142.35000000000002</v>
      </c>
      <c r="L1347" s="563">
        <f t="shared" si="61"/>
        <v>156.58500000000004</v>
      </c>
      <c r="M1347" s="563">
        <f t="shared" si="62"/>
        <v>800.08500000000004</v>
      </c>
      <c r="N1347" s="580"/>
    </row>
    <row r="1348" spans="4:14" x14ac:dyDescent="0.25">
      <c r="D1348" s="559" t="s">
        <v>867</v>
      </c>
      <c r="E1348" s="558">
        <v>311250</v>
      </c>
      <c r="F1348" s="559">
        <v>301921</v>
      </c>
      <c r="G1348" s="558" t="s">
        <v>2148</v>
      </c>
      <c r="H1348" s="564">
        <v>40015</v>
      </c>
      <c r="I1348" s="563">
        <v>64.349999999999994</v>
      </c>
      <c r="J1348" s="563">
        <v>-64.349999999999994</v>
      </c>
      <c r="K1348" s="582">
        <f t="shared" si="60"/>
        <v>0</v>
      </c>
      <c r="L1348" s="563">
        <f t="shared" si="61"/>
        <v>0</v>
      </c>
      <c r="M1348" s="563">
        <f t="shared" si="62"/>
        <v>70.784999999999997</v>
      </c>
      <c r="N1348" s="580"/>
    </row>
    <row r="1349" spans="4:14" x14ac:dyDescent="0.25">
      <c r="D1349" s="559" t="s">
        <v>867</v>
      </c>
      <c r="E1349" s="558">
        <v>311252</v>
      </c>
      <c r="F1349" s="559">
        <v>301066</v>
      </c>
      <c r="G1349" s="558" t="s">
        <v>2149</v>
      </c>
      <c r="H1349" s="564">
        <v>40015</v>
      </c>
      <c r="I1349" s="563">
        <v>454.35</v>
      </c>
      <c r="J1349" s="563">
        <v>-454.35</v>
      </c>
      <c r="K1349" s="582">
        <f t="shared" si="60"/>
        <v>0</v>
      </c>
      <c r="L1349" s="563">
        <f t="shared" si="61"/>
        <v>0</v>
      </c>
      <c r="M1349" s="563">
        <f t="shared" si="62"/>
        <v>499.78500000000008</v>
      </c>
      <c r="N1349" s="580"/>
    </row>
    <row r="1350" spans="4:14" x14ac:dyDescent="0.25">
      <c r="D1350" s="559" t="s">
        <v>867</v>
      </c>
      <c r="E1350" s="558">
        <v>311254</v>
      </c>
      <c r="F1350" s="559">
        <v>301406</v>
      </c>
      <c r="G1350" s="558" t="s">
        <v>2149</v>
      </c>
      <c r="H1350" s="564">
        <v>40015</v>
      </c>
      <c r="I1350" s="563">
        <v>64.349999999999994</v>
      </c>
      <c r="J1350" s="563">
        <v>-64.349999999999994</v>
      </c>
      <c r="K1350" s="582">
        <f t="shared" si="60"/>
        <v>0</v>
      </c>
      <c r="L1350" s="563">
        <f t="shared" si="61"/>
        <v>0</v>
      </c>
      <c r="M1350" s="563">
        <f t="shared" si="62"/>
        <v>70.784999999999997</v>
      </c>
      <c r="N1350" s="580"/>
    </row>
    <row r="1351" spans="4:14" x14ac:dyDescent="0.25">
      <c r="D1351" s="559" t="s">
        <v>867</v>
      </c>
      <c r="E1351" s="558">
        <v>311256</v>
      </c>
      <c r="F1351" s="559">
        <v>300596</v>
      </c>
      <c r="G1351" s="558" t="s">
        <v>2149</v>
      </c>
      <c r="H1351" s="564">
        <v>40015</v>
      </c>
      <c r="I1351" s="563">
        <v>64.349999999999994</v>
      </c>
      <c r="J1351" s="563">
        <v>-64.349999999999994</v>
      </c>
      <c r="K1351" s="582">
        <f t="shared" si="60"/>
        <v>0</v>
      </c>
      <c r="L1351" s="563">
        <f t="shared" si="61"/>
        <v>0</v>
      </c>
      <c r="M1351" s="563">
        <f t="shared" si="62"/>
        <v>70.784999999999997</v>
      </c>
      <c r="N1351" s="580"/>
    </row>
    <row r="1352" spans="4:14" x14ac:dyDescent="0.25">
      <c r="D1352" s="559" t="s">
        <v>867</v>
      </c>
      <c r="E1352" s="558">
        <v>311258</v>
      </c>
      <c r="F1352" s="559">
        <v>300460</v>
      </c>
      <c r="G1352" s="558" t="s">
        <v>2149</v>
      </c>
      <c r="H1352" s="564">
        <v>40015</v>
      </c>
      <c r="I1352" s="563">
        <v>64.349999999999994</v>
      </c>
      <c r="J1352" s="563">
        <v>-64.349999999999994</v>
      </c>
      <c r="K1352" s="582">
        <f t="shared" si="60"/>
        <v>0</v>
      </c>
      <c r="L1352" s="563">
        <f t="shared" si="61"/>
        <v>0</v>
      </c>
      <c r="M1352" s="563">
        <f t="shared" si="62"/>
        <v>70.784999999999997</v>
      </c>
      <c r="N1352" s="580"/>
    </row>
    <row r="1353" spans="4:14" x14ac:dyDescent="0.25">
      <c r="D1353" s="559" t="s">
        <v>867</v>
      </c>
      <c r="E1353" s="558">
        <v>311261</v>
      </c>
      <c r="F1353" s="559">
        <v>300878</v>
      </c>
      <c r="G1353" s="558" t="s">
        <v>2149</v>
      </c>
      <c r="H1353" s="564">
        <v>40015</v>
      </c>
      <c r="I1353" s="563">
        <v>766.35</v>
      </c>
      <c r="J1353" s="563">
        <v>-585</v>
      </c>
      <c r="K1353" s="582">
        <f t="shared" si="60"/>
        <v>181.35000000000002</v>
      </c>
      <c r="L1353" s="563">
        <f t="shared" si="61"/>
        <v>199.48500000000004</v>
      </c>
      <c r="M1353" s="563">
        <f t="shared" si="62"/>
        <v>842.98500000000013</v>
      </c>
      <c r="N1353" s="580"/>
    </row>
    <row r="1354" spans="4:14" x14ac:dyDescent="0.25">
      <c r="D1354" s="559" t="s">
        <v>867</v>
      </c>
      <c r="E1354" s="558">
        <v>311264</v>
      </c>
      <c r="F1354" s="559">
        <v>300360</v>
      </c>
      <c r="G1354" s="558" t="s">
        <v>2150</v>
      </c>
      <c r="H1354" s="564">
        <v>40015</v>
      </c>
      <c r="I1354" s="563">
        <v>64.349999999999994</v>
      </c>
      <c r="J1354" s="563">
        <v>-64.349999999999994</v>
      </c>
      <c r="K1354" s="582">
        <f t="shared" si="60"/>
        <v>0</v>
      </c>
      <c r="L1354" s="563">
        <f t="shared" si="61"/>
        <v>0</v>
      </c>
      <c r="M1354" s="563">
        <f t="shared" si="62"/>
        <v>70.784999999999997</v>
      </c>
      <c r="N1354" s="580"/>
    </row>
    <row r="1355" spans="4:14" x14ac:dyDescent="0.25">
      <c r="D1355" s="559" t="s">
        <v>867</v>
      </c>
      <c r="E1355" s="558">
        <v>311266</v>
      </c>
      <c r="F1355" s="559">
        <v>300643</v>
      </c>
      <c r="G1355" s="558" t="s">
        <v>2150</v>
      </c>
      <c r="H1355" s="564">
        <v>40015</v>
      </c>
      <c r="I1355" s="563">
        <v>727.35</v>
      </c>
      <c r="J1355" s="563">
        <v>-585</v>
      </c>
      <c r="K1355" s="582">
        <f t="shared" si="60"/>
        <v>142.35000000000002</v>
      </c>
      <c r="L1355" s="563">
        <f t="shared" si="61"/>
        <v>156.58500000000004</v>
      </c>
      <c r="M1355" s="563">
        <f t="shared" si="62"/>
        <v>800.08500000000004</v>
      </c>
      <c r="N1355" s="580"/>
    </row>
    <row r="1356" spans="4:14" x14ac:dyDescent="0.25">
      <c r="D1356" s="559" t="s">
        <v>867</v>
      </c>
      <c r="E1356" s="558">
        <v>311269</v>
      </c>
      <c r="F1356" s="559">
        <v>302243</v>
      </c>
      <c r="G1356" s="558" t="s">
        <v>2150</v>
      </c>
      <c r="H1356" s="564">
        <v>40015</v>
      </c>
      <c r="I1356" s="563">
        <v>727.35</v>
      </c>
      <c r="J1356" s="563">
        <v>-585</v>
      </c>
      <c r="K1356" s="582">
        <f t="shared" si="60"/>
        <v>142.35000000000002</v>
      </c>
      <c r="L1356" s="563">
        <f t="shared" si="61"/>
        <v>156.58500000000004</v>
      </c>
      <c r="M1356" s="563">
        <f t="shared" si="62"/>
        <v>800.08500000000004</v>
      </c>
      <c r="N1356" s="580"/>
    </row>
    <row r="1357" spans="4:14" x14ac:dyDescent="0.25">
      <c r="D1357" s="559" t="s">
        <v>867</v>
      </c>
      <c r="E1357" s="558">
        <v>311271</v>
      </c>
      <c r="F1357" s="559">
        <v>301216</v>
      </c>
      <c r="G1357" s="558" t="s">
        <v>2150</v>
      </c>
      <c r="H1357" s="564">
        <v>40015</v>
      </c>
      <c r="I1357" s="563">
        <v>727.35</v>
      </c>
      <c r="J1357" s="563">
        <v>-585</v>
      </c>
      <c r="K1357" s="582">
        <f t="shared" si="60"/>
        <v>142.35000000000002</v>
      </c>
      <c r="L1357" s="563">
        <f t="shared" si="61"/>
        <v>156.58500000000004</v>
      </c>
      <c r="M1357" s="563">
        <f t="shared" si="62"/>
        <v>800.08500000000004</v>
      </c>
      <c r="N1357" s="580"/>
    </row>
    <row r="1358" spans="4:14" x14ac:dyDescent="0.25">
      <c r="D1358" s="559" t="s">
        <v>867</v>
      </c>
      <c r="E1358" s="558">
        <v>311279</v>
      </c>
      <c r="F1358" s="559">
        <v>300953</v>
      </c>
      <c r="G1358" s="558" t="s">
        <v>2150</v>
      </c>
      <c r="H1358" s="564">
        <v>40015</v>
      </c>
      <c r="I1358" s="563">
        <v>6630</v>
      </c>
      <c r="J1358" s="563">
        <v>-585</v>
      </c>
      <c r="K1358" s="582">
        <f t="shared" si="60"/>
        <v>6045</v>
      </c>
      <c r="L1358" s="563">
        <f t="shared" si="61"/>
        <v>6649.5000000000009</v>
      </c>
      <c r="M1358" s="563">
        <f t="shared" si="62"/>
        <v>7293.0000000000009</v>
      </c>
      <c r="N1358" s="580"/>
    </row>
    <row r="1359" spans="4:14" x14ac:dyDescent="0.25">
      <c r="D1359" s="559" t="s">
        <v>867</v>
      </c>
      <c r="E1359" s="558">
        <v>311280</v>
      </c>
      <c r="F1359" s="559">
        <v>300785</v>
      </c>
      <c r="G1359" s="558" t="s">
        <v>2151</v>
      </c>
      <c r="H1359" s="564">
        <v>40015</v>
      </c>
      <c r="I1359" s="563">
        <v>220.35</v>
      </c>
      <c r="J1359" s="563">
        <v>-220.35</v>
      </c>
      <c r="K1359" s="582">
        <f t="shared" si="60"/>
        <v>0</v>
      </c>
      <c r="L1359" s="563">
        <f t="shared" si="61"/>
        <v>0</v>
      </c>
      <c r="M1359" s="563">
        <f t="shared" si="62"/>
        <v>242.38500000000002</v>
      </c>
      <c r="N1359" s="580"/>
    </row>
    <row r="1360" spans="4:14" x14ac:dyDescent="0.25">
      <c r="D1360" s="559" t="s">
        <v>867</v>
      </c>
      <c r="E1360" s="558">
        <v>311292</v>
      </c>
      <c r="F1360" s="559">
        <v>301917</v>
      </c>
      <c r="G1360" s="558" t="s">
        <v>2151</v>
      </c>
      <c r="H1360" s="564">
        <v>40015</v>
      </c>
      <c r="I1360" s="563">
        <v>189.15</v>
      </c>
      <c r="J1360" s="563">
        <v>-189.15</v>
      </c>
      <c r="K1360" s="582">
        <f t="shared" si="60"/>
        <v>0</v>
      </c>
      <c r="L1360" s="563">
        <f t="shared" si="61"/>
        <v>0</v>
      </c>
      <c r="M1360" s="563">
        <f t="shared" si="62"/>
        <v>208.06500000000003</v>
      </c>
      <c r="N1360" s="580"/>
    </row>
    <row r="1361" spans="4:14" x14ac:dyDescent="0.25">
      <c r="D1361" s="559" t="s">
        <v>867</v>
      </c>
      <c r="E1361" s="558">
        <v>311293</v>
      </c>
      <c r="F1361" s="559">
        <v>302240</v>
      </c>
      <c r="G1361" s="558" t="s">
        <v>2151</v>
      </c>
      <c r="H1361" s="564">
        <v>40015</v>
      </c>
      <c r="I1361" s="563">
        <v>25.35</v>
      </c>
      <c r="J1361" s="563">
        <v>-25.35</v>
      </c>
      <c r="K1361" s="582">
        <f t="shared" si="60"/>
        <v>0</v>
      </c>
      <c r="L1361" s="563">
        <f t="shared" si="61"/>
        <v>0</v>
      </c>
      <c r="M1361" s="563">
        <f t="shared" si="62"/>
        <v>27.885000000000005</v>
      </c>
      <c r="N1361" s="580"/>
    </row>
    <row r="1362" spans="4:14" x14ac:dyDescent="0.25">
      <c r="D1362" s="559" t="s">
        <v>867</v>
      </c>
      <c r="E1362" s="558">
        <v>311297</v>
      </c>
      <c r="F1362" s="559">
        <v>301342</v>
      </c>
      <c r="G1362" s="558" t="s">
        <v>2151</v>
      </c>
      <c r="H1362" s="564">
        <v>40015</v>
      </c>
      <c r="I1362" s="563">
        <v>64.349999999999994</v>
      </c>
      <c r="J1362" s="563">
        <v>-64.349999999999994</v>
      </c>
      <c r="K1362" s="582">
        <f t="shared" si="60"/>
        <v>0</v>
      </c>
      <c r="L1362" s="563">
        <f t="shared" si="61"/>
        <v>0</v>
      </c>
      <c r="M1362" s="563">
        <f t="shared" si="62"/>
        <v>70.784999999999997</v>
      </c>
      <c r="N1362" s="580"/>
    </row>
    <row r="1363" spans="4:14" x14ac:dyDescent="0.25">
      <c r="D1363" s="559" t="s">
        <v>867</v>
      </c>
      <c r="E1363" s="558">
        <v>311298</v>
      </c>
      <c r="F1363" s="559">
        <v>300917</v>
      </c>
      <c r="G1363" s="558" t="s">
        <v>2151</v>
      </c>
      <c r="H1363" s="564">
        <v>40015</v>
      </c>
      <c r="I1363" s="563">
        <v>64.349999999999994</v>
      </c>
      <c r="J1363" s="563">
        <v>-64.349999999999994</v>
      </c>
      <c r="K1363" s="582">
        <f t="shared" si="60"/>
        <v>0</v>
      </c>
      <c r="L1363" s="563">
        <f t="shared" si="61"/>
        <v>0</v>
      </c>
      <c r="M1363" s="563">
        <f t="shared" si="62"/>
        <v>70.784999999999997</v>
      </c>
      <c r="N1363" s="580"/>
    </row>
    <row r="1364" spans="4:14" x14ac:dyDescent="0.25">
      <c r="D1364" s="559" t="s">
        <v>867</v>
      </c>
      <c r="E1364" s="558">
        <v>311299</v>
      </c>
      <c r="F1364" s="559">
        <v>301299</v>
      </c>
      <c r="G1364" s="558" t="s">
        <v>2152</v>
      </c>
      <c r="H1364" s="564">
        <v>40015</v>
      </c>
      <c r="I1364" s="563">
        <v>64.349999999999994</v>
      </c>
      <c r="J1364" s="563">
        <v>-64.349999999999994</v>
      </c>
      <c r="K1364" s="582">
        <f t="shared" si="60"/>
        <v>0</v>
      </c>
      <c r="L1364" s="563">
        <f t="shared" si="61"/>
        <v>0</v>
      </c>
      <c r="M1364" s="563">
        <f t="shared" si="62"/>
        <v>70.784999999999997</v>
      </c>
      <c r="N1364" s="580"/>
    </row>
    <row r="1365" spans="4:14" x14ac:dyDescent="0.25">
      <c r="D1365" s="559" t="s">
        <v>867</v>
      </c>
      <c r="E1365" s="558">
        <v>311301</v>
      </c>
      <c r="F1365" s="559">
        <v>301556</v>
      </c>
      <c r="G1365" s="558" t="s">
        <v>2152</v>
      </c>
      <c r="H1365" s="564">
        <v>40015</v>
      </c>
      <c r="I1365" s="563">
        <v>727.35</v>
      </c>
      <c r="J1365" s="563">
        <v>-585</v>
      </c>
      <c r="K1365" s="582">
        <f t="shared" si="60"/>
        <v>142.35000000000002</v>
      </c>
      <c r="L1365" s="563">
        <f t="shared" si="61"/>
        <v>156.58500000000004</v>
      </c>
      <c r="M1365" s="563">
        <f t="shared" si="62"/>
        <v>800.08500000000004</v>
      </c>
      <c r="N1365" s="580"/>
    </row>
    <row r="1366" spans="4:14" x14ac:dyDescent="0.25">
      <c r="D1366" s="559" t="s">
        <v>867</v>
      </c>
      <c r="E1366" s="558">
        <v>311302</v>
      </c>
      <c r="F1366" s="559">
        <v>300651</v>
      </c>
      <c r="G1366" s="558" t="s">
        <v>2152</v>
      </c>
      <c r="H1366" s="564">
        <v>40015</v>
      </c>
      <c r="I1366" s="563">
        <v>64.349999999999994</v>
      </c>
      <c r="J1366" s="563">
        <v>-64.349999999999994</v>
      </c>
      <c r="K1366" s="582">
        <f t="shared" si="60"/>
        <v>0</v>
      </c>
      <c r="L1366" s="563">
        <f t="shared" si="61"/>
        <v>0</v>
      </c>
      <c r="M1366" s="563">
        <f t="shared" si="62"/>
        <v>70.784999999999997</v>
      </c>
      <c r="N1366" s="580"/>
    </row>
    <row r="1367" spans="4:14" x14ac:dyDescent="0.25">
      <c r="D1367" s="559" t="s">
        <v>867</v>
      </c>
      <c r="E1367" s="558">
        <v>311303</v>
      </c>
      <c r="F1367" s="559">
        <v>300812</v>
      </c>
      <c r="G1367" s="558" t="s">
        <v>2152</v>
      </c>
      <c r="H1367" s="564">
        <v>40015</v>
      </c>
      <c r="I1367" s="563">
        <v>64.349999999999994</v>
      </c>
      <c r="J1367" s="563">
        <v>-64.349999999999994</v>
      </c>
      <c r="K1367" s="582">
        <f t="shared" si="60"/>
        <v>0</v>
      </c>
      <c r="L1367" s="563">
        <f t="shared" si="61"/>
        <v>0</v>
      </c>
      <c r="M1367" s="563">
        <f t="shared" si="62"/>
        <v>70.784999999999997</v>
      </c>
      <c r="N1367" s="580"/>
    </row>
    <row r="1368" spans="4:14" x14ac:dyDescent="0.25">
      <c r="D1368" s="559" t="s">
        <v>867</v>
      </c>
      <c r="E1368" s="558">
        <v>311307</v>
      </c>
      <c r="F1368" s="559">
        <v>300865</v>
      </c>
      <c r="G1368" s="558" t="s">
        <v>2152</v>
      </c>
      <c r="H1368" s="564">
        <v>40015</v>
      </c>
      <c r="I1368" s="563">
        <v>64.349999999999994</v>
      </c>
      <c r="J1368" s="563">
        <v>-64.349999999999994</v>
      </c>
      <c r="K1368" s="582">
        <f t="shared" si="60"/>
        <v>0</v>
      </c>
      <c r="L1368" s="563">
        <f t="shared" si="61"/>
        <v>0</v>
      </c>
      <c r="M1368" s="563">
        <f t="shared" si="62"/>
        <v>70.784999999999997</v>
      </c>
      <c r="N1368" s="580"/>
    </row>
    <row r="1369" spans="4:14" x14ac:dyDescent="0.25">
      <c r="D1369" s="559" t="s">
        <v>867</v>
      </c>
      <c r="E1369" s="558">
        <v>311308</v>
      </c>
      <c r="F1369" s="559">
        <v>301403</v>
      </c>
      <c r="G1369" s="558" t="s">
        <v>2153</v>
      </c>
      <c r="H1369" s="564">
        <v>40015</v>
      </c>
      <c r="I1369" s="563">
        <v>376.35</v>
      </c>
      <c r="J1369" s="563">
        <v>-376.35</v>
      </c>
      <c r="K1369" s="582">
        <f t="shared" si="60"/>
        <v>0</v>
      </c>
      <c r="L1369" s="563">
        <f t="shared" si="61"/>
        <v>0</v>
      </c>
      <c r="M1369" s="563">
        <f t="shared" si="62"/>
        <v>413.98500000000007</v>
      </c>
      <c r="N1369" s="580"/>
    </row>
    <row r="1370" spans="4:14" x14ac:dyDescent="0.25">
      <c r="D1370" s="559" t="s">
        <v>867</v>
      </c>
      <c r="E1370" s="558">
        <v>311312</v>
      </c>
      <c r="F1370" s="559">
        <v>301826</v>
      </c>
      <c r="G1370" s="558" t="s">
        <v>2153</v>
      </c>
      <c r="H1370" s="564">
        <v>40015</v>
      </c>
      <c r="I1370" s="563">
        <v>727.35</v>
      </c>
      <c r="J1370" s="563">
        <v>-585</v>
      </c>
      <c r="K1370" s="582">
        <f t="shared" si="60"/>
        <v>142.35000000000002</v>
      </c>
      <c r="L1370" s="563">
        <f t="shared" si="61"/>
        <v>156.58500000000004</v>
      </c>
      <c r="M1370" s="563">
        <f t="shared" si="62"/>
        <v>800.08500000000004</v>
      </c>
      <c r="N1370" s="580"/>
    </row>
    <row r="1371" spans="4:14" x14ac:dyDescent="0.25">
      <c r="D1371" s="559" t="s">
        <v>867</v>
      </c>
      <c r="E1371" s="558">
        <v>311313</v>
      </c>
      <c r="F1371" s="559">
        <v>301824</v>
      </c>
      <c r="G1371" s="558" t="s">
        <v>2153</v>
      </c>
      <c r="H1371" s="564">
        <v>40015</v>
      </c>
      <c r="I1371" s="563">
        <v>64.349999999999994</v>
      </c>
      <c r="J1371" s="563">
        <v>-64.349999999999994</v>
      </c>
      <c r="K1371" s="582">
        <f t="shared" si="60"/>
        <v>0</v>
      </c>
      <c r="L1371" s="563">
        <f t="shared" si="61"/>
        <v>0</v>
      </c>
      <c r="M1371" s="563">
        <f t="shared" si="62"/>
        <v>70.784999999999997</v>
      </c>
      <c r="N1371" s="580"/>
    </row>
    <row r="1372" spans="4:14" x14ac:dyDescent="0.25">
      <c r="D1372" s="559" t="s">
        <v>867</v>
      </c>
      <c r="E1372" s="558">
        <v>311317</v>
      </c>
      <c r="F1372" s="559">
        <v>302169</v>
      </c>
      <c r="G1372" s="558" t="s">
        <v>2153</v>
      </c>
      <c r="H1372" s="564">
        <v>40015</v>
      </c>
      <c r="I1372" s="563">
        <v>64.349999999999994</v>
      </c>
      <c r="J1372" s="563">
        <v>-64.349999999999994</v>
      </c>
      <c r="K1372" s="582">
        <f t="shared" si="60"/>
        <v>0</v>
      </c>
      <c r="L1372" s="563">
        <f t="shared" si="61"/>
        <v>0</v>
      </c>
      <c r="M1372" s="563">
        <f t="shared" si="62"/>
        <v>70.784999999999997</v>
      </c>
      <c r="N1372" s="580"/>
    </row>
    <row r="1373" spans="4:14" x14ac:dyDescent="0.25">
      <c r="D1373" s="559" t="s">
        <v>867</v>
      </c>
      <c r="E1373" s="558">
        <v>311318</v>
      </c>
      <c r="F1373" s="559">
        <v>301329</v>
      </c>
      <c r="G1373" s="558" t="s">
        <v>2153</v>
      </c>
      <c r="H1373" s="564">
        <v>40015</v>
      </c>
      <c r="I1373" s="563">
        <v>64.349999999999994</v>
      </c>
      <c r="J1373" s="563">
        <v>-64.349999999999994</v>
      </c>
      <c r="K1373" s="582">
        <f t="shared" si="60"/>
        <v>0</v>
      </c>
      <c r="L1373" s="563">
        <f t="shared" si="61"/>
        <v>0</v>
      </c>
      <c r="M1373" s="563">
        <f t="shared" si="62"/>
        <v>70.784999999999997</v>
      </c>
      <c r="N1373" s="580"/>
    </row>
    <row r="1374" spans="4:14" x14ac:dyDescent="0.25">
      <c r="D1374" s="559" t="s">
        <v>867</v>
      </c>
      <c r="E1374" s="558">
        <v>311324</v>
      </c>
      <c r="F1374" s="559">
        <v>301597</v>
      </c>
      <c r="G1374" s="558" t="s">
        <v>2154</v>
      </c>
      <c r="H1374" s="564">
        <v>40015</v>
      </c>
      <c r="I1374" s="563">
        <v>64.349999999999994</v>
      </c>
      <c r="J1374" s="563">
        <v>-64.349999999999994</v>
      </c>
      <c r="K1374" s="582">
        <f t="shared" si="60"/>
        <v>0</v>
      </c>
      <c r="L1374" s="563">
        <f t="shared" si="61"/>
        <v>0</v>
      </c>
      <c r="M1374" s="563">
        <f t="shared" si="62"/>
        <v>70.784999999999997</v>
      </c>
      <c r="N1374" s="580"/>
    </row>
    <row r="1375" spans="4:14" x14ac:dyDescent="0.25">
      <c r="D1375" s="559" t="s">
        <v>867</v>
      </c>
      <c r="E1375" s="558">
        <v>311325</v>
      </c>
      <c r="F1375" s="559">
        <v>301625</v>
      </c>
      <c r="G1375" s="558" t="s">
        <v>2154</v>
      </c>
      <c r="H1375" s="564">
        <v>40015</v>
      </c>
      <c r="I1375" s="563">
        <v>64.349999999999994</v>
      </c>
      <c r="J1375" s="563">
        <v>-64.349999999999994</v>
      </c>
      <c r="K1375" s="582">
        <f t="shared" si="60"/>
        <v>0</v>
      </c>
      <c r="L1375" s="563">
        <f t="shared" si="61"/>
        <v>0</v>
      </c>
      <c r="M1375" s="563">
        <f t="shared" si="62"/>
        <v>70.784999999999997</v>
      </c>
      <c r="N1375" s="580"/>
    </row>
    <row r="1376" spans="4:14" x14ac:dyDescent="0.25">
      <c r="D1376" s="559" t="s">
        <v>867</v>
      </c>
      <c r="E1376" s="558">
        <v>311332</v>
      </c>
      <c r="F1376" s="559">
        <v>302115</v>
      </c>
      <c r="G1376" s="558" t="s">
        <v>2154</v>
      </c>
      <c r="H1376" s="564">
        <v>40015</v>
      </c>
      <c r="I1376" s="563">
        <v>727.35</v>
      </c>
      <c r="J1376" s="563">
        <v>-585</v>
      </c>
      <c r="K1376" s="582">
        <f t="shared" si="60"/>
        <v>142.35000000000002</v>
      </c>
      <c r="L1376" s="563">
        <f t="shared" si="61"/>
        <v>156.58500000000004</v>
      </c>
      <c r="M1376" s="563">
        <f t="shared" si="62"/>
        <v>800.08500000000004</v>
      </c>
      <c r="N1376" s="580"/>
    </row>
    <row r="1377" spans="4:14" x14ac:dyDescent="0.25">
      <c r="D1377" s="559" t="s">
        <v>867</v>
      </c>
      <c r="E1377" s="558">
        <v>311336</v>
      </c>
      <c r="F1377" s="559">
        <v>300976</v>
      </c>
      <c r="G1377" s="558" t="s">
        <v>2154</v>
      </c>
      <c r="H1377" s="564">
        <v>40015</v>
      </c>
      <c r="I1377" s="563">
        <v>64.349999999999994</v>
      </c>
      <c r="J1377" s="563">
        <v>-64.349999999999994</v>
      </c>
      <c r="K1377" s="582">
        <f t="shared" si="60"/>
        <v>0</v>
      </c>
      <c r="L1377" s="563">
        <f t="shared" si="61"/>
        <v>0</v>
      </c>
      <c r="M1377" s="563">
        <f t="shared" si="62"/>
        <v>70.784999999999997</v>
      </c>
      <c r="N1377" s="580"/>
    </row>
    <row r="1378" spans="4:14" x14ac:dyDescent="0.25">
      <c r="D1378" s="559" t="s">
        <v>867</v>
      </c>
      <c r="E1378" s="558">
        <v>311340</v>
      </c>
      <c r="F1378" s="559">
        <v>301938</v>
      </c>
      <c r="G1378" s="558" t="s">
        <v>2154</v>
      </c>
      <c r="H1378" s="564">
        <v>40015</v>
      </c>
      <c r="I1378" s="563">
        <v>64.349999999999994</v>
      </c>
      <c r="J1378" s="563">
        <v>-64.349999999999994</v>
      </c>
      <c r="K1378" s="582">
        <f t="shared" si="60"/>
        <v>0</v>
      </c>
      <c r="L1378" s="563">
        <f t="shared" si="61"/>
        <v>0</v>
      </c>
      <c r="M1378" s="563">
        <f t="shared" si="62"/>
        <v>70.784999999999997</v>
      </c>
      <c r="N1378" s="580"/>
    </row>
    <row r="1379" spans="4:14" x14ac:dyDescent="0.25">
      <c r="D1379" s="559" t="s">
        <v>867</v>
      </c>
      <c r="E1379" s="558">
        <v>311350</v>
      </c>
      <c r="F1379" s="559">
        <v>300660</v>
      </c>
      <c r="G1379" s="558" t="s">
        <v>2155</v>
      </c>
      <c r="H1379" s="564">
        <v>40015</v>
      </c>
      <c r="I1379" s="563">
        <v>64.349999999999994</v>
      </c>
      <c r="J1379" s="563">
        <v>-64.349999999999994</v>
      </c>
      <c r="K1379" s="582">
        <f t="shared" si="60"/>
        <v>0</v>
      </c>
      <c r="L1379" s="563">
        <f t="shared" si="61"/>
        <v>0</v>
      </c>
      <c r="M1379" s="563">
        <f t="shared" si="62"/>
        <v>70.784999999999997</v>
      </c>
      <c r="N1379" s="580"/>
    </row>
    <row r="1380" spans="4:14" x14ac:dyDescent="0.25">
      <c r="D1380" s="559" t="s">
        <v>867</v>
      </c>
      <c r="E1380" s="558">
        <v>311351</v>
      </c>
      <c r="F1380" s="559">
        <v>300986</v>
      </c>
      <c r="G1380" s="558" t="s">
        <v>2155</v>
      </c>
      <c r="H1380" s="564">
        <v>40015</v>
      </c>
      <c r="I1380" s="563">
        <v>64.349999999999994</v>
      </c>
      <c r="J1380" s="563">
        <v>-64.349999999999994</v>
      </c>
      <c r="K1380" s="582">
        <f t="shared" si="60"/>
        <v>0</v>
      </c>
      <c r="L1380" s="563">
        <f t="shared" si="61"/>
        <v>0</v>
      </c>
      <c r="M1380" s="563">
        <f t="shared" si="62"/>
        <v>70.784999999999997</v>
      </c>
      <c r="N1380" s="580"/>
    </row>
    <row r="1381" spans="4:14" x14ac:dyDescent="0.25">
      <c r="D1381" s="559" t="s">
        <v>867</v>
      </c>
      <c r="E1381" s="558">
        <v>311354</v>
      </c>
      <c r="F1381" s="559">
        <v>301479</v>
      </c>
      <c r="G1381" s="558" t="s">
        <v>2155</v>
      </c>
      <c r="H1381" s="564">
        <v>40015</v>
      </c>
      <c r="I1381" s="563">
        <v>64.349999999999994</v>
      </c>
      <c r="J1381" s="563">
        <v>-64.349999999999994</v>
      </c>
      <c r="K1381" s="582">
        <f t="shared" si="60"/>
        <v>0</v>
      </c>
      <c r="L1381" s="563">
        <f t="shared" si="61"/>
        <v>0</v>
      </c>
      <c r="M1381" s="563">
        <f t="shared" si="62"/>
        <v>70.784999999999997</v>
      </c>
      <c r="N1381" s="580"/>
    </row>
    <row r="1382" spans="4:14" x14ac:dyDescent="0.25">
      <c r="D1382" s="559" t="s">
        <v>867</v>
      </c>
      <c r="E1382" s="558">
        <v>311360</v>
      </c>
      <c r="F1382" s="559">
        <v>300534</v>
      </c>
      <c r="G1382" s="558" t="s">
        <v>2155</v>
      </c>
      <c r="H1382" s="564">
        <v>40015</v>
      </c>
      <c r="I1382" s="563">
        <v>64.349999999999994</v>
      </c>
      <c r="J1382" s="563">
        <v>-64.349999999999994</v>
      </c>
      <c r="K1382" s="582">
        <f t="shared" si="60"/>
        <v>0</v>
      </c>
      <c r="L1382" s="563">
        <f t="shared" si="61"/>
        <v>0</v>
      </c>
      <c r="M1382" s="563">
        <f t="shared" si="62"/>
        <v>70.784999999999997</v>
      </c>
      <c r="N1382" s="580"/>
    </row>
    <row r="1383" spans="4:14" x14ac:dyDescent="0.25">
      <c r="D1383" s="559" t="s">
        <v>867</v>
      </c>
      <c r="E1383" s="558">
        <v>311370</v>
      </c>
      <c r="F1383" s="559">
        <v>301912</v>
      </c>
      <c r="G1383" s="558" t="s">
        <v>2155</v>
      </c>
      <c r="H1383" s="564">
        <v>40015</v>
      </c>
      <c r="I1383" s="563">
        <v>64.349999999999994</v>
      </c>
      <c r="J1383" s="563">
        <v>-64.349999999999994</v>
      </c>
      <c r="K1383" s="582">
        <f t="shared" si="60"/>
        <v>0</v>
      </c>
      <c r="L1383" s="563">
        <f t="shared" si="61"/>
        <v>0</v>
      </c>
      <c r="M1383" s="563">
        <f t="shared" si="62"/>
        <v>70.784999999999997</v>
      </c>
      <c r="N1383" s="580"/>
    </row>
    <row r="1384" spans="4:14" x14ac:dyDescent="0.25">
      <c r="D1384" s="559" t="s">
        <v>867</v>
      </c>
      <c r="E1384" s="558">
        <v>311371</v>
      </c>
      <c r="F1384" s="559">
        <v>301823</v>
      </c>
      <c r="G1384" s="558" t="s">
        <v>2156</v>
      </c>
      <c r="H1384" s="564">
        <v>40015</v>
      </c>
      <c r="I1384" s="563">
        <v>493.35</v>
      </c>
      <c r="J1384" s="563">
        <v>-493.35</v>
      </c>
      <c r="K1384" s="582">
        <f t="shared" si="60"/>
        <v>0</v>
      </c>
      <c r="L1384" s="563">
        <f t="shared" si="61"/>
        <v>0</v>
      </c>
      <c r="M1384" s="563">
        <f t="shared" si="62"/>
        <v>542.68500000000006</v>
      </c>
      <c r="N1384" s="580"/>
    </row>
    <row r="1385" spans="4:14" x14ac:dyDescent="0.25">
      <c r="D1385" s="559" t="s">
        <v>867</v>
      </c>
      <c r="E1385" s="558">
        <v>311378</v>
      </c>
      <c r="F1385" s="559">
        <v>301462</v>
      </c>
      <c r="G1385" s="558" t="s">
        <v>2156</v>
      </c>
      <c r="H1385" s="564">
        <v>40015</v>
      </c>
      <c r="I1385" s="563">
        <v>727.35</v>
      </c>
      <c r="J1385" s="563">
        <v>-585</v>
      </c>
      <c r="K1385" s="582">
        <f t="shared" ref="K1385:K1448" si="63">+I1385+J1385</f>
        <v>142.35000000000002</v>
      </c>
      <c r="L1385" s="563">
        <f t="shared" ref="L1385:L1448" si="64">+K1385*1.1</f>
        <v>156.58500000000004</v>
      </c>
      <c r="M1385" s="563">
        <f t="shared" ref="M1385:M1448" si="65">+I1385*1.1</f>
        <v>800.08500000000004</v>
      </c>
      <c r="N1385" s="580"/>
    </row>
    <row r="1386" spans="4:14" x14ac:dyDescent="0.25">
      <c r="D1386" s="559" t="s">
        <v>867</v>
      </c>
      <c r="E1386" s="558">
        <v>311379</v>
      </c>
      <c r="F1386" s="559">
        <v>300610</v>
      </c>
      <c r="G1386" s="558" t="s">
        <v>2156</v>
      </c>
      <c r="H1386" s="564">
        <v>40015</v>
      </c>
      <c r="I1386" s="563">
        <v>727.35</v>
      </c>
      <c r="J1386" s="563">
        <v>-585</v>
      </c>
      <c r="K1386" s="582">
        <f t="shared" si="63"/>
        <v>142.35000000000002</v>
      </c>
      <c r="L1386" s="563">
        <f t="shared" si="64"/>
        <v>156.58500000000004</v>
      </c>
      <c r="M1386" s="563">
        <f t="shared" si="65"/>
        <v>800.08500000000004</v>
      </c>
      <c r="N1386" s="580"/>
    </row>
    <row r="1387" spans="4:14" x14ac:dyDescent="0.25">
      <c r="D1387" s="559" t="s">
        <v>867</v>
      </c>
      <c r="E1387" s="558">
        <v>311380</v>
      </c>
      <c r="F1387" s="559">
        <v>302274</v>
      </c>
      <c r="G1387" s="558" t="s">
        <v>2156</v>
      </c>
      <c r="H1387" s="564">
        <v>40015</v>
      </c>
      <c r="I1387" s="563">
        <v>727.35</v>
      </c>
      <c r="J1387" s="563">
        <v>-585</v>
      </c>
      <c r="K1387" s="582">
        <f t="shared" si="63"/>
        <v>142.35000000000002</v>
      </c>
      <c r="L1387" s="563">
        <f t="shared" si="64"/>
        <v>156.58500000000004</v>
      </c>
      <c r="M1387" s="563">
        <f t="shared" si="65"/>
        <v>800.08500000000004</v>
      </c>
      <c r="N1387" s="580"/>
    </row>
    <row r="1388" spans="4:14" x14ac:dyDescent="0.25">
      <c r="D1388" s="559" t="s">
        <v>867</v>
      </c>
      <c r="E1388" s="558">
        <v>311381</v>
      </c>
      <c r="F1388" s="559">
        <v>301955</v>
      </c>
      <c r="G1388" s="558" t="s">
        <v>2156</v>
      </c>
      <c r="H1388" s="564">
        <v>40015</v>
      </c>
      <c r="I1388" s="563">
        <v>64.349999999999994</v>
      </c>
      <c r="J1388" s="563">
        <v>-64.349999999999994</v>
      </c>
      <c r="K1388" s="582">
        <f t="shared" si="63"/>
        <v>0</v>
      </c>
      <c r="L1388" s="563">
        <f t="shared" si="64"/>
        <v>0</v>
      </c>
      <c r="M1388" s="563">
        <f t="shared" si="65"/>
        <v>70.784999999999997</v>
      </c>
      <c r="N1388" s="580"/>
    </row>
    <row r="1389" spans="4:14" x14ac:dyDescent="0.25">
      <c r="D1389" s="559" t="s">
        <v>867</v>
      </c>
      <c r="E1389" s="558">
        <v>311383</v>
      </c>
      <c r="F1389" s="559">
        <v>300847</v>
      </c>
      <c r="G1389" s="558" t="s">
        <v>2157</v>
      </c>
      <c r="H1389" s="564">
        <v>40015</v>
      </c>
      <c r="I1389" s="563">
        <v>64.349999999999994</v>
      </c>
      <c r="J1389" s="563">
        <v>-64.349999999999994</v>
      </c>
      <c r="K1389" s="582">
        <f t="shared" si="63"/>
        <v>0</v>
      </c>
      <c r="L1389" s="563">
        <f t="shared" si="64"/>
        <v>0</v>
      </c>
      <c r="M1389" s="563">
        <f t="shared" si="65"/>
        <v>70.784999999999997</v>
      </c>
      <c r="N1389" s="580"/>
    </row>
    <row r="1390" spans="4:14" x14ac:dyDescent="0.25">
      <c r="D1390" s="559" t="s">
        <v>867</v>
      </c>
      <c r="E1390" s="558">
        <v>311387</v>
      </c>
      <c r="F1390" s="559">
        <v>300421</v>
      </c>
      <c r="G1390" s="558" t="s">
        <v>2157</v>
      </c>
      <c r="H1390" s="564">
        <v>40015</v>
      </c>
      <c r="I1390" s="563">
        <v>64.349999999999994</v>
      </c>
      <c r="J1390" s="563">
        <v>-64.349999999999994</v>
      </c>
      <c r="K1390" s="582">
        <f t="shared" si="63"/>
        <v>0</v>
      </c>
      <c r="L1390" s="563">
        <f t="shared" si="64"/>
        <v>0</v>
      </c>
      <c r="M1390" s="563">
        <f t="shared" si="65"/>
        <v>70.784999999999997</v>
      </c>
      <c r="N1390" s="580"/>
    </row>
    <row r="1391" spans="4:14" x14ac:dyDescent="0.25">
      <c r="D1391" s="559" t="s">
        <v>867</v>
      </c>
      <c r="E1391" s="558">
        <v>311395</v>
      </c>
      <c r="F1391" s="559">
        <v>300094</v>
      </c>
      <c r="G1391" s="558" t="s">
        <v>2157</v>
      </c>
      <c r="H1391" s="564">
        <v>40015</v>
      </c>
      <c r="I1391" s="563">
        <v>64.349999999999994</v>
      </c>
      <c r="J1391" s="563">
        <v>-64.349999999999994</v>
      </c>
      <c r="K1391" s="582">
        <f t="shared" si="63"/>
        <v>0</v>
      </c>
      <c r="L1391" s="563">
        <f t="shared" si="64"/>
        <v>0</v>
      </c>
      <c r="M1391" s="563">
        <f t="shared" si="65"/>
        <v>70.784999999999997</v>
      </c>
      <c r="N1391" s="580"/>
    </row>
    <row r="1392" spans="4:14" x14ac:dyDescent="0.25">
      <c r="D1392" s="559" t="s">
        <v>867</v>
      </c>
      <c r="E1392" s="558">
        <v>311397</v>
      </c>
      <c r="F1392" s="559">
        <v>301853</v>
      </c>
      <c r="G1392" s="558" t="s">
        <v>2157</v>
      </c>
      <c r="H1392" s="564">
        <v>40015</v>
      </c>
      <c r="I1392" s="563">
        <v>64.349999999999994</v>
      </c>
      <c r="J1392" s="563">
        <v>-64.349999999999994</v>
      </c>
      <c r="K1392" s="582">
        <f t="shared" si="63"/>
        <v>0</v>
      </c>
      <c r="L1392" s="563">
        <f t="shared" si="64"/>
        <v>0</v>
      </c>
      <c r="M1392" s="563">
        <f t="shared" si="65"/>
        <v>70.784999999999997</v>
      </c>
      <c r="N1392" s="580"/>
    </row>
    <row r="1393" spans="4:14" x14ac:dyDescent="0.25">
      <c r="D1393" s="559" t="s">
        <v>867</v>
      </c>
      <c r="E1393" s="558">
        <v>311398</v>
      </c>
      <c r="F1393" s="559">
        <v>300077</v>
      </c>
      <c r="G1393" s="558" t="s">
        <v>2157</v>
      </c>
      <c r="H1393" s="564">
        <v>40015</v>
      </c>
      <c r="I1393" s="563">
        <v>727.35</v>
      </c>
      <c r="J1393" s="563">
        <v>-585</v>
      </c>
      <c r="K1393" s="582">
        <f t="shared" si="63"/>
        <v>142.35000000000002</v>
      </c>
      <c r="L1393" s="563">
        <f t="shared" si="64"/>
        <v>156.58500000000004</v>
      </c>
      <c r="M1393" s="563">
        <f t="shared" si="65"/>
        <v>800.08500000000004</v>
      </c>
      <c r="N1393" s="580"/>
    </row>
    <row r="1394" spans="4:14" x14ac:dyDescent="0.25">
      <c r="D1394" s="559" t="s">
        <v>867</v>
      </c>
      <c r="E1394" s="558">
        <v>311400</v>
      </c>
      <c r="F1394" s="559">
        <v>300504</v>
      </c>
      <c r="G1394" s="558" t="s">
        <v>2158</v>
      </c>
      <c r="H1394" s="564">
        <v>40015</v>
      </c>
      <c r="I1394" s="563">
        <v>64.349999999999994</v>
      </c>
      <c r="J1394" s="563">
        <v>-64.349999999999994</v>
      </c>
      <c r="K1394" s="582">
        <f t="shared" si="63"/>
        <v>0</v>
      </c>
      <c r="L1394" s="563">
        <f t="shared" si="64"/>
        <v>0</v>
      </c>
      <c r="M1394" s="563">
        <f t="shared" si="65"/>
        <v>70.784999999999997</v>
      </c>
      <c r="N1394" s="580"/>
    </row>
    <row r="1395" spans="4:14" x14ac:dyDescent="0.25">
      <c r="D1395" s="559" t="s">
        <v>867</v>
      </c>
      <c r="E1395" s="558">
        <v>311401</v>
      </c>
      <c r="F1395" s="559">
        <v>302154</v>
      </c>
      <c r="G1395" s="558" t="s">
        <v>2158</v>
      </c>
      <c r="H1395" s="564">
        <v>40015</v>
      </c>
      <c r="I1395" s="563">
        <v>64.349999999999994</v>
      </c>
      <c r="J1395" s="563">
        <v>-64.349999999999994</v>
      </c>
      <c r="K1395" s="582">
        <f t="shared" si="63"/>
        <v>0</v>
      </c>
      <c r="L1395" s="563">
        <f t="shared" si="64"/>
        <v>0</v>
      </c>
      <c r="M1395" s="563">
        <f t="shared" si="65"/>
        <v>70.784999999999997</v>
      </c>
      <c r="N1395" s="580"/>
    </row>
    <row r="1396" spans="4:14" x14ac:dyDescent="0.25">
      <c r="D1396" s="559" t="s">
        <v>867</v>
      </c>
      <c r="E1396" s="558">
        <v>311402</v>
      </c>
      <c r="F1396" s="559">
        <v>301682</v>
      </c>
      <c r="G1396" s="558" t="s">
        <v>2158</v>
      </c>
      <c r="H1396" s="564">
        <v>40015</v>
      </c>
      <c r="I1396" s="563">
        <v>727.35</v>
      </c>
      <c r="J1396" s="563">
        <v>-585</v>
      </c>
      <c r="K1396" s="582">
        <f t="shared" si="63"/>
        <v>142.35000000000002</v>
      </c>
      <c r="L1396" s="563">
        <f t="shared" si="64"/>
        <v>156.58500000000004</v>
      </c>
      <c r="M1396" s="563">
        <f t="shared" si="65"/>
        <v>800.08500000000004</v>
      </c>
      <c r="N1396" s="580"/>
    </row>
    <row r="1397" spans="4:14" x14ac:dyDescent="0.25">
      <c r="D1397" s="559" t="s">
        <v>867</v>
      </c>
      <c r="E1397" s="558">
        <v>311403</v>
      </c>
      <c r="F1397" s="559">
        <v>300276</v>
      </c>
      <c r="G1397" s="558" t="s">
        <v>2158</v>
      </c>
      <c r="H1397" s="564">
        <v>40015</v>
      </c>
      <c r="I1397" s="563">
        <v>25.35</v>
      </c>
      <c r="J1397" s="563">
        <v>-25.35</v>
      </c>
      <c r="K1397" s="582">
        <f t="shared" si="63"/>
        <v>0</v>
      </c>
      <c r="L1397" s="563">
        <f t="shared" si="64"/>
        <v>0</v>
      </c>
      <c r="M1397" s="563">
        <f t="shared" si="65"/>
        <v>27.885000000000005</v>
      </c>
      <c r="N1397" s="580"/>
    </row>
    <row r="1398" spans="4:14" x14ac:dyDescent="0.25">
      <c r="D1398" s="559" t="s">
        <v>867</v>
      </c>
      <c r="E1398" s="558">
        <v>311404</v>
      </c>
      <c r="F1398" s="559">
        <v>301033</v>
      </c>
      <c r="G1398" s="558" t="s">
        <v>2158</v>
      </c>
      <c r="H1398" s="564">
        <v>40015</v>
      </c>
      <c r="I1398" s="563">
        <v>25.35</v>
      </c>
      <c r="J1398" s="563">
        <v>-25.35</v>
      </c>
      <c r="K1398" s="582">
        <f t="shared" si="63"/>
        <v>0</v>
      </c>
      <c r="L1398" s="563">
        <f t="shared" si="64"/>
        <v>0</v>
      </c>
      <c r="M1398" s="563">
        <f t="shared" si="65"/>
        <v>27.885000000000005</v>
      </c>
      <c r="N1398" s="580"/>
    </row>
    <row r="1399" spans="4:14" x14ac:dyDescent="0.25">
      <c r="D1399" s="559" t="s">
        <v>867</v>
      </c>
      <c r="E1399" s="558">
        <v>311411</v>
      </c>
      <c r="F1399" s="559">
        <v>301711</v>
      </c>
      <c r="G1399" s="558" t="s">
        <v>2159</v>
      </c>
      <c r="H1399" s="564">
        <v>40015</v>
      </c>
      <c r="I1399" s="563">
        <v>64.349999999999994</v>
      </c>
      <c r="J1399" s="563">
        <v>-64.349999999999994</v>
      </c>
      <c r="K1399" s="582">
        <f t="shared" si="63"/>
        <v>0</v>
      </c>
      <c r="L1399" s="563">
        <f t="shared" si="64"/>
        <v>0</v>
      </c>
      <c r="M1399" s="563">
        <f t="shared" si="65"/>
        <v>70.784999999999997</v>
      </c>
      <c r="N1399" s="580"/>
    </row>
    <row r="1400" spans="4:14" x14ac:dyDescent="0.25">
      <c r="D1400" s="559" t="s">
        <v>867</v>
      </c>
      <c r="E1400" s="558">
        <v>311412</v>
      </c>
      <c r="F1400" s="559">
        <v>301512</v>
      </c>
      <c r="G1400" s="558" t="s">
        <v>2159</v>
      </c>
      <c r="H1400" s="564">
        <v>40015</v>
      </c>
      <c r="I1400" s="563">
        <v>64.349999999999994</v>
      </c>
      <c r="J1400" s="563">
        <v>-64.349999999999994</v>
      </c>
      <c r="K1400" s="582">
        <f t="shared" si="63"/>
        <v>0</v>
      </c>
      <c r="L1400" s="563">
        <f t="shared" si="64"/>
        <v>0</v>
      </c>
      <c r="M1400" s="563">
        <f t="shared" si="65"/>
        <v>70.784999999999997</v>
      </c>
      <c r="N1400" s="580"/>
    </row>
    <row r="1401" spans="4:14" x14ac:dyDescent="0.25">
      <c r="D1401" s="559" t="s">
        <v>867</v>
      </c>
      <c r="E1401" s="558">
        <v>311414</v>
      </c>
      <c r="F1401" s="559">
        <v>301101</v>
      </c>
      <c r="G1401" s="558" t="s">
        <v>2159</v>
      </c>
      <c r="H1401" s="564">
        <v>40015</v>
      </c>
      <c r="I1401" s="563">
        <v>64.349999999999994</v>
      </c>
      <c r="J1401" s="563">
        <v>-64.349999999999994</v>
      </c>
      <c r="K1401" s="582">
        <f t="shared" si="63"/>
        <v>0</v>
      </c>
      <c r="L1401" s="563">
        <f t="shared" si="64"/>
        <v>0</v>
      </c>
      <c r="M1401" s="563">
        <f t="shared" si="65"/>
        <v>70.784999999999997</v>
      </c>
      <c r="N1401" s="580"/>
    </row>
    <row r="1402" spans="4:14" x14ac:dyDescent="0.25">
      <c r="D1402" s="559" t="s">
        <v>867</v>
      </c>
      <c r="E1402" s="558">
        <v>311416</v>
      </c>
      <c r="F1402" s="559">
        <v>301040</v>
      </c>
      <c r="G1402" s="558" t="s">
        <v>2159</v>
      </c>
      <c r="H1402" s="564">
        <v>40015</v>
      </c>
      <c r="I1402" s="563">
        <v>727.35</v>
      </c>
      <c r="J1402" s="563">
        <v>-585</v>
      </c>
      <c r="K1402" s="582">
        <f t="shared" si="63"/>
        <v>142.35000000000002</v>
      </c>
      <c r="L1402" s="563">
        <f t="shared" si="64"/>
        <v>156.58500000000004</v>
      </c>
      <c r="M1402" s="563">
        <f t="shared" si="65"/>
        <v>800.08500000000004</v>
      </c>
      <c r="N1402" s="580"/>
    </row>
    <row r="1403" spans="4:14" x14ac:dyDescent="0.25">
      <c r="D1403" s="559" t="s">
        <v>867</v>
      </c>
      <c r="E1403" s="558">
        <v>311418</v>
      </c>
      <c r="F1403" s="559">
        <v>301143</v>
      </c>
      <c r="G1403" s="558" t="s">
        <v>2159</v>
      </c>
      <c r="H1403" s="564">
        <v>40015</v>
      </c>
      <c r="I1403" s="563">
        <v>64.349999999999994</v>
      </c>
      <c r="J1403" s="563">
        <v>-64.349999999999994</v>
      </c>
      <c r="K1403" s="582">
        <f t="shared" si="63"/>
        <v>0</v>
      </c>
      <c r="L1403" s="563">
        <f t="shared" si="64"/>
        <v>0</v>
      </c>
      <c r="M1403" s="563">
        <f t="shared" si="65"/>
        <v>70.784999999999997</v>
      </c>
      <c r="N1403" s="580"/>
    </row>
    <row r="1404" spans="4:14" x14ac:dyDescent="0.25">
      <c r="D1404" s="559" t="s">
        <v>867</v>
      </c>
      <c r="E1404" s="558">
        <v>311421</v>
      </c>
      <c r="F1404" s="559">
        <v>302266</v>
      </c>
      <c r="G1404" s="558" t="s">
        <v>2160</v>
      </c>
      <c r="H1404" s="564">
        <v>40015</v>
      </c>
      <c r="I1404" s="563">
        <v>727.35</v>
      </c>
      <c r="J1404" s="563">
        <v>-585</v>
      </c>
      <c r="K1404" s="582">
        <f t="shared" si="63"/>
        <v>142.35000000000002</v>
      </c>
      <c r="L1404" s="563">
        <f t="shared" si="64"/>
        <v>156.58500000000004</v>
      </c>
      <c r="M1404" s="563">
        <f t="shared" si="65"/>
        <v>800.08500000000004</v>
      </c>
      <c r="N1404" s="580"/>
    </row>
    <row r="1405" spans="4:14" x14ac:dyDescent="0.25">
      <c r="D1405" s="559" t="s">
        <v>867</v>
      </c>
      <c r="E1405" s="558">
        <v>311422</v>
      </c>
      <c r="F1405" s="559">
        <v>300241</v>
      </c>
      <c r="G1405" s="558" t="s">
        <v>2160</v>
      </c>
      <c r="H1405" s="564">
        <v>40015</v>
      </c>
      <c r="I1405" s="563">
        <v>64.349999999999994</v>
      </c>
      <c r="J1405" s="563">
        <v>-64.349999999999994</v>
      </c>
      <c r="K1405" s="582">
        <f t="shared" si="63"/>
        <v>0</v>
      </c>
      <c r="L1405" s="563">
        <f t="shared" si="64"/>
        <v>0</v>
      </c>
      <c r="M1405" s="563">
        <f t="shared" si="65"/>
        <v>70.784999999999997</v>
      </c>
      <c r="N1405" s="580"/>
    </row>
    <row r="1406" spans="4:14" x14ac:dyDescent="0.25">
      <c r="D1406" s="559" t="s">
        <v>867</v>
      </c>
      <c r="E1406" s="558">
        <v>311424</v>
      </c>
      <c r="F1406" s="559">
        <v>302066</v>
      </c>
      <c r="G1406" s="558" t="s">
        <v>2160</v>
      </c>
      <c r="H1406" s="564">
        <v>40015</v>
      </c>
      <c r="I1406" s="563">
        <v>64.349999999999994</v>
      </c>
      <c r="J1406" s="563">
        <v>-64.349999999999994</v>
      </c>
      <c r="K1406" s="582">
        <f t="shared" si="63"/>
        <v>0</v>
      </c>
      <c r="L1406" s="563">
        <f t="shared" si="64"/>
        <v>0</v>
      </c>
      <c r="M1406" s="563">
        <f t="shared" si="65"/>
        <v>70.784999999999997</v>
      </c>
      <c r="N1406" s="580"/>
    </row>
    <row r="1407" spans="4:14" x14ac:dyDescent="0.25">
      <c r="D1407" s="559" t="s">
        <v>867</v>
      </c>
      <c r="E1407" s="558">
        <v>311427</v>
      </c>
      <c r="F1407" s="559">
        <v>300167</v>
      </c>
      <c r="G1407" s="558" t="s">
        <v>2160</v>
      </c>
      <c r="H1407" s="564">
        <v>40015</v>
      </c>
      <c r="I1407" s="563">
        <v>64.349999999999994</v>
      </c>
      <c r="J1407" s="563">
        <v>-64.349999999999994</v>
      </c>
      <c r="K1407" s="582">
        <f t="shared" si="63"/>
        <v>0</v>
      </c>
      <c r="L1407" s="563">
        <f t="shared" si="64"/>
        <v>0</v>
      </c>
      <c r="M1407" s="563">
        <f t="shared" si="65"/>
        <v>70.784999999999997</v>
      </c>
      <c r="N1407" s="580"/>
    </row>
    <row r="1408" spans="4:14" x14ac:dyDescent="0.25">
      <c r="D1408" s="559" t="s">
        <v>867</v>
      </c>
      <c r="E1408" s="558">
        <v>311440</v>
      </c>
      <c r="F1408" s="559">
        <v>300616</v>
      </c>
      <c r="G1408" s="558" t="s">
        <v>2160</v>
      </c>
      <c r="H1408" s="564">
        <v>40015</v>
      </c>
      <c r="I1408" s="563">
        <v>25.35</v>
      </c>
      <c r="J1408" s="563">
        <v>-25.35</v>
      </c>
      <c r="K1408" s="582">
        <f t="shared" si="63"/>
        <v>0</v>
      </c>
      <c r="L1408" s="563">
        <f t="shared" si="64"/>
        <v>0</v>
      </c>
      <c r="M1408" s="563">
        <f t="shared" si="65"/>
        <v>27.885000000000005</v>
      </c>
      <c r="N1408" s="580"/>
    </row>
    <row r="1409" spans="4:14" x14ac:dyDescent="0.25">
      <c r="D1409" s="559" t="s">
        <v>867</v>
      </c>
      <c r="E1409" s="558">
        <v>311448</v>
      </c>
      <c r="F1409" s="559">
        <v>301383</v>
      </c>
      <c r="G1409" s="558" t="s">
        <v>2161</v>
      </c>
      <c r="H1409" s="564">
        <v>40015</v>
      </c>
      <c r="I1409" s="563">
        <v>64.349999999999994</v>
      </c>
      <c r="J1409" s="563">
        <v>-64.349999999999994</v>
      </c>
      <c r="K1409" s="582">
        <f t="shared" si="63"/>
        <v>0</v>
      </c>
      <c r="L1409" s="563">
        <f t="shared" si="64"/>
        <v>0</v>
      </c>
      <c r="M1409" s="563">
        <f t="shared" si="65"/>
        <v>70.784999999999997</v>
      </c>
      <c r="N1409" s="580"/>
    </row>
    <row r="1410" spans="4:14" x14ac:dyDescent="0.25">
      <c r="D1410" s="559" t="s">
        <v>867</v>
      </c>
      <c r="E1410" s="558">
        <v>311450</v>
      </c>
      <c r="F1410" s="559">
        <v>302175</v>
      </c>
      <c r="G1410" s="558" t="s">
        <v>2161</v>
      </c>
      <c r="H1410" s="564">
        <v>40015</v>
      </c>
      <c r="I1410" s="563">
        <v>64.349999999999994</v>
      </c>
      <c r="J1410" s="563">
        <v>-64.349999999999994</v>
      </c>
      <c r="K1410" s="582">
        <f t="shared" si="63"/>
        <v>0</v>
      </c>
      <c r="L1410" s="563">
        <f t="shared" si="64"/>
        <v>0</v>
      </c>
      <c r="M1410" s="563">
        <f t="shared" si="65"/>
        <v>70.784999999999997</v>
      </c>
      <c r="N1410" s="580"/>
    </row>
    <row r="1411" spans="4:14" x14ac:dyDescent="0.25">
      <c r="D1411" s="559" t="s">
        <v>867</v>
      </c>
      <c r="E1411" s="558">
        <v>311452</v>
      </c>
      <c r="F1411" s="559">
        <v>300870</v>
      </c>
      <c r="G1411" s="558" t="s">
        <v>2161</v>
      </c>
      <c r="H1411" s="564">
        <v>40015</v>
      </c>
      <c r="I1411" s="563">
        <v>64.349999999999994</v>
      </c>
      <c r="J1411" s="563">
        <v>-64.349999999999994</v>
      </c>
      <c r="K1411" s="582">
        <f t="shared" si="63"/>
        <v>0</v>
      </c>
      <c r="L1411" s="563">
        <f t="shared" si="64"/>
        <v>0</v>
      </c>
      <c r="M1411" s="563">
        <f t="shared" si="65"/>
        <v>70.784999999999997</v>
      </c>
      <c r="N1411" s="580"/>
    </row>
    <row r="1412" spans="4:14" x14ac:dyDescent="0.25">
      <c r="D1412" s="559" t="s">
        <v>867</v>
      </c>
      <c r="E1412" s="558">
        <v>311456</v>
      </c>
      <c r="F1412" s="559">
        <v>302231</v>
      </c>
      <c r="G1412" s="558" t="s">
        <v>2161</v>
      </c>
      <c r="H1412" s="564">
        <v>40015</v>
      </c>
      <c r="I1412" s="563">
        <v>64.349999999999994</v>
      </c>
      <c r="J1412" s="563">
        <v>-64.349999999999994</v>
      </c>
      <c r="K1412" s="582">
        <f t="shared" si="63"/>
        <v>0</v>
      </c>
      <c r="L1412" s="563">
        <f t="shared" si="64"/>
        <v>0</v>
      </c>
      <c r="M1412" s="563">
        <f t="shared" si="65"/>
        <v>70.784999999999997</v>
      </c>
      <c r="N1412" s="580"/>
    </row>
    <row r="1413" spans="4:14" x14ac:dyDescent="0.25">
      <c r="D1413" s="559" t="s">
        <v>867</v>
      </c>
      <c r="E1413" s="558">
        <v>311458</v>
      </c>
      <c r="F1413" s="559">
        <v>301704</v>
      </c>
      <c r="G1413" s="558" t="s">
        <v>2161</v>
      </c>
      <c r="H1413" s="564">
        <v>40015</v>
      </c>
      <c r="I1413" s="563">
        <v>64.349999999999994</v>
      </c>
      <c r="J1413" s="563">
        <v>-64.349999999999994</v>
      </c>
      <c r="K1413" s="582">
        <f t="shared" si="63"/>
        <v>0</v>
      </c>
      <c r="L1413" s="563">
        <f t="shared" si="64"/>
        <v>0</v>
      </c>
      <c r="M1413" s="563">
        <f t="shared" si="65"/>
        <v>70.784999999999997</v>
      </c>
      <c r="N1413" s="580"/>
    </row>
    <row r="1414" spans="4:14" x14ac:dyDescent="0.25">
      <c r="D1414" s="559" t="s">
        <v>867</v>
      </c>
      <c r="E1414" s="558">
        <v>311460</v>
      </c>
      <c r="F1414" s="559">
        <v>300988</v>
      </c>
      <c r="G1414" s="558" t="s">
        <v>2162</v>
      </c>
      <c r="H1414" s="564">
        <v>40015</v>
      </c>
      <c r="I1414" s="563">
        <v>64.349999999999994</v>
      </c>
      <c r="J1414" s="563">
        <v>-64.349999999999994</v>
      </c>
      <c r="K1414" s="582">
        <f t="shared" si="63"/>
        <v>0</v>
      </c>
      <c r="L1414" s="563">
        <f t="shared" si="64"/>
        <v>0</v>
      </c>
      <c r="M1414" s="563">
        <f t="shared" si="65"/>
        <v>70.784999999999997</v>
      </c>
      <c r="N1414" s="580"/>
    </row>
    <row r="1415" spans="4:14" x14ac:dyDescent="0.25">
      <c r="D1415" s="559" t="s">
        <v>867</v>
      </c>
      <c r="E1415" s="558">
        <v>311468</v>
      </c>
      <c r="F1415" s="559">
        <v>301266</v>
      </c>
      <c r="G1415" s="558" t="s">
        <v>2162</v>
      </c>
      <c r="H1415" s="564">
        <v>40015</v>
      </c>
      <c r="I1415" s="563">
        <v>64.349999999999994</v>
      </c>
      <c r="J1415" s="563">
        <v>-64.349999999999994</v>
      </c>
      <c r="K1415" s="582">
        <f t="shared" si="63"/>
        <v>0</v>
      </c>
      <c r="L1415" s="563">
        <f t="shared" si="64"/>
        <v>0</v>
      </c>
      <c r="M1415" s="563">
        <f t="shared" si="65"/>
        <v>70.784999999999997</v>
      </c>
      <c r="N1415" s="580"/>
    </row>
    <row r="1416" spans="4:14" x14ac:dyDescent="0.25">
      <c r="D1416" s="559" t="s">
        <v>867</v>
      </c>
      <c r="E1416" s="558">
        <v>311472</v>
      </c>
      <c r="F1416" s="559">
        <v>301982</v>
      </c>
      <c r="G1416" s="558" t="s">
        <v>2162</v>
      </c>
      <c r="H1416" s="564">
        <v>40015</v>
      </c>
      <c r="I1416" s="563">
        <v>64.349999999999994</v>
      </c>
      <c r="J1416" s="563">
        <v>-64.349999999999994</v>
      </c>
      <c r="K1416" s="582">
        <f t="shared" si="63"/>
        <v>0</v>
      </c>
      <c r="L1416" s="563">
        <f t="shared" si="64"/>
        <v>0</v>
      </c>
      <c r="M1416" s="563">
        <f t="shared" si="65"/>
        <v>70.784999999999997</v>
      </c>
      <c r="N1416" s="580"/>
    </row>
    <row r="1417" spans="4:14" x14ac:dyDescent="0.25">
      <c r="D1417" s="559" t="s">
        <v>867</v>
      </c>
      <c r="E1417" s="558">
        <v>311474</v>
      </c>
      <c r="F1417" s="559">
        <v>301586</v>
      </c>
      <c r="G1417" s="558" t="s">
        <v>2162</v>
      </c>
      <c r="H1417" s="564">
        <v>40015</v>
      </c>
      <c r="I1417" s="563">
        <v>25.35</v>
      </c>
      <c r="J1417" s="563">
        <v>-25.35</v>
      </c>
      <c r="K1417" s="582">
        <f t="shared" si="63"/>
        <v>0</v>
      </c>
      <c r="L1417" s="563">
        <f t="shared" si="64"/>
        <v>0</v>
      </c>
      <c r="M1417" s="563">
        <f t="shared" si="65"/>
        <v>27.885000000000005</v>
      </c>
      <c r="N1417" s="580"/>
    </row>
    <row r="1418" spans="4:14" x14ac:dyDescent="0.25">
      <c r="D1418" s="559" t="s">
        <v>867</v>
      </c>
      <c r="E1418" s="558">
        <v>311475</v>
      </c>
      <c r="F1418" s="559">
        <v>301799</v>
      </c>
      <c r="G1418" s="558" t="s">
        <v>2162</v>
      </c>
      <c r="H1418" s="564">
        <v>40015</v>
      </c>
      <c r="I1418" s="563">
        <v>25.35</v>
      </c>
      <c r="J1418" s="563">
        <v>-25.35</v>
      </c>
      <c r="K1418" s="582">
        <f t="shared" si="63"/>
        <v>0</v>
      </c>
      <c r="L1418" s="563">
        <f t="shared" si="64"/>
        <v>0</v>
      </c>
      <c r="M1418" s="563">
        <f t="shared" si="65"/>
        <v>27.885000000000005</v>
      </c>
      <c r="N1418" s="580"/>
    </row>
    <row r="1419" spans="4:14" x14ac:dyDescent="0.25">
      <c r="D1419" s="559" t="s">
        <v>867</v>
      </c>
      <c r="E1419" s="558">
        <v>311481</v>
      </c>
      <c r="F1419" s="559">
        <v>300503</v>
      </c>
      <c r="G1419" s="558" t="s">
        <v>2163</v>
      </c>
      <c r="H1419" s="564">
        <v>40015</v>
      </c>
      <c r="I1419" s="563">
        <v>64.349999999999994</v>
      </c>
      <c r="J1419" s="563">
        <v>-64.349999999999994</v>
      </c>
      <c r="K1419" s="582">
        <f t="shared" si="63"/>
        <v>0</v>
      </c>
      <c r="L1419" s="563">
        <f t="shared" si="64"/>
        <v>0</v>
      </c>
      <c r="M1419" s="563">
        <f t="shared" si="65"/>
        <v>70.784999999999997</v>
      </c>
      <c r="N1419" s="580"/>
    </row>
    <row r="1420" spans="4:14" x14ac:dyDescent="0.25">
      <c r="D1420" s="559" t="s">
        <v>867</v>
      </c>
      <c r="E1420" s="558">
        <v>311482</v>
      </c>
      <c r="F1420" s="559">
        <v>301279</v>
      </c>
      <c r="G1420" s="558" t="s">
        <v>2163</v>
      </c>
      <c r="H1420" s="564">
        <v>40015</v>
      </c>
      <c r="I1420" s="563">
        <v>142.35</v>
      </c>
      <c r="J1420" s="563">
        <v>-142.35</v>
      </c>
      <c r="K1420" s="582">
        <f t="shared" si="63"/>
        <v>0</v>
      </c>
      <c r="L1420" s="563">
        <f t="shared" si="64"/>
        <v>0</v>
      </c>
      <c r="M1420" s="563">
        <f t="shared" si="65"/>
        <v>156.58500000000001</v>
      </c>
      <c r="N1420" s="580"/>
    </row>
    <row r="1421" spans="4:14" x14ac:dyDescent="0.25">
      <c r="D1421" s="559" t="s">
        <v>867</v>
      </c>
      <c r="E1421" s="558">
        <v>311485</v>
      </c>
      <c r="F1421" s="559">
        <v>300352</v>
      </c>
      <c r="G1421" s="558" t="s">
        <v>2163</v>
      </c>
      <c r="H1421" s="564">
        <v>40015</v>
      </c>
      <c r="I1421" s="563">
        <v>64.349999999999994</v>
      </c>
      <c r="J1421" s="563">
        <v>-64.349999999999994</v>
      </c>
      <c r="K1421" s="582">
        <f t="shared" si="63"/>
        <v>0</v>
      </c>
      <c r="L1421" s="563">
        <f t="shared" si="64"/>
        <v>0</v>
      </c>
      <c r="M1421" s="563">
        <f t="shared" si="65"/>
        <v>70.784999999999997</v>
      </c>
      <c r="N1421" s="580"/>
    </row>
    <row r="1422" spans="4:14" x14ac:dyDescent="0.25">
      <c r="D1422" s="559" t="s">
        <v>867</v>
      </c>
      <c r="E1422" s="558">
        <v>311487</v>
      </c>
      <c r="F1422" s="559">
        <v>301689</v>
      </c>
      <c r="G1422" s="558" t="s">
        <v>2163</v>
      </c>
      <c r="H1422" s="564">
        <v>40015</v>
      </c>
      <c r="I1422" s="563">
        <v>64.349999999999994</v>
      </c>
      <c r="J1422" s="563">
        <v>-64.349999999999994</v>
      </c>
      <c r="K1422" s="582">
        <f t="shared" si="63"/>
        <v>0</v>
      </c>
      <c r="L1422" s="563">
        <f t="shared" si="64"/>
        <v>0</v>
      </c>
      <c r="M1422" s="563">
        <f t="shared" si="65"/>
        <v>70.784999999999997</v>
      </c>
      <c r="N1422" s="580"/>
    </row>
    <row r="1423" spans="4:14" x14ac:dyDescent="0.25">
      <c r="D1423" s="559" t="s">
        <v>867</v>
      </c>
      <c r="E1423" s="558">
        <v>311488</v>
      </c>
      <c r="F1423" s="559">
        <v>300694</v>
      </c>
      <c r="G1423" s="558" t="s">
        <v>2163</v>
      </c>
      <c r="H1423" s="564">
        <v>40015</v>
      </c>
      <c r="I1423" s="563">
        <v>64.349999999999994</v>
      </c>
      <c r="J1423" s="563">
        <v>-64.349999999999994</v>
      </c>
      <c r="K1423" s="582">
        <f t="shared" si="63"/>
        <v>0</v>
      </c>
      <c r="L1423" s="563">
        <f t="shared" si="64"/>
        <v>0</v>
      </c>
      <c r="M1423" s="563">
        <f t="shared" si="65"/>
        <v>70.784999999999997</v>
      </c>
      <c r="N1423" s="580"/>
    </row>
    <row r="1424" spans="4:14" x14ac:dyDescent="0.25">
      <c r="D1424" s="559" t="s">
        <v>867</v>
      </c>
      <c r="E1424" s="558">
        <v>311491</v>
      </c>
      <c r="F1424" s="559">
        <v>300249</v>
      </c>
      <c r="G1424" s="558" t="s">
        <v>2164</v>
      </c>
      <c r="H1424" s="564">
        <v>40015</v>
      </c>
      <c r="I1424" s="563">
        <v>376.35</v>
      </c>
      <c r="J1424" s="563">
        <v>-376.35</v>
      </c>
      <c r="K1424" s="582">
        <f t="shared" si="63"/>
        <v>0</v>
      </c>
      <c r="L1424" s="563">
        <f t="shared" si="64"/>
        <v>0</v>
      </c>
      <c r="M1424" s="563">
        <f t="shared" si="65"/>
        <v>413.98500000000007</v>
      </c>
      <c r="N1424" s="580"/>
    </row>
    <row r="1425" spans="4:14" x14ac:dyDescent="0.25">
      <c r="D1425" s="559" t="s">
        <v>867</v>
      </c>
      <c r="E1425" s="558">
        <v>311496</v>
      </c>
      <c r="F1425" s="559">
        <v>301801</v>
      </c>
      <c r="G1425" s="558" t="s">
        <v>2164</v>
      </c>
      <c r="H1425" s="564">
        <v>40015</v>
      </c>
      <c r="I1425" s="563">
        <v>64.349999999999994</v>
      </c>
      <c r="J1425" s="563">
        <v>-64.349999999999994</v>
      </c>
      <c r="K1425" s="582">
        <f t="shared" si="63"/>
        <v>0</v>
      </c>
      <c r="L1425" s="563">
        <f t="shared" si="64"/>
        <v>0</v>
      </c>
      <c r="M1425" s="563">
        <f t="shared" si="65"/>
        <v>70.784999999999997</v>
      </c>
      <c r="N1425" s="580"/>
    </row>
    <row r="1426" spans="4:14" x14ac:dyDescent="0.25">
      <c r="D1426" s="559" t="s">
        <v>867</v>
      </c>
      <c r="E1426" s="558">
        <v>311502</v>
      </c>
      <c r="F1426" s="559">
        <v>301203</v>
      </c>
      <c r="G1426" s="558" t="s">
        <v>2164</v>
      </c>
      <c r="H1426" s="564">
        <v>40015</v>
      </c>
      <c r="I1426" s="563">
        <v>688.35</v>
      </c>
      <c r="J1426" s="563">
        <v>-585</v>
      </c>
      <c r="K1426" s="582">
        <f t="shared" si="63"/>
        <v>103.35000000000002</v>
      </c>
      <c r="L1426" s="563">
        <f t="shared" si="64"/>
        <v>113.68500000000003</v>
      </c>
      <c r="M1426" s="563">
        <f t="shared" si="65"/>
        <v>757.18500000000006</v>
      </c>
      <c r="N1426" s="580"/>
    </row>
    <row r="1427" spans="4:14" x14ac:dyDescent="0.25">
      <c r="D1427" s="559" t="s">
        <v>867</v>
      </c>
      <c r="E1427" s="558">
        <v>311503</v>
      </c>
      <c r="F1427" s="559">
        <v>301613</v>
      </c>
      <c r="G1427" s="558" t="s">
        <v>2164</v>
      </c>
      <c r="H1427" s="564">
        <v>40015</v>
      </c>
      <c r="I1427" s="563">
        <v>766.35</v>
      </c>
      <c r="J1427" s="563">
        <v>-585</v>
      </c>
      <c r="K1427" s="582">
        <f t="shared" si="63"/>
        <v>181.35000000000002</v>
      </c>
      <c r="L1427" s="563">
        <f t="shared" si="64"/>
        <v>199.48500000000004</v>
      </c>
      <c r="M1427" s="563">
        <f t="shared" si="65"/>
        <v>842.98500000000013</v>
      </c>
      <c r="N1427" s="580"/>
    </row>
    <row r="1428" spans="4:14" x14ac:dyDescent="0.25">
      <c r="D1428" s="559" t="s">
        <v>867</v>
      </c>
      <c r="E1428" s="558">
        <v>311511</v>
      </c>
      <c r="F1428" s="559">
        <v>301875</v>
      </c>
      <c r="G1428" s="558" t="s">
        <v>2164</v>
      </c>
      <c r="H1428" s="564">
        <v>40015</v>
      </c>
      <c r="I1428" s="563">
        <v>64.349999999999994</v>
      </c>
      <c r="J1428" s="563">
        <v>-64.349999999999994</v>
      </c>
      <c r="K1428" s="582">
        <f t="shared" si="63"/>
        <v>0</v>
      </c>
      <c r="L1428" s="563">
        <f t="shared" si="64"/>
        <v>0</v>
      </c>
      <c r="M1428" s="563">
        <f t="shared" si="65"/>
        <v>70.784999999999997</v>
      </c>
      <c r="N1428" s="580"/>
    </row>
    <row r="1429" spans="4:14" x14ac:dyDescent="0.25">
      <c r="D1429" s="559" t="s">
        <v>867</v>
      </c>
      <c r="E1429" s="558">
        <v>311514</v>
      </c>
      <c r="F1429" s="559">
        <v>302209</v>
      </c>
      <c r="G1429" s="558" t="s">
        <v>2165</v>
      </c>
      <c r="H1429" s="564">
        <v>40015</v>
      </c>
      <c r="I1429" s="563">
        <v>64.349999999999994</v>
      </c>
      <c r="J1429" s="563">
        <v>-64.349999999999994</v>
      </c>
      <c r="K1429" s="582">
        <f t="shared" si="63"/>
        <v>0</v>
      </c>
      <c r="L1429" s="563">
        <f t="shared" si="64"/>
        <v>0</v>
      </c>
      <c r="M1429" s="563">
        <f t="shared" si="65"/>
        <v>70.784999999999997</v>
      </c>
      <c r="N1429" s="580"/>
    </row>
    <row r="1430" spans="4:14" x14ac:dyDescent="0.25">
      <c r="D1430" s="559" t="s">
        <v>867</v>
      </c>
      <c r="E1430" s="558">
        <v>311520</v>
      </c>
      <c r="F1430" s="559">
        <v>302165</v>
      </c>
      <c r="G1430" s="558" t="s">
        <v>2165</v>
      </c>
      <c r="H1430" s="564">
        <v>40015</v>
      </c>
      <c r="I1430" s="563">
        <v>727.35</v>
      </c>
      <c r="J1430" s="563">
        <v>-585</v>
      </c>
      <c r="K1430" s="582">
        <f t="shared" si="63"/>
        <v>142.35000000000002</v>
      </c>
      <c r="L1430" s="563">
        <f t="shared" si="64"/>
        <v>156.58500000000004</v>
      </c>
      <c r="M1430" s="563">
        <f t="shared" si="65"/>
        <v>800.08500000000004</v>
      </c>
      <c r="N1430" s="580"/>
    </row>
    <row r="1431" spans="4:14" x14ac:dyDescent="0.25">
      <c r="D1431" s="559" t="s">
        <v>867</v>
      </c>
      <c r="E1431" s="558">
        <v>311521</v>
      </c>
      <c r="F1431" s="559">
        <v>301778</v>
      </c>
      <c r="G1431" s="558" t="s">
        <v>2165</v>
      </c>
      <c r="H1431" s="564">
        <v>40015</v>
      </c>
      <c r="I1431" s="563">
        <v>727.35</v>
      </c>
      <c r="J1431" s="563">
        <v>-585</v>
      </c>
      <c r="K1431" s="582">
        <f t="shared" si="63"/>
        <v>142.35000000000002</v>
      </c>
      <c r="L1431" s="563">
        <f t="shared" si="64"/>
        <v>156.58500000000004</v>
      </c>
      <c r="M1431" s="563">
        <f t="shared" si="65"/>
        <v>800.08500000000004</v>
      </c>
      <c r="N1431" s="580"/>
    </row>
    <row r="1432" spans="4:14" x14ac:dyDescent="0.25">
      <c r="D1432" s="559" t="s">
        <v>867</v>
      </c>
      <c r="E1432" s="558">
        <v>311523</v>
      </c>
      <c r="F1432" s="559">
        <v>300972</v>
      </c>
      <c r="G1432" s="558" t="s">
        <v>2165</v>
      </c>
      <c r="H1432" s="564">
        <v>40015</v>
      </c>
      <c r="I1432" s="563">
        <v>64.349999999999994</v>
      </c>
      <c r="J1432" s="563">
        <v>-64.349999999999994</v>
      </c>
      <c r="K1432" s="582">
        <f t="shared" si="63"/>
        <v>0</v>
      </c>
      <c r="L1432" s="563">
        <f t="shared" si="64"/>
        <v>0</v>
      </c>
      <c r="M1432" s="563">
        <f t="shared" si="65"/>
        <v>70.784999999999997</v>
      </c>
      <c r="N1432" s="580"/>
    </row>
    <row r="1433" spans="4:14" x14ac:dyDescent="0.25">
      <c r="D1433" s="559" t="s">
        <v>867</v>
      </c>
      <c r="E1433" s="558">
        <v>311532</v>
      </c>
      <c r="F1433" s="559">
        <v>303056</v>
      </c>
      <c r="G1433" s="558" t="s">
        <v>2165</v>
      </c>
      <c r="H1433" s="564">
        <v>40015</v>
      </c>
      <c r="I1433" s="563">
        <v>571.35</v>
      </c>
      <c r="J1433" s="563">
        <v>-571.35</v>
      </c>
      <c r="K1433" s="582">
        <f t="shared" si="63"/>
        <v>0</v>
      </c>
      <c r="L1433" s="563">
        <f t="shared" si="64"/>
        <v>0</v>
      </c>
      <c r="M1433" s="563">
        <f t="shared" si="65"/>
        <v>628.48500000000013</v>
      </c>
      <c r="N1433" s="580"/>
    </row>
    <row r="1434" spans="4:14" x14ac:dyDescent="0.25">
      <c r="D1434" s="559" t="s">
        <v>867</v>
      </c>
      <c r="E1434" s="558">
        <v>311536</v>
      </c>
      <c r="F1434" s="559">
        <v>302105</v>
      </c>
      <c r="G1434" s="558" t="s">
        <v>2166</v>
      </c>
      <c r="H1434" s="564">
        <v>40015</v>
      </c>
      <c r="I1434" s="563">
        <v>25.35</v>
      </c>
      <c r="J1434" s="563">
        <v>-25.35</v>
      </c>
      <c r="K1434" s="582">
        <f t="shared" si="63"/>
        <v>0</v>
      </c>
      <c r="L1434" s="563">
        <f t="shared" si="64"/>
        <v>0</v>
      </c>
      <c r="M1434" s="563">
        <f t="shared" si="65"/>
        <v>27.885000000000005</v>
      </c>
      <c r="N1434" s="580"/>
    </row>
    <row r="1435" spans="4:14" x14ac:dyDescent="0.25">
      <c r="D1435" s="559" t="s">
        <v>867</v>
      </c>
      <c r="E1435" s="558">
        <v>311539</v>
      </c>
      <c r="F1435" s="559">
        <v>301380</v>
      </c>
      <c r="G1435" s="558" t="s">
        <v>2166</v>
      </c>
      <c r="H1435" s="564">
        <v>40015</v>
      </c>
      <c r="I1435" s="563">
        <v>727.35</v>
      </c>
      <c r="J1435" s="563">
        <v>-585</v>
      </c>
      <c r="K1435" s="582">
        <f t="shared" si="63"/>
        <v>142.35000000000002</v>
      </c>
      <c r="L1435" s="563">
        <f t="shared" si="64"/>
        <v>156.58500000000004</v>
      </c>
      <c r="M1435" s="563">
        <f t="shared" si="65"/>
        <v>800.08500000000004</v>
      </c>
      <c r="N1435" s="580"/>
    </row>
    <row r="1436" spans="4:14" x14ac:dyDescent="0.25">
      <c r="D1436" s="559" t="s">
        <v>867</v>
      </c>
      <c r="E1436" s="558">
        <v>311540</v>
      </c>
      <c r="F1436" s="559">
        <v>300338</v>
      </c>
      <c r="G1436" s="558" t="s">
        <v>2166</v>
      </c>
      <c r="H1436" s="564">
        <v>40015</v>
      </c>
      <c r="I1436" s="563">
        <v>727.35</v>
      </c>
      <c r="J1436" s="563">
        <v>-585</v>
      </c>
      <c r="K1436" s="582">
        <f t="shared" si="63"/>
        <v>142.35000000000002</v>
      </c>
      <c r="L1436" s="563">
        <f t="shared" si="64"/>
        <v>156.58500000000004</v>
      </c>
      <c r="M1436" s="563">
        <f t="shared" si="65"/>
        <v>800.08500000000004</v>
      </c>
      <c r="N1436" s="580"/>
    </row>
    <row r="1437" spans="4:14" x14ac:dyDescent="0.25">
      <c r="D1437" s="559" t="s">
        <v>867</v>
      </c>
      <c r="E1437" s="558">
        <v>311541</v>
      </c>
      <c r="F1437" s="559">
        <v>300919</v>
      </c>
      <c r="G1437" s="558" t="s">
        <v>2166</v>
      </c>
      <c r="H1437" s="564">
        <v>40015</v>
      </c>
      <c r="I1437" s="563">
        <v>64.349999999999994</v>
      </c>
      <c r="J1437" s="563">
        <v>-64.349999999999994</v>
      </c>
      <c r="K1437" s="582">
        <f t="shared" si="63"/>
        <v>0</v>
      </c>
      <c r="L1437" s="563">
        <f t="shared" si="64"/>
        <v>0</v>
      </c>
      <c r="M1437" s="563">
        <f t="shared" si="65"/>
        <v>70.784999999999997</v>
      </c>
      <c r="N1437" s="580"/>
    </row>
    <row r="1438" spans="4:14" x14ac:dyDescent="0.25">
      <c r="D1438" s="559" t="s">
        <v>867</v>
      </c>
      <c r="E1438" s="558">
        <v>311542</v>
      </c>
      <c r="F1438" s="559">
        <v>302217</v>
      </c>
      <c r="G1438" s="558" t="s">
        <v>2166</v>
      </c>
      <c r="H1438" s="564">
        <v>40015</v>
      </c>
      <c r="I1438" s="563">
        <v>64.349999999999994</v>
      </c>
      <c r="J1438" s="563">
        <v>-64.349999999999994</v>
      </c>
      <c r="K1438" s="582">
        <f t="shared" si="63"/>
        <v>0</v>
      </c>
      <c r="L1438" s="563">
        <f t="shared" si="64"/>
        <v>0</v>
      </c>
      <c r="M1438" s="563">
        <f t="shared" si="65"/>
        <v>70.784999999999997</v>
      </c>
      <c r="N1438" s="580"/>
    </row>
    <row r="1439" spans="4:14" x14ac:dyDescent="0.25">
      <c r="D1439" s="559" t="s">
        <v>867</v>
      </c>
      <c r="E1439" s="558">
        <v>311545</v>
      </c>
      <c r="F1439" s="559">
        <v>301524</v>
      </c>
      <c r="G1439" s="558" t="s">
        <v>2167</v>
      </c>
      <c r="H1439" s="564">
        <v>40015</v>
      </c>
      <c r="I1439" s="563">
        <v>727.35</v>
      </c>
      <c r="J1439" s="563">
        <v>-585</v>
      </c>
      <c r="K1439" s="582">
        <f t="shared" si="63"/>
        <v>142.35000000000002</v>
      </c>
      <c r="L1439" s="563">
        <f t="shared" si="64"/>
        <v>156.58500000000004</v>
      </c>
      <c r="M1439" s="563">
        <f t="shared" si="65"/>
        <v>800.08500000000004</v>
      </c>
      <c r="N1439" s="580"/>
    </row>
    <row r="1440" spans="4:14" x14ac:dyDescent="0.25">
      <c r="D1440" s="559" t="s">
        <v>867</v>
      </c>
      <c r="E1440" s="558">
        <v>311550</v>
      </c>
      <c r="F1440" s="559">
        <v>300631</v>
      </c>
      <c r="G1440" s="558" t="s">
        <v>2167</v>
      </c>
      <c r="H1440" s="564">
        <v>40015</v>
      </c>
      <c r="I1440" s="563">
        <v>337.35</v>
      </c>
      <c r="J1440" s="563">
        <v>-337.35</v>
      </c>
      <c r="K1440" s="582">
        <f t="shared" si="63"/>
        <v>0</v>
      </c>
      <c r="L1440" s="563">
        <f t="shared" si="64"/>
        <v>0</v>
      </c>
      <c r="M1440" s="563">
        <f t="shared" si="65"/>
        <v>371.08500000000004</v>
      </c>
      <c r="N1440" s="580"/>
    </row>
    <row r="1441" spans="4:14" x14ac:dyDescent="0.25">
      <c r="D1441" s="559" t="s">
        <v>867</v>
      </c>
      <c r="E1441" s="558">
        <v>311552</v>
      </c>
      <c r="F1441" s="559">
        <v>302080</v>
      </c>
      <c r="G1441" s="558" t="s">
        <v>2167</v>
      </c>
      <c r="H1441" s="564">
        <v>40015</v>
      </c>
      <c r="I1441" s="563">
        <v>25.35</v>
      </c>
      <c r="J1441" s="563">
        <v>-25.35</v>
      </c>
      <c r="K1441" s="582">
        <f t="shared" si="63"/>
        <v>0</v>
      </c>
      <c r="L1441" s="563">
        <f t="shared" si="64"/>
        <v>0</v>
      </c>
      <c r="M1441" s="563">
        <f t="shared" si="65"/>
        <v>27.885000000000005</v>
      </c>
      <c r="N1441" s="580"/>
    </row>
    <row r="1442" spans="4:14" x14ac:dyDescent="0.25">
      <c r="D1442" s="559" t="s">
        <v>867</v>
      </c>
      <c r="E1442" s="558">
        <v>311553</v>
      </c>
      <c r="F1442" s="559">
        <v>300097</v>
      </c>
      <c r="G1442" s="558" t="s">
        <v>2167</v>
      </c>
      <c r="H1442" s="564">
        <v>40015</v>
      </c>
      <c r="I1442" s="563">
        <v>727.35</v>
      </c>
      <c r="J1442" s="563">
        <v>-585</v>
      </c>
      <c r="K1442" s="582">
        <f t="shared" si="63"/>
        <v>142.35000000000002</v>
      </c>
      <c r="L1442" s="563">
        <f t="shared" si="64"/>
        <v>156.58500000000004</v>
      </c>
      <c r="M1442" s="563">
        <f t="shared" si="65"/>
        <v>800.08500000000004</v>
      </c>
      <c r="N1442" s="580"/>
    </row>
    <row r="1443" spans="4:14" x14ac:dyDescent="0.25">
      <c r="D1443" s="559" t="s">
        <v>867</v>
      </c>
      <c r="E1443" s="558">
        <v>311554</v>
      </c>
      <c r="F1443" s="559">
        <v>302210</v>
      </c>
      <c r="G1443" s="558" t="s">
        <v>2167</v>
      </c>
      <c r="H1443" s="564">
        <v>40015</v>
      </c>
      <c r="I1443" s="563">
        <v>25.35</v>
      </c>
      <c r="J1443" s="563">
        <v>-25.35</v>
      </c>
      <c r="K1443" s="582">
        <f t="shared" si="63"/>
        <v>0</v>
      </c>
      <c r="L1443" s="563">
        <f t="shared" si="64"/>
        <v>0</v>
      </c>
      <c r="M1443" s="563">
        <f t="shared" si="65"/>
        <v>27.885000000000005</v>
      </c>
      <c r="N1443" s="580"/>
    </row>
    <row r="1444" spans="4:14" x14ac:dyDescent="0.25">
      <c r="D1444" s="559" t="s">
        <v>867</v>
      </c>
      <c r="E1444" s="558">
        <v>311562</v>
      </c>
      <c r="F1444" s="559">
        <v>300380</v>
      </c>
      <c r="G1444" s="558" t="s">
        <v>2168</v>
      </c>
      <c r="H1444" s="564">
        <v>40015</v>
      </c>
      <c r="I1444" s="563">
        <v>64.349999999999994</v>
      </c>
      <c r="J1444" s="563">
        <v>-64.349999999999994</v>
      </c>
      <c r="K1444" s="582">
        <f t="shared" si="63"/>
        <v>0</v>
      </c>
      <c r="L1444" s="563">
        <f t="shared" si="64"/>
        <v>0</v>
      </c>
      <c r="M1444" s="563">
        <f t="shared" si="65"/>
        <v>70.784999999999997</v>
      </c>
      <c r="N1444" s="580"/>
    </row>
    <row r="1445" spans="4:14" x14ac:dyDescent="0.25">
      <c r="D1445" s="559" t="s">
        <v>867</v>
      </c>
      <c r="E1445" s="558">
        <v>311576</v>
      </c>
      <c r="F1445" s="559">
        <v>300830</v>
      </c>
      <c r="G1445" s="558" t="s">
        <v>2168</v>
      </c>
      <c r="H1445" s="564">
        <v>40015</v>
      </c>
      <c r="I1445" s="563">
        <v>493.35</v>
      </c>
      <c r="J1445" s="563">
        <v>-493.35</v>
      </c>
      <c r="K1445" s="582">
        <f t="shared" si="63"/>
        <v>0</v>
      </c>
      <c r="L1445" s="563">
        <f t="shared" si="64"/>
        <v>0</v>
      </c>
      <c r="M1445" s="563">
        <f t="shared" si="65"/>
        <v>542.68500000000006</v>
      </c>
      <c r="N1445" s="580"/>
    </row>
    <row r="1446" spans="4:14" x14ac:dyDescent="0.25">
      <c r="D1446" s="559" t="s">
        <v>867</v>
      </c>
      <c r="E1446" s="558">
        <v>311578</v>
      </c>
      <c r="F1446" s="559">
        <v>301810</v>
      </c>
      <c r="G1446" s="558" t="s">
        <v>2168</v>
      </c>
      <c r="H1446" s="564">
        <v>40015</v>
      </c>
      <c r="I1446" s="563">
        <v>727.35</v>
      </c>
      <c r="J1446" s="563">
        <v>-585</v>
      </c>
      <c r="K1446" s="582">
        <f t="shared" si="63"/>
        <v>142.35000000000002</v>
      </c>
      <c r="L1446" s="563">
        <f t="shared" si="64"/>
        <v>156.58500000000004</v>
      </c>
      <c r="M1446" s="563">
        <f t="shared" si="65"/>
        <v>800.08500000000004</v>
      </c>
      <c r="N1446" s="580"/>
    </row>
    <row r="1447" spans="4:14" x14ac:dyDescent="0.25">
      <c r="D1447" s="559" t="s">
        <v>867</v>
      </c>
      <c r="E1447" s="558">
        <v>311579</v>
      </c>
      <c r="F1447" s="559">
        <v>301606</v>
      </c>
      <c r="G1447" s="558" t="s">
        <v>2168</v>
      </c>
      <c r="H1447" s="564">
        <v>40015</v>
      </c>
      <c r="I1447" s="563">
        <v>64.349999999999994</v>
      </c>
      <c r="J1447" s="563">
        <v>-64.349999999999994</v>
      </c>
      <c r="K1447" s="582">
        <f t="shared" si="63"/>
        <v>0</v>
      </c>
      <c r="L1447" s="563">
        <f t="shared" si="64"/>
        <v>0</v>
      </c>
      <c r="M1447" s="563">
        <f t="shared" si="65"/>
        <v>70.784999999999997</v>
      </c>
      <c r="N1447" s="580"/>
    </row>
    <row r="1448" spans="4:14" x14ac:dyDescent="0.25">
      <c r="D1448" s="559" t="s">
        <v>867</v>
      </c>
      <c r="E1448" s="558">
        <v>311587</v>
      </c>
      <c r="F1448" s="559">
        <v>300098</v>
      </c>
      <c r="G1448" s="558" t="s">
        <v>2168</v>
      </c>
      <c r="H1448" s="564">
        <v>40015</v>
      </c>
      <c r="I1448" s="563">
        <v>727.35</v>
      </c>
      <c r="J1448" s="563">
        <v>-585</v>
      </c>
      <c r="K1448" s="582">
        <f t="shared" si="63"/>
        <v>142.35000000000002</v>
      </c>
      <c r="L1448" s="563">
        <f t="shared" si="64"/>
        <v>156.58500000000004</v>
      </c>
      <c r="M1448" s="563">
        <f t="shared" si="65"/>
        <v>800.08500000000004</v>
      </c>
      <c r="N1448" s="580"/>
    </row>
    <row r="1449" spans="4:14" x14ac:dyDescent="0.25">
      <c r="D1449" s="559" t="s">
        <v>867</v>
      </c>
      <c r="E1449" s="558">
        <v>311588</v>
      </c>
      <c r="F1449" s="559">
        <v>301746</v>
      </c>
      <c r="G1449" s="558" t="s">
        <v>2169</v>
      </c>
      <c r="H1449" s="564">
        <v>40015</v>
      </c>
      <c r="I1449" s="563">
        <v>25.35</v>
      </c>
      <c r="J1449" s="563">
        <v>-25.35</v>
      </c>
      <c r="K1449" s="582">
        <f t="shared" ref="K1449:K1512" si="66">+I1449+J1449</f>
        <v>0</v>
      </c>
      <c r="L1449" s="563">
        <f t="shared" ref="L1449:L1512" si="67">+K1449*1.1</f>
        <v>0</v>
      </c>
      <c r="M1449" s="563">
        <f t="shared" ref="M1449:M1512" si="68">+I1449*1.1</f>
        <v>27.885000000000005</v>
      </c>
      <c r="N1449" s="580"/>
    </row>
    <row r="1450" spans="4:14" x14ac:dyDescent="0.25">
      <c r="D1450" s="559" t="s">
        <v>867</v>
      </c>
      <c r="E1450" s="558">
        <v>311590</v>
      </c>
      <c r="F1450" s="559">
        <v>302228</v>
      </c>
      <c r="G1450" s="558" t="s">
        <v>2169</v>
      </c>
      <c r="H1450" s="564">
        <v>40015</v>
      </c>
      <c r="I1450" s="563">
        <v>64.349999999999994</v>
      </c>
      <c r="J1450" s="563">
        <v>-64.349999999999994</v>
      </c>
      <c r="K1450" s="582">
        <f t="shared" si="66"/>
        <v>0</v>
      </c>
      <c r="L1450" s="563">
        <f t="shared" si="67"/>
        <v>0</v>
      </c>
      <c r="M1450" s="563">
        <f t="shared" si="68"/>
        <v>70.784999999999997</v>
      </c>
      <c r="N1450" s="580"/>
    </row>
    <row r="1451" spans="4:14" x14ac:dyDescent="0.25">
      <c r="D1451" s="559" t="s">
        <v>867</v>
      </c>
      <c r="E1451" s="558">
        <v>311593</v>
      </c>
      <c r="F1451" s="559">
        <v>300814</v>
      </c>
      <c r="G1451" s="558" t="s">
        <v>2169</v>
      </c>
      <c r="H1451" s="564">
        <v>40015</v>
      </c>
      <c r="I1451" s="563">
        <v>64.349999999999994</v>
      </c>
      <c r="J1451" s="563">
        <v>-64.349999999999994</v>
      </c>
      <c r="K1451" s="582">
        <f t="shared" si="66"/>
        <v>0</v>
      </c>
      <c r="L1451" s="563">
        <f t="shared" si="67"/>
        <v>0</v>
      </c>
      <c r="M1451" s="563">
        <f t="shared" si="68"/>
        <v>70.784999999999997</v>
      </c>
      <c r="N1451" s="580"/>
    </row>
    <row r="1452" spans="4:14" x14ac:dyDescent="0.25">
      <c r="D1452" s="559" t="s">
        <v>867</v>
      </c>
      <c r="E1452" s="558">
        <v>311594</v>
      </c>
      <c r="F1452" s="559">
        <v>300096</v>
      </c>
      <c r="G1452" s="558" t="s">
        <v>2169</v>
      </c>
      <c r="H1452" s="564">
        <v>40015</v>
      </c>
      <c r="I1452" s="563">
        <v>532.35</v>
      </c>
      <c r="J1452" s="563">
        <v>-532.35</v>
      </c>
      <c r="K1452" s="582">
        <f t="shared" si="66"/>
        <v>0</v>
      </c>
      <c r="L1452" s="563">
        <f t="shared" si="67"/>
        <v>0</v>
      </c>
      <c r="M1452" s="563">
        <f t="shared" si="68"/>
        <v>585.58500000000004</v>
      </c>
      <c r="N1452" s="580"/>
    </row>
    <row r="1453" spans="4:14" x14ac:dyDescent="0.25">
      <c r="D1453" s="559" t="s">
        <v>867</v>
      </c>
      <c r="E1453" s="558">
        <v>311600</v>
      </c>
      <c r="F1453" s="559">
        <v>300765</v>
      </c>
      <c r="G1453" s="558" t="s">
        <v>2169</v>
      </c>
      <c r="H1453" s="564">
        <v>40015</v>
      </c>
      <c r="I1453" s="563">
        <v>376.35</v>
      </c>
      <c r="J1453" s="563">
        <v>-376.35</v>
      </c>
      <c r="K1453" s="582">
        <f t="shared" si="66"/>
        <v>0</v>
      </c>
      <c r="L1453" s="563">
        <f t="shared" si="67"/>
        <v>0</v>
      </c>
      <c r="M1453" s="563">
        <f t="shared" si="68"/>
        <v>413.98500000000007</v>
      </c>
      <c r="N1453" s="580"/>
    </row>
    <row r="1454" spans="4:14" x14ac:dyDescent="0.25">
      <c r="D1454" s="559" t="s">
        <v>867</v>
      </c>
      <c r="E1454" s="558">
        <v>311602</v>
      </c>
      <c r="F1454" s="559">
        <v>302005</v>
      </c>
      <c r="G1454" s="558" t="s">
        <v>2170</v>
      </c>
      <c r="H1454" s="564">
        <v>40015</v>
      </c>
      <c r="I1454" s="563">
        <v>181.35</v>
      </c>
      <c r="J1454" s="563">
        <v>-181.35</v>
      </c>
      <c r="K1454" s="582">
        <f t="shared" si="66"/>
        <v>0</v>
      </c>
      <c r="L1454" s="563">
        <f t="shared" si="67"/>
        <v>0</v>
      </c>
      <c r="M1454" s="563">
        <f t="shared" si="68"/>
        <v>199.48500000000001</v>
      </c>
      <c r="N1454" s="580"/>
    </row>
    <row r="1455" spans="4:14" x14ac:dyDescent="0.25">
      <c r="D1455" s="559" t="s">
        <v>867</v>
      </c>
      <c r="E1455" s="558">
        <v>311604</v>
      </c>
      <c r="F1455" s="559">
        <v>300817</v>
      </c>
      <c r="G1455" s="558" t="s">
        <v>2170</v>
      </c>
      <c r="H1455" s="564">
        <v>40015</v>
      </c>
      <c r="I1455" s="563">
        <v>727.35</v>
      </c>
      <c r="J1455" s="563">
        <v>-585</v>
      </c>
      <c r="K1455" s="582">
        <f t="shared" si="66"/>
        <v>142.35000000000002</v>
      </c>
      <c r="L1455" s="563">
        <f t="shared" si="67"/>
        <v>156.58500000000004</v>
      </c>
      <c r="M1455" s="563">
        <f t="shared" si="68"/>
        <v>800.08500000000004</v>
      </c>
      <c r="N1455" s="580"/>
    </row>
    <row r="1456" spans="4:14" x14ac:dyDescent="0.25">
      <c r="D1456" s="559" t="s">
        <v>867</v>
      </c>
      <c r="E1456" s="558">
        <v>311605</v>
      </c>
      <c r="F1456" s="559">
        <v>301209</v>
      </c>
      <c r="G1456" s="558" t="s">
        <v>2170</v>
      </c>
      <c r="H1456" s="564">
        <v>40015</v>
      </c>
      <c r="I1456" s="563">
        <v>727.35</v>
      </c>
      <c r="J1456" s="563">
        <v>-585</v>
      </c>
      <c r="K1456" s="582">
        <f t="shared" si="66"/>
        <v>142.35000000000002</v>
      </c>
      <c r="L1456" s="563">
        <f t="shared" si="67"/>
        <v>156.58500000000004</v>
      </c>
      <c r="M1456" s="563">
        <f t="shared" si="68"/>
        <v>800.08500000000004</v>
      </c>
      <c r="N1456" s="580"/>
    </row>
    <row r="1457" spans="4:14" x14ac:dyDescent="0.25">
      <c r="D1457" s="559" t="s">
        <v>867</v>
      </c>
      <c r="E1457" s="558">
        <v>311610</v>
      </c>
      <c r="F1457" s="559">
        <v>301905</v>
      </c>
      <c r="G1457" s="558" t="s">
        <v>2170</v>
      </c>
      <c r="H1457" s="564">
        <v>40015</v>
      </c>
      <c r="I1457" s="563">
        <v>64.349999999999994</v>
      </c>
      <c r="J1457" s="563">
        <v>-64.349999999999994</v>
      </c>
      <c r="K1457" s="582">
        <f t="shared" si="66"/>
        <v>0</v>
      </c>
      <c r="L1457" s="563">
        <f t="shared" si="67"/>
        <v>0</v>
      </c>
      <c r="M1457" s="563">
        <f t="shared" si="68"/>
        <v>70.784999999999997</v>
      </c>
      <c r="N1457" s="580"/>
    </row>
    <row r="1458" spans="4:14" x14ac:dyDescent="0.25">
      <c r="D1458" s="559" t="s">
        <v>867</v>
      </c>
      <c r="E1458" s="558">
        <v>311613</v>
      </c>
      <c r="F1458" s="559">
        <v>300732</v>
      </c>
      <c r="G1458" s="558" t="s">
        <v>2170</v>
      </c>
      <c r="H1458" s="564">
        <v>40015</v>
      </c>
      <c r="I1458" s="563">
        <v>649.35</v>
      </c>
      <c r="J1458" s="563">
        <v>-585</v>
      </c>
      <c r="K1458" s="582">
        <f t="shared" si="66"/>
        <v>64.350000000000023</v>
      </c>
      <c r="L1458" s="563">
        <f t="shared" si="67"/>
        <v>70.785000000000025</v>
      </c>
      <c r="M1458" s="563">
        <f t="shared" si="68"/>
        <v>714.28500000000008</v>
      </c>
      <c r="N1458" s="580"/>
    </row>
    <row r="1459" spans="4:14" x14ac:dyDescent="0.25">
      <c r="D1459" s="559" t="s">
        <v>867</v>
      </c>
      <c r="E1459" s="558">
        <v>311622</v>
      </c>
      <c r="F1459" s="559">
        <v>301049</v>
      </c>
      <c r="G1459" s="558" t="s">
        <v>2171</v>
      </c>
      <c r="H1459" s="564">
        <v>40015</v>
      </c>
      <c r="I1459" s="563">
        <v>727.35</v>
      </c>
      <c r="J1459" s="563">
        <v>-585</v>
      </c>
      <c r="K1459" s="582">
        <f t="shared" si="66"/>
        <v>142.35000000000002</v>
      </c>
      <c r="L1459" s="563">
        <f t="shared" si="67"/>
        <v>156.58500000000004</v>
      </c>
      <c r="M1459" s="563">
        <f t="shared" si="68"/>
        <v>800.08500000000004</v>
      </c>
      <c r="N1459" s="580"/>
    </row>
    <row r="1460" spans="4:14" x14ac:dyDescent="0.25">
      <c r="D1460" s="559" t="s">
        <v>867</v>
      </c>
      <c r="E1460" s="558">
        <v>311630</v>
      </c>
      <c r="F1460" s="559">
        <v>301263</v>
      </c>
      <c r="G1460" s="558" t="s">
        <v>2171</v>
      </c>
      <c r="H1460" s="564">
        <v>40015</v>
      </c>
      <c r="I1460" s="563">
        <v>64.349999999999994</v>
      </c>
      <c r="J1460" s="563">
        <v>-64.349999999999994</v>
      </c>
      <c r="K1460" s="582">
        <f t="shared" si="66"/>
        <v>0</v>
      </c>
      <c r="L1460" s="563">
        <f t="shared" si="67"/>
        <v>0</v>
      </c>
      <c r="M1460" s="563">
        <f t="shared" si="68"/>
        <v>70.784999999999997</v>
      </c>
      <c r="N1460" s="580"/>
    </row>
    <row r="1461" spans="4:14" x14ac:dyDescent="0.25">
      <c r="D1461" s="559" t="s">
        <v>867</v>
      </c>
      <c r="E1461" s="558">
        <v>311634</v>
      </c>
      <c r="F1461" s="559">
        <v>302148</v>
      </c>
      <c r="G1461" s="558" t="s">
        <v>2171</v>
      </c>
      <c r="H1461" s="564">
        <v>40015</v>
      </c>
      <c r="I1461" s="563">
        <v>25.35</v>
      </c>
      <c r="J1461" s="563">
        <v>-25.35</v>
      </c>
      <c r="K1461" s="582">
        <f t="shared" si="66"/>
        <v>0</v>
      </c>
      <c r="L1461" s="563">
        <f t="shared" si="67"/>
        <v>0</v>
      </c>
      <c r="M1461" s="563">
        <f t="shared" si="68"/>
        <v>27.885000000000005</v>
      </c>
      <c r="N1461" s="580"/>
    </row>
    <row r="1462" spans="4:14" x14ac:dyDescent="0.25">
      <c r="D1462" s="559" t="s">
        <v>867</v>
      </c>
      <c r="E1462" s="558">
        <v>311637</v>
      </c>
      <c r="F1462" s="559">
        <v>301934</v>
      </c>
      <c r="G1462" s="558" t="s">
        <v>2171</v>
      </c>
      <c r="H1462" s="564">
        <v>40015</v>
      </c>
      <c r="I1462" s="563">
        <v>571.35</v>
      </c>
      <c r="J1462" s="563">
        <v>-571.35</v>
      </c>
      <c r="K1462" s="582">
        <f t="shared" si="66"/>
        <v>0</v>
      </c>
      <c r="L1462" s="563">
        <f t="shared" si="67"/>
        <v>0</v>
      </c>
      <c r="M1462" s="563">
        <f t="shared" si="68"/>
        <v>628.48500000000013</v>
      </c>
      <c r="N1462" s="580"/>
    </row>
    <row r="1463" spans="4:14" x14ac:dyDescent="0.25">
      <c r="D1463" s="559" t="s">
        <v>867</v>
      </c>
      <c r="E1463" s="558">
        <v>311640</v>
      </c>
      <c r="F1463" s="559">
        <v>300461</v>
      </c>
      <c r="G1463" s="558" t="s">
        <v>2171</v>
      </c>
      <c r="H1463" s="564">
        <v>40015</v>
      </c>
      <c r="I1463" s="563">
        <v>64.349999999999994</v>
      </c>
      <c r="J1463" s="563">
        <v>-64.349999999999994</v>
      </c>
      <c r="K1463" s="582">
        <f t="shared" si="66"/>
        <v>0</v>
      </c>
      <c r="L1463" s="563">
        <f t="shared" si="67"/>
        <v>0</v>
      </c>
      <c r="M1463" s="563">
        <f t="shared" si="68"/>
        <v>70.784999999999997</v>
      </c>
      <c r="N1463" s="580"/>
    </row>
    <row r="1464" spans="4:14" x14ac:dyDescent="0.25">
      <c r="D1464" s="559" t="s">
        <v>867</v>
      </c>
      <c r="E1464" s="558">
        <v>311644</v>
      </c>
      <c r="F1464" s="559">
        <v>301890</v>
      </c>
      <c r="G1464" s="558" t="s">
        <v>2172</v>
      </c>
      <c r="H1464" s="564">
        <v>40015</v>
      </c>
      <c r="I1464" s="563">
        <v>727.35</v>
      </c>
      <c r="J1464" s="563">
        <v>-585</v>
      </c>
      <c r="K1464" s="582">
        <f t="shared" si="66"/>
        <v>142.35000000000002</v>
      </c>
      <c r="L1464" s="563">
        <f t="shared" si="67"/>
        <v>156.58500000000004</v>
      </c>
      <c r="M1464" s="563">
        <f t="shared" si="68"/>
        <v>800.08500000000004</v>
      </c>
      <c r="N1464" s="580"/>
    </row>
    <row r="1465" spans="4:14" x14ac:dyDescent="0.25">
      <c r="D1465" s="559" t="s">
        <v>867</v>
      </c>
      <c r="E1465" s="558">
        <v>311649</v>
      </c>
      <c r="F1465" s="559">
        <v>301695</v>
      </c>
      <c r="G1465" s="558" t="s">
        <v>2172</v>
      </c>
      <c r="H1465" s="564">
        <v>40015</v>
      </c>
      <c r="I1465" s="563">
        <v>337.35</v>
      </c>
      <c r="J1465" s="563">
        <v>-337.35</v>
      </c>
      <c r="K1465" s="582">
        <f t="shared" si="66"/>
        <v>0</v>
      </c>
      <c r="L1465" s="563">
        <f t="shared" si="67"/>
        <v>0</v>
      </c>
      <c r="M1465" s="563">
        <f t="shared" si="68"/>
        <v>371.08500000000004</v>
      </c>
      <c r="N1465" s="580"/>
    </row>
    <row r="1466" spans="4:14" x14ac:dyDescent="0.25">
      <c r="D1466" s="559" t="s">
        <v>867</v>
      </c>
      <c r="E1466" s="558">
        <v>311653</v>
      </c>
      <c r="F1466" s="559">
        <v>301930</v>
      </c>
      <c r="G1466" s="558" t="s">
        <v>2172</v>
      </c>
      <c r="H1466" s="564">
        <v>40015</v>
      </c>
      <c r="I1466" s="563">
        <v>64.349999999999994</v>
      </c>
      <c r="J1466" s="563">
        <v>-64.349999999999994</v>
      </c>
      <c r="K1466" s="582">
        <f t="shared" si="66"/>
        <v>0</v>
      </c>
      <c r="L1466" s="563">
        <f t="shared" si="67"/>
        <v>0</v>
      </c>
      <c r="M1466" s="563">
        <f t="shared" si="68"/>
        <v>70.784999999999997</v>
      </c>
      <c r="N1466" s="580"/>
    </row>
    <row r="1467" spans="4:14" x14ac:dyDescent="0.25">
      <c r="D1467" s="559" t="s">
        <v>867</v>
      </c>
      <c r="E1467" s="558">
        <v>311659</v>
      </c>
      <c r="F1467" s="559">
        <v>301714</v>
      </c>
      <c r="G1467" s="558" t="s">
        <v>2172</v>
      </c>
      <c r="H1467" s="564">
        <v>40015</v>
      </c>
      <c r="I1467" s="563">
        <v>571.35</v>
      </c>
      <c r="J1467" s="563">
        <v>-571.35</v>
      </c>
      <c r="K1467" s="582">
        <f t="shared" si="66"/>
        <v>0</v>
      </c>
      <c r="L1467" s="563">
        <f t="shared" si="67"/>
        <v>0</v>
      </c>
      <c r="M1467" s="563">
        <f t="shared" si="68"/>
        <v>628.48500000000013</v>
      </c>
      <c r="N1467" s="580"/>
    </row>
    <row r="1468" spans="4:14" x14ac:dyDescent="0.25">
      <c r="D1468" s="559" t="s">
        <v>867</v>
      </c>
      <c r="E1468" s="558">
        <v>311663</v>
      </c>
      <c r="F1468" s="559">
        <v>300920</v>
      </c>
      <c r="G1468" s="558" t="s">
        <v>2172</v>
      </c>
      <c r="H1468" s="564">
        <v>40015</v>
      </c>
      <c r="I1468" s="563">
        <v>532.35</v>
      </c>
      <c r="J1468" s="563">
        <v>-532.35</v>
      </c>
      <c r="K1468" s="582">
        <f t="shared" si="66"/>
        <v>0</v>
      </c>
      <c r="L1468" s="563">
        <f t="shared" si="67"/>
        <v>0</v>
      </c>
      <c r="M1468" s="563">
        <f t="shared" si="68"/>
        <v>585.58500000000004</v>
      </c>
      <c r="N1468" s="580"/>
    </row>
    <row r="1469" spans="4:14" x14ac:dyDescent="0.25">
      <c r="D1469" s="559" t="s">
        <v>867</v>
      </c>
      <c r="E1469" s="558">
        <v>311667</v>
      </c>
      <c r="F1469" s="559">
        <v>301678</v>
      </c>
      <c r="G1469" s="558" t="s">
        <v>2173</v>
      </c>
      <c r="H1469" s="564">
        <v>40015</v>
      </c>
      <c r="I1469" s="563">
        <v>64.349999999999994</v>
      </c>
      <c r="J1469" s="563">
        <v>-64.349999999999994</v>
      </c>
      <c r="K1469" s="582">
        <f t="shared" si="66"/>
        <v>0</v>
      </c>
      <c r="L1469" s="563">
        <f t="shared" si="67"/>
        <v>0</v>
      </c>
      <c r="M1469" s="563">
        <f t="shared" si="68"/>
        <v>70.784999999999997</v>
      </c>
      <c r="N1469" s="580"/>
    </row>
    <row r="1470" spans="4:14" x14ac:dyDescent="0.25">
      <c r="D1470" s="559" t="s">
        <v>867</v>
      </c>
      <c r="E1470" s="558">
        <v>311669</v>
      </c>
      <c r="F1470" s="559">
        <v>301328</v>
      </c>
      <c r="G1470" s="558" t="s">
        <v>2173</v>
      </c>
      <c r="H1470" s="564">
        <v>40015</v>
      </c>
      <c r="I1470" s="563">
        <v>727.35</v>
      </c>
      <c r="J1470" s="563">
        <v>-585</v>
      </c>
      <c r="K1470" s="582">
        <f t="shared" si="66"/>
        <v>142.35000000000002</v>
      </c>
      <c r="L1470" s="563">
        <f t="shared" si="67"/>
        <v>156.58500000000004</v>
      </c>
      <c r="M1470" s="563">
        <f t="shared" si="68"/>
        <v>800.08500000000004</v>
      </c>
      <c r="N1470" s="580"/>
    </row>
    <row r="1471" spans="4:14" x14ac:dyDescent="0.25">
      <c r="D1471" s="559" t="s">
        <v>867</v>
      </c>
      <c r="E1471" s="558">
        <v>311672</v>
      </c>
      <c r="F1471" s="559">
        <v>300987</v>
      </c>
      <c r="G1471" s="558" t="s">
        <v>2173</v>
      </c>
      <c r="H1471" s="564">
        <v>40015</v>
      </c>
      <c r="I1471" s="563">
        <v>64.349999999999994</v>
      </c>
      <c r="J1471" s="563">
        <v>-64.349999999999994</v>
      </c>
      <c r="K1471" s="582">
        <f t="shared" si="66"/>
        <v>0</v>
      </c>
      <c r="L1471" s="563">
        <f t="shared" si="67"/>
        <v>0</v>
      </c>
      <c r="M1471" s="563">
        <f t="shared" si="68"/>
        <v>70.784999999999997</v>
      </c>
      <c r="N1471" s="580"/>
    </row>
    <row r="1472" spans="4:14" x14ac:dyDescent="0.25">
      <c r="D1472" s="559" t="s">
        <v>867</v>
      </c>
      <c r="E1472" s="558">
        <v>311674</v>
      </c>
      <c r="F1472" s="559">
        <v>301170</v>
      </c>
      <c r="G1472" s="558" t="s">
        <v>2173</v>
      </c>
      <c r="H1472" s="564">
        <v>40015</v>
      </c>
      <c r="I1472" s="563">
        <v>64.349999999999994</v>
      </c>
      <c r="J1472" s="563">
        <v>-64.349999999999994</v>
      </c>
      <c r="K1472" s="582">
        <f t="shared" si="66"/>
        <v>0</v>
      </c>
      <c r="L1472" s="563">
        <f t="shared" si="67"/>
        <v>0</v>
      </c>
      <c r="M1472" s="563">
        <f t="shared" si="68"/>
        <v>70.784999999999997</v>
      </c>
      <c r="N1472" s="580"/>
    </row>
    <row r="1473" spans="4:14" x14ac:dyDescent="0.25">
      <c r="D1473" s="559" t="s">
        <v>867</v>
      </c>
      <c r="E1473" s="558">
        <v>311677</v>
      </c>
      <c r="F1473" s="559">
        <v>301344</v>
      </c>
      <c r="G1473" s="558" t="s">
        <v>2173</v>
      </c>
      <c r="H1473" s="564">
        <v>40015</v>
      </c>
      <c r="I1473" s="563">
        <v>727.35</v>
      </c>
      <c r="J1473" s="563">
        <v>-585</v>
      </c>
      <c r="K1473" s="582">
        <f t="shared" si="66"/>
        <v>142.35000000000002</v>
      </c>
      <c r="L1473" s="563">
        <f t="shared" si="67"/>
        <v>156.58500000000004</v>
      </c>
      <c r="M1473" s="563">
        <f t="shared" si="68"/>
        <v>800.08500000000004</v>
      </c>
      <c r="N1473" s="580"/>
    </row>
    <row r="1474" spans="4:14" x14ac:dyDescent="0.25">
      <c r="D1474" s="559" t="s">
        <v>867</v>
      </c>
      <c r="E1474" s="558">
        <v>311678</v>
      </c>
      <c r="F1474" s="559">
        <v>303441</v>
      </c>
      <c r="G1474" s="558" t="s">
        <v>2174</v>
      </c>
      <c r="H1474" s="564">
        <v>40015</v>
      </c>
      <c r="I1474" s="563">
        <v>25.35</v>
      </c>
      <c r="J1474" s="563">
        <v>-25.35</v>
      </c>
      <c r="K1474" s="582">
        <f t="shared" si="66"/>
        <v>0</v>
      </c>
      <c r="L1474" s="563">
        <f t="shared" si="67"/>
        <v>0</v>
      </c>
      <c r="M1474" s="563">
        <f t="shared" si="68"/>
        <v>27.885000000000005</v>
      </c>
      <c r="N1474" s="580"/>
    </row>
    <row r="1475" spans="4:14" x14ac:dyDescent="0.25">
      <c r="D1475" s="559" t="s">
        <v>867</v>
      </c>
      <c r="E1475" s="558">
        <v>311679</v>
      </c>
      <c r="F1475" s="559">
        <v>301013</v>
      </c>
      <c r="G1475" s="558" t="s">
        <v>2174</v>
      </c>
      <c r="H1475" s="564">
        <v>40015</v>
      </c>
      <c r="I1475" s="563">
        <v>571.35</v>
      </c>
      <c r="J1475" s="563">
        <v>-571.35</v>
      </c>
      <c r="K1475" s="582">
        <f t="shared" si="66"/>
        <v>0</v>
      </c>
      <c r="L1475" s="563">
        <f t="shared" si="67"/>
        <v>0</v>
      </c>
      <c r="M1475" s="563">
        <f t="shared" si="68"/>
        <v>628.48500000000013</v>
      </c>
      <c r="N1475" s="580"/>
    </row>
    <row r="1476" spans="4:14" x14ac:dyDescent="0.25">
      <c r="D1476" s="559" t="s">
        <v>867</v>
      </c>
      <c r="E1476" s="558">
        <v>311680</v>
      </c>
      <c r="F1476" s="559">
        <v>301758</v>
      </c>
      <c r="G1476" s="558" t="s">
        <v>2174</v>
      </c>
      <c r="H1476" s="564">
        <v>40015</v>
      </c>
      <c r="I1476" s="563">
        <v>64.349999999999994</v>
      </c>
      <c r="J1476" s="563">
        <v>-64.349999999999994</v>
      </c>
      <c r="K1476" s="582">
        <f t="shared" si="66"/>
        <v>0</v>
      </c>
      <c r="L1476" s="563">
        <f t="shared" si="67"/>
        <v>0</v>
      </c>
      <c r="M1476" s="563">
        <f t="shared" si="68"/>
        <v>70.784999999999997</v>
      </c>
      <c r="N1476" s="580"/>
    </row>
    <row r="1477" spans="4:14" x14ac:dyDescent="0.25">
      <c r="D1477" s="559" t="s">
        <v>867</v>
      </c>
      <c r="E1477" s="558">
        <v>311681</v>
      </c>
      <c r="F1477" s="559">
        <v>300835</v>
      </c>
      <c r="G1477" s="558" t="s">
        <v>2174</v>
      </c>
      <c r="H1477" s="564">
        <v>40015</v>
      </c>
      <c r="I1477" s="563">
        <v>64.349999999999994</v>
      </c>
      <c r="J1477" s="563">
        <v>-64.349999999999994</v>
      </c>
      <c r="K1477" s="582">
        <f t="shared" si="66"/>
        <v>0</v>
      </c>
      <c r="L1477" s="563">
        <f t="shared" si="67"/>
        <v>0</v>
      </c>
      <c r="M1477" s="563">
        <f t="shared" si="68"/>
        <v>70.784999999999997</v>
      </c>
      <c r="N1477" s="580"/>
    </row>
    <row r="1478" spans="4:14" x14ac:dyDescent="0.25">
      <c r="D1478" s="559" t="s">
        <v>867</v>
      </c>
      <c r="E1478" s="558">
        <v>311688</v>
      </c>
      <c r="F1478" s="559">
        <v>300899</v>
      </c>
      <c r="G1478" s="558" t="s">
        <v>2174</v>
      </c>
      <c r="H1478" s="564">
        <v>40015</v>
      </c>
      <c r="I1478" s="563">
        <v>64.349999999999994</v>
      </c>
      <c r="J1478" s="563">
        <v>-64.349999999999994</v>
      </c>
      <c r="K1478" s="582">
        <f t="shared" si="66"/>
        <v>0</v>
      </c>
      <c r="L1478" s="563">
        <f t="shared" si="67"/>
        <v>0</v>
      </c>
      <c r="M1478" s="563">
        <f t="shared" si="68"/>
        <v>70.784999999999997</v>
      </c>
      <c r="N1478" s="580"/>
    </row>
    <row r="1479" spans="4:14" x14ac:dyDescent="0.25">
      <c r="D1479" s="559" t="s">
        <v>867</v>
      </c>
      <c r="E1479" s="558">
        <v>311689</v>
      </c>
      <c r="F1479" s="559">
        <v>302049</v>
      </c>
      <c r="G1479" s="558" t="s">
        <v>2175</v>
      </c>
      <c r="H1479" s="564">
        <v>40015</v>
      </c>
      <c r="I1479" s="563">
        <v>64.349999999999994</v>
      </c>
      <c r="J1479" s="563">
        <v>-64.349999999999994</v>
      </c>
      <c r="K1479" s="582">
        <f t="shared" si="66"/>
        <v>0</v>
      </c>
      <c r="L1479" s="563">
        <f t="shared" si="67"/>
        <v>0</v>
      </c>
      <c r="M1479" s="563">
        <f t="shared" si="68"/>
        <v>70.784999999999997</v>
      </c>
      <c r="N1479" s="580"/>
    </row>
    <row r="1480" spans="4:14" x14ac:dyDescent="0.25">
      <c r="D1480" s="559" t="s">
        <v>867</v>
      </c>
      <c r="E1480" s="558">
        <v>311692</v>
      </c>
      <c r="F1480" s="559">
        <v>300330</v>
      </c>
      <c r="G1480" s="558" t="s">
        <v>2175</v>
      </c>
      <c r="H1480" s="564">
        <v>40015</v>
      </c>
      <c r="I1480" s="563">
        <v>64.349999999999994</v>
      </c>
      <c r="J1480" s="563">
        <v>-64.349999999999994</v>
      </c>
      <c r="K1480" s="582">
        <f t="shared" si="66"/>
        <v>0</v>
      </c>
      <c r="L1480" s="563">
        <f t="shared" si="67"/>
        <v>0</v>
      </c>
      <c r="M1480" s="563">
        <f t="shared" si="68"/>
        <v>70.784999999999997</v>
      </c>
      <c r="N1480" s="580"/>
    </row>
    <row r="1481" spans="4:14" x14ac:dyDescent="0.25">
      <c r="D1481" s="559" t="s">
        <v>867</v>
      </c>
      <c r="E1481" s="558">
        <v>311693</v>
      </c>
      <c r="F1481" s="559">
        <v>300657</v>
      </c>
      <c r="G1481" s="558" t="s">
        <v>2175</v>
      </c>
      <c r="H1481" s="564">
        <v>40015</v>
      </c>
      <c r="I1481" s="563">
        <v>64.349999999999994</v>
      </c>
      <c r="J1481" s="563">
        <v>-64.349999999999994</v>
      </c>
      <c r="K1481" s="582">
        <f t="shared" si="66"/>
        <v>0</v>
      </c>
      <c r="L1481" s="563">
        <f t="shared" si="67"/>
        <v>0</v>
      </c>
      <c r="M1481" s="563">
        <f t="shared" si="68"/>
        <v>70.784999999999997</v>
      </c>
      <c r="N1481" s="580"/>
    </row>
    <row r="1482" spans="4:14" x14ac:dyDescent="0.25">
      <c r="D1482" s="559" t="s">
        <v>867</v>
      </c>
      <c r="E1482" s="558">
        <v>311695</v>
      </c>
      <c r="F1482" s="559">
        <v>300497</v>
      </c>
      <c r="G1482" s="558" t="s">
        <v>2175</v>
      </c>
      <c r="H1482" s="564">
        <v>40015</v>
      </c>
      <c r="I1482" s="563">
        <v>64.349999999999994</v>
      </c>
      <c r="J1482" s="563">
        <v>-64.349999999999994</v>
      </c>
      <c r="K1482" s="582">
        <f t="shared" si="66"/>
        <v>0</v>
      </c>
      <c r="L1482" s="563">
        <f t="shared" si="67"/>
        <v>0</v>
      </c>
      <c r="M1482" s="563">
        <f t="shared" si="68"/>
        <v>70.784999999999997</v>
      </c>
      <c r="N1482" s="580"/>
    </row>
    <row r="1483" spans="4:14" x14ac:dyDescent="0.25">
      <c r="D1483" s="559" t="s">
        <v>867</v>
      </c>
      <c r="E1483" s="558">
        <v>311697</v>
      </c>
      <c r="F1483" s="559">
        <v>303066</v>
      </c>
      <c r="G1483" s="558" t="s">
        <v>2175</v>
      </c>
      <c r="H1483" s="564">
        <v>40015</v>
      </c>
      <c r="I1483" s="563">
        <v>727.35</v>
      </c>
      <c r="J1483" s="563">
        <v>-585</v>
      </c>
      <c r="K1483" s="582">
        <f t="shared" si="66"/>
        <v>142.35000000000002</v>
      </c>
      <c r="L1483" s="563">
        <f t="shared" si="67"/>
        <v>156.58500000000004</v>
      </c>
      <c r="M1483" s="563">
        <f t="shared" si="68"/>
        <v>800.08500000000004</v>
      </c>
      <c r="N1483" s="580"/>
    </row>
    <row r="1484" spans="4:14" x14ac:dyDescent="0.25">
      <c r="D1484" s="559" t="s">
        <v>867</v>
      </c>
      <c r="E1484" s="558">
        <v>311698</v>
      </c>
      <c r="F1484" s="559">
        <v>300232</v>
      </c>
      <c r="G1484" s="558" t="s">
        <v>2176</v>
      </c>
      <c r="H1484" s="564">
        <v>40015</v>
      </c>
      <c r="I1484" s="563">
        <v>64.349999999999994</v>
      </c>
      <c r="J1484" s="563">
        <v>-64.349999999999994</v>
      </c>
      <c r="K1484" s="582">
        <f t="shared" si="66"/>
        <v>0</v>
      </c>
      <c r="L1484" s="563">
        <f t="shared" si="67"/>
        <v>0</v>
      </c>
      <c r="M1484" s="563">
        <f t="shared" si="68"/>
        <v>70.784999999999997</v>
      </c>
      <c r="N1484" s="580"/>
    </row>
    <row r="1485" spans="4:14" x14ac:dyDescent="0.25">
      <c r="D1485" s="559" t="s">
        <v>867</v>
      </c>
      <c r="E1485" s="558">
        <v>311701</v>
      </c>
      <c r="F1485" s="559">
        <v>300071</v>
      </c>
      <c r="G1485" s="558" t="s">
        <v>2176</v>
      </c>
      <c r="H1485" s="564">
        <v>40015</v>
      </c>
      <c r="I1485" s="563">
        <v>727.35</v>
      </c>
      <c r="J1485" s="563">
        <v>-585</v>
      </c>
      <c r="K1485" s="582">
        <f t="shared" si="66"/>
        <v>142.35000000000002</v>
      </c>
      <c r="L1485" s="563">
        <f t="shared" si="67"/>
        <v>156.58500000000004</v>
      </c>
      <c r="M1485" s="563">
        <f t="shared" si="68"/>
        <v>800.08500000000004</v>
      </c>
      <c r="N1485" s="580"/>
    </row>
    <row r="1486" spans="4:14" x14ac:dyDescent="0.25">
      <c r="D1486" s="559" t="s">
        <v>867</v>
      </c>
      <c r="E1486" s="558">
        <v>311702</v>
      </c>
      <c r="F1486" s="559">
        <v>300626</v>
      </c>
      <c r="G1486" s="558" t="s">
        <v>2176</v>
      </c>
      <c r="H1486" s="564">
        <v>40015</v>
      </c>
      <c r="I1486" s="563">
        <v>727.35</v>
      </c>
      <c r="J1486" s="563">
        <v>-585</v>
      </c>
      <c r="K1486" s="582">
        <f t="shared" si="66"/>
        <v>142.35000000000002</v>
      </c>
      <c r="L1486" s="563">
        <f t="shared" si="67"/>
        <v>156.58500000000004</v>
      </c>
      <c r="M1486" s="563">
        <f t="shared" si="68"/>
        <v>800.08500000000004</v>
      </c>
      <c r="N1486" s="580"/>
    </row>
    <row r="1487" spans="4:14" x14ac:dyDescent="0.25">
      <c r="D1487" s="559" t="s">
        <v>867</v>
      </c>
      <c r="E1487" s="558">
        <v>311704</v>
      </c>
      <c r="F1487" s="559">
        <v>300852</v>
      </c>
      <c r="G1487" s="558" t="s">
        <v>2176</v>
      </c>
      <c r="H1487" s="564">
        <v>40015</v>
      </c>
      <c r="I1487" s="563">
        <v>64.349999999999994</v>
      </c>
      <c r="J1487" s="563">
        <v>-64.349999999999994</v>
      </c>
      <c r="K1487" s="582">
        <f t="shared" si="66"/>
        <v>0</v>
      </c>
      <c r="L1487" s="563">
        <f t="shared" si="67"/>
        <v>0</v>
      </c>
      <c r="M1487" s="563">
        <f t="shared" si="68"/>
        <v>70.784999999999997</v>
      </c>
      <c r="N1487" s="580"/>
    </row>
    <row r="1488" spans="4:14" x14ac:dyDescent="0.25">
      <c r="D1488" s="559" t="s">
        <v>867</v>
      </c>
      <c r="E1488" s="558">
        <v>311705</v>
      </c>
      <c r="F1488" s="559">
        <v>300307</v>
      </c>
      <c r="G1488" s="558" t="s">
        <v>2176</v>
      </c>
      <c r="H1488" s="564">
        <v>40015</v>
      </c>
      <c r="I1488" s="563">
        <v>727.35</v>
      </c>
      <c r="J1488" s="563">
        <v>-585</v>
      </c>
      <c r="K1488" s="582">
        <f t="shared" si="66"/>
        <v>142.35000000000002</v>
      </c>
      <c r="L1488" s="563">
        <f t="shared" si="67"/>
        <v>156.58500000000004</v>
      </c>
      <c r="M1488" s="563">
        <f t="shared" si="68"/>
        <v>800.08500000000004</v>
      </c>
      <c r="N1488" s="580"/>
    </row>
    <row r="1489" spans="4:14" x14ac:dyDescent="0.25">
      <c r="D1489" s="559" t="s">
        <v>867</v>
      </c>
      <c r="E1489" s="558">
        <v>311713</v>
      </c>
      <c r="F1489" s="559">
        <v>300384</v>
      </c>
      <c r="G1489" s="558" t="s">
        <v>2177</v>
      </c>
      <c r="H1489" s="564">
        <v>40015</v>
      </c>
      <c r="I1489" s="563">
        <v>64.349999999999994</v>
      </c>
      <c r="J1489" s="563">
        <v>-64.349999999999994</v>
      </c>
      <c r="K1489" s="582">
        <f t="shared" si="66"/>
        <v>0</v>
      </c>
      <c r="L1489" s="563">
        <f t="shared" si="67"/>
        <v>0</v>
      </c>
      <c r="M1489" s="563">
        <f t="shared" si="68"/>
        <v>70.784999999999997</v>
      </c>
      <c r="N1489" s="580"/>
    </row>
    <row r="1490" spans="4:14" x14ac:dyDescent="0.25">
      <c r="D1490" s="559" t="s">
        <v>867</v>
      </c>
      <c r="E1490" s="558">
        <v>311717</v>
      </c>
      <c r="F1490" s="559">
        <v>300872</v>
      </c>
      <c r="G1490" s="558" t="s">
        <v>2177</v>
      </c>
      <c r="H1490" s="564">
        <v>40015</v>
      </c>
      <c r="I1490" s="563">
        <v>727.35</v>
      </c>
      <c r="J1490" s="563">
        <v>-585</v>
      </c>
      <c r="K1490" s="582">
        <f t="shared" si="66"/>
        <v>142.35000000000002</v>
      </c>
      <c r="L1490" s="563">
        <f t="shared" si="67"/>
        <v>156.58500000000004</v>
      </c>
      <c r="M1490" s="563">
        <f t="shared" si="68"/>
        <v>800.08500000000004</v>
      </c>
      <c r="N1490" s="580"/>
    </row>
    <row r="1491" spans="4:14" x14ac:dyDescent="0.25">
      <c r="D1491" s="559" t="s">
        <v>867</v>
      </c>
      <c r="E1491" s="558">
        <v>311721</v>
      </c>
      <c r="F1491" s="559">
        <v>300695</v>
      </c>
      <c r="G1491" s="558" t="s">
        <v>2177</v>
      </c>
      <c r="H1491" s="564">
        <v>40015</v>
      </c>
      <c r="I1491" s="563">
        <v>64.349999999999994</v>
      </c>
      <c r="J1491" s="563">
        <v>-64.349999999999994</v>
      </c>
      <c r="K1491" s="582">
        <f t="shared" si="66"/>
        <v>0</v>
      </c>
      <c r="L1491" s="563">
        <f t="shared" si="67"/>
        <v>0</v>
      </c>
      <c r="M1491" s="563">
        <f t="shared" si="68"/>
        <v>70.784999999999997</v>
      </c>
      <c r="N1491" s="580"/>
    </row>
    <row r="1492" spans="4:14" x14ac:dyDescent="0.25">
      <c r="D1492" s="559" t="s">
        <v>867</v>
      </c>
      <c r="E1492" s="558">
        <v>311722</v>
      </c>
      <c r="F1492" s="559">
        <v>301334</v>
      </c>
      <c r="G1492" s="558" t="s">
        <v>2177</v>
      </c>
      <c r="H1492" s="564">
        <v>40015</v>
      </c>
      <c r="I1492" s="563">
        <v>727.35</v>
      </c>
      <c r="J1492" s="563">
        <v>-585</v>
      </c>
      <c r="K1492" s="582">
        <f t="shared" si="66"/>
        <v>142.35000000000002</v>
      </c>
      <c r="L1492" s="563">
        <f t="shared" si="67"/>
        <v>156.58500000000004</v>
      </c>
      <c r="M1492" s="563">
        <f t="shared" si="68"/>
        <v>800.08500000000004</v>
      </c>
      <c r="N1492" s="580"/>
    </row>
    <row r="1493" spans="4:14" x14ac:dyDescent="0.25">
      <c r="D1493" s="559" t="s">
        <v>867</v>
      </c>
      <c r="E1493" s="558">
        <v>311724</v>
      </c>
      <c r="F1493" s="559">
        <v>301127</v>
      </c>
      <c r="G1493" s="558" t="s">
        <v>2177</v>
      </c>
      <c r="H1493" s="564">
        <v>40015</v>
      </c>
      <c r="I1493" s="563">
        <v>64.349999999999994</v>
      </c>
      <c r="J1493" s="563">
        <v>-64.349999999999994</v>
      </c>
      <c r="K1493" s="582">
        <f t="shared" si="66"/>
        <v>0</v>
      </c>
      <c r="L1493" s="563">
        <f t="shared" si="67"/>
        <v>0</v>
      </c>
      <c r="M1493" s="563">
        <f t="shared" si="68"/>
        <v>70.784999999999997</v>
      </c>
      <c r="N1493" s="580"/>
    </row>
    <row r="1494" spans="4:14" x14ac:dyDescent="0.25">
      <c r="D1494" s="559" t="s">
        <v>867</v>
      </c>
      <c r="E1494" s="558">
        <v>311726</v>
      </c>
      <c r="F1494" s="559">
        <v>300193</v>
      </c>
      <c r="G1494" s="558" t="s">
        <v>2178</v>
      </c>
      <c r="H1494" s="564">
        <v>40015</v>
      </c>
      <c r="I1494" s="563">
        <v>64.349999999999994</v>
      </c>
      <c r="J1494" s="563">
        <v>-64.349999999999994</v>
      </c>
      <c r="K1494" s="582">
        <f t="shared" si="66"/>
        <v>0</v>
      </c>
      <c r="L1494" s="563">
        <f t="shared" si="67"/>
        <v>0</v>
      </c>
      <c r="M1494" s="563">
        <f t="shared" si="68"/>
        <v>70.784999999999997</v>
      </c>
      <c r="N1494" s="580"/>
    </row>
    <row r="1495" spans="4:14" x14ac:dyDescent="0.25">
      <c r="D1495" s="559" t="s">
        <v>867</v>
      </c>
      <c r="E1495" s="558">
        <v>311729</v>
      </c>
      <c r="F1495" s="559">
        <v>300772</v>
      </c>
      <c r="G1495" s="558" t="s">
        <v>2178</v>
      </c>
      <c r="H1495" s="564">
        <v>40015</v>
      </c>
      <c r="I1495" s="563">
        <v>493.35</v>
      </c>
      <c r="J1495" s="563">
        <v>-493.35</v>
      </c>
      <c r="K1495" s="582">
        <f t="shared" si="66"/>
        <v>0</v>
      </c>
      <c r="L1495" s="563">
        <f t="shared" si="67"/>
        <v>0</v>
      </c>
      <c r="M1495" s="563">
        <f t="shared" si="68"/>
        <v>542.68500000000006</v>
      </c>
      <c r="N1495" s="580"/>
    </row>
    <row r="1496" spans="4:14" x14ac:dyDescent="0.25">
      <c r="D1496" s="559" t="s">
        <v>867</v>
      </c>
      <c r="E1496" s="558">
        <v>311731</v>
      </c>
      <c r="F1496" s="559">
        <v>301179</v>
      </c>
      <c r="G1496" s="558" t="s">
        <v>2178</v>
      </c>
      <c r="H1496" s="564">
        <v>40015</v>
      </c>
      <c r="I1496" s="563">
        <v>493.35</v>
      </c>
      <c r="J1496" s="563">
        <v>-493.35</v>
      </c>
      <c r="K1496" s="582">
        <f t="shared" si="66"/>
        <v>0</v>
      </c>
      <c r="L1496" s="563">
        <f t="shared" si="67"/>
        <v>0</v>
      </c>
      <c r="M1496" s="563">
        <f t="shared" si="68"/>
        <v>542.68500000000006</v>
      </c>
      <c r="N1496" s="580"/>
    </row>
    <row r="1497" spans="4:14" x14ac:dyDescent="0.25">
      <c r="D1497" s="559" t="s">
        <v>867</v>
      </c>
      <c r="E1497" s="558">
        <v>311732</v>
      </c>
      <c r="F1497" s="559">
        <v>302178</v>
      </c>
      <c r="G1497" s="558" t="s">
        <v>2178</v>
      </c>
      <c r="H1497" s="564">
        <v>40015</v>
      </c>
      <c r="I1497" s="563">
        <v>25.35</v>
      </c>
      <c r="J1497" s="563">
        <v>-25.35</v>
      </c>
      <c r="K1497" s="582">
        <f t="shared" si="66"/>
        <v>0</v>
      </c>
      <c r="L1497" s="563">
        <f t="shared" si="67"/>
        <v>0</v>
      </c>
      <c r="M1497" s="563">
        <f t="shared" si="68"/>
        <v>27.885000000000005</v>
      </c>
      <c r="N1497" s="580"/>
    </row>
    <row r="1498" spans="4:14" x14ac:dyDescent="0.25">
      <c r="D1498" s="559" t="s">
        <v>867</v>
      </c>
      <c r="E1498" s="558">
        <v>311735</v>
      </c>
      <c r="F1498" s="559">
        <v>301423</v>
      </c>
      <c r="G1498" s="558" t="s">
        <v>2178</v>
      </c>
      <c r="H1498" s="564">
        <v>40015</v>
      </c>
      <c r="I1498" s="563">
        <v>64.349999999999994</v>
      </c>
      <c r="J1498" s="563">
        <v>-64.349999999999994</v>
      </c>
      <c r="K1498" s="582">
        <f t="shared" si="66"/>
        <v>0</v>
      </c>
      <c r="L1498" s="563">
        <f t="shared" si="67"/>
        <v>0</v>
      </c>
      <c r="M1498" s="563">
        <f t="shared" si="68"/>
        <v>70.784999999999997</v>
      </c>
      <c r="N1498" s="580"/>
    </row>
    <row r="1499" spans="4:14" x14ac:dyDescent="0.25">
      <c r="D1499" s="559" t="s">
        <v>867</v>
      </c>
      <c r="E1499" s="558">
        <v>311739</v>
      </c>
      <c r="F1499" s="559">
        <v>301888</v>
      </c>
      <c r="G1499" s="558" t="s">
        <v>2179</v>
      </c>
      <c r="H1499" s="564">
        <v>40015</v>
      </c>
      <c r="I1499" s="563">
        <v>64.349999999999994</v>
      </c>
      <c r="J1499" s="563">
        <v>-64.349999999999994</v>
      </c>
      <c r="K1499" s="582">
        <f t="shared" si="66"/>
        <v>0</v>
      </c>
      <c r="L1499" s="563">
        <f t="shared" si="67"/>
        <v>0</v>
      </c>
      <c r="M1499" s="563">
        <f t="shared" si="68"/>
        <v>70.784999999999997</v>
      </c>
      <c r="N1499" s="580"/>
    </row>
    <row r="1500" spans="4:14" x14ac:dyDescent="0.25">
      <c r="D1500" s="559" t="s">
        <v>867</v>
      </c>
      <c r="E1500" s="558">
        <v>311740</v>
      </c>
      <c r="F1500" s="559">
        <v>301126</v>
      </c>
      <c r="G1500" s="558" t="s">
        <v>2179</v>
      </c>
      <c r="H1500" s="564">
        <v>40015</v>
      </c>
      <c r="I1500" s="563">
        <v>585</v>
      </c>
      <c r="J1500" s="563">
        <v>-585</v>
      </c>
      <c r="K1500" s="582">
        <f t="shared" si="66"/>
        <v>0</v>
      </c>
      <c r="L1500" s="563">
        <f t="shared" si="67"/>
        <v>0</v>
      </c>
      <c r="M1500" s="563">
        <f t="shared" si="68"/>
        <v>643.5</v>
      </c>
      <c r="N1500" s="580"/>
    </row>
    <row r="1501" spans="4:14" x14ac:dyDescent="0.25">
      <c r="D1501" s="559" t="s">
        <v>867</v>
      </c>
      <c r="E1501" s="558">
        <v>311743</v>
      </c>
      <c r="F1501" s="559">
        <v>300073</v>
      </c>
      <c r="G1501" s="558" t="s">
        <v>2179</v>
      </c>
      <c r="H1501" s="564">
        <v>40015</v>
      </c>
      <c r="I1501" s="563">
        <v>727.35</v>
      </c>
      <c r="J1501" s="563">
        <v>-585</v>
      </c>
      <c r="K1501" s="582">
        <f t="shared" si="66"/>
        <v>142.35000000000002</v>
      </c>
      <c r="L1501" s="563">
        <f t="shared" si="67"/>
        <v>156.58500000000004</v>
      </c>
      <c r="M1501" s="563">
        <f t="shared" si="68"/>
        <v>800.08500000000004</v>
      </c>
      <c r="N1501" s="580"/>
    </row>
    <row r="1502" spans="4:14" x14ac:dyDescent="0.25">
      <c r="D1502" s="559" t="s">
        <v>867</v>
      </c>
      <c r="E1502" s="558">
        <v>311744</v>
      </c>
      <c r="F1502" s="559">
        <v>301567</v>
      </c>
      <c r="G1502" s="558" t="s">
        <v>2179</v>
      </c>
      <c r="H1502" s="564">
        <v>40015</v>
      </c>
      <c r="I1502" s="563">
        <v>220.35</v>
      </c>
      <c r="J1502" s="563">
        <v>-220.35</v>
      </c>
      <c r="K1502" s="582">
        <f t="shared" si="66"/>
        <v>0</v>
      </c>
      <c r="L1502" s="563">
        <f t="shared" si="67"/>
        <v>0</v>
      </c>
      <c r="M1502" s="563">
        <f t="shared" si="68"/>
        <v>242.38500000000002</v>
      </c>
      <c r="N1502" s="580"/>
    </row>
    <row r="1503" spans="4:14" x14ac:dyDescent="0.25">
      <c r="D1503" s="559" t="s">
        <v>867</v>
      </c>
      <c r="E1503" s="558">
        <v>311745</v>
      </c>
      <c r="F1503" s="559">
        <v>301759</v>
      </c>
      <c r="G1503" s="558" t="s">
        <v>2179</v>
      </c>
      <c r="H1503" s="564">
        <v>40015</v>
      </c>
      <c r="I1503" s="563">
        <v>337.35</v>
      </c>
      <c r="J1503" s="563">
        <v>-337.35</v>
      </c>
      <c r="K1503" s="582">
        <f t="shared" si="66"/>
        <v>0</v>
      </c>
      <c r="L1503" s="563">
        <f t="shared" si="67"/>
        <v>0</v>
      </c>
      <c r="M1503" s="563">
        <f t="shared" si="68"/>
        <v>371.08500000000004</v>
      </c>
      <c r="N1503" s="580"/>
    </row>
    <row r="1504" spans="4:14" x14ac:dyDescent="0.25">
      <c r="D1504" s="559" t="s">
        <v>867</v>
      </c>
      <c r="E1504" s="558">
        <v>311746</v>
      </c>
      <c r="F1504" s="559">
        <v>301683</v>
      </c>
      <c r="G1504" s="558" t="s">
        <v>2180</v>
      </c>
      <c r="H1504" s="564">
        <v>40015</v>
      </c>
      <c r="I1504" s="563">
        <v>727.35</v>
      </c>
      <c r="J1504" s="563">
        <v>-585</v>
      </c>
      <c r="K1504" s="582">
        <f t="shared" si="66"/>
        <v>142.35000000000002</v>
      </c>
      <c r="L1504" s="563">
        <f t="shared" si="67"/>
        <v>156.58500000000004</v>
      </c>
      <c r="M1504" s="563">
        <f t="shared" si="68"/>
        <v>800.08500000000004</v>
      </c>
      <c r="N1504" s="580"/>
    </row>
    <row r="1505" spans="4:14" x14ac:dyDescent="0.25">
      <c r="D1505" s="559" t="s">
        <v>867</v>
      </c>
      <c r="E1505" s="558">
        <v>311747</v>
      </c>
      <c r="F1505" s="559">
        <v>302100</v>
      </c>
      <c r="G1505" s="558" t="s">
        <v>2180</v>
      </c>
      <c r="H1505" s="564">
        <v>40015</v>
      </c>
      <c r="I1505" s="563">
        <v>64.349999999999994</v>
      </c>
      <c r="J1505" s="563">
        <v>-64.349999999999994</v>
      </c>
      <c r="K1505" s="582">
        <f t="shared" si="66"/>
        <v>0</v>
      </c>
      <c r="L1505" s="563">
        <f t="shared" si="67"/>
        <v>0</v>
      </c>
      <c r="M1505" s="563">
        <f t="shared" si="68"/>
        <v>70.784999999999997</v>
      </c>
      <c r="N1505" s="580"/>
    </row>
    <row r="1506" spans="4:14" x14ac:dyDescent="0.25">
      <c r="D1506" s="559" t="s">
        <v>867</v>
      </c>
      <c r="E1506" s="558">
        <v>311748</v>
      </c>
      <c r="F1506" s="559">
        <v>301697</v>
      </c>
      <c r="G1506" s="558" t="s">
        <v>2180</v>
      </c>
      <c r="H1506" s="564">
        <v>40015</v>
      </c>
      <c r="I1506" s="563">
        <v>64.349999999999994</v>
      </c>
      <c r="J1506" s="563">
        <v>-64.349999999999994</v>
      </c>
      <c r="K1506" s="582">
        <f t="shared" si="66"/>
        <v>0</v>
      </c>
      <c r="L1506" s="563">
        <f t="shared" si="67"/>
        <v>0</v>
      </c>
      <c r="M1506" s="563">
        <f t="shared" si="68"/>
        <v>70.784999999999997</v>
      </c>
      <c r="N1506" s="580"/>
    </row>
    <row r="1507" spans="4:14" x14ac:dyDescent="0.25">
      <c r="D1507" s="559" t="s">
        <v>867</v>
      </c>
      <c r="E1507" s="558">
        <v>311749</v>
      </c>
      <c r="F1507" s="559">
        <v>300298</v>
      </c>
      <c r="G1507" s="558" t="s">
        <v>2180</v>
      </c>
      <c r="H1507" s="564">
        <v>40015</v>
      </c>
      <c r="I1507" s="563">
        <v>727.35</v>
      </c>
      <c r="J1507" s="563">
        <v>-585</v>
      </c>
      <c r="K1507" s="582">
        <f t="shared" si="66"/>
        <v>142.35000000000002</v>
      </c>
      <c r="L1507" s="563">
        <f t="shared" si="67"/>
        <v>156.58500000000004</v>
      </c>
      <c r="M1507" s="563">
        <f t="shared" si="68"/>
        <v>800.08500000000004</v>
      </c>
      <c r="N1507" s="580"/>
    </row>
    <row r="1508" spans="4:14" x14ac:dyDescent="0.25">
      <c r="D1508" s="559" t="s">
        <v>867</v>
      </c>
      <c r="E1508" s="558">
        <v>311753</v>
      </c>
      <c r="F1508" s="559">
        <v>301174</v>
      </c>
      <c r="G1508" s="558" t="s">
        <v>2180</v>
      </c>
      <c r="H1508" s="564">
        <v>40015</v>
      </c>
      <c r="I1508" s="563">
        <v>298.35000000000002</v>
      </c>
      <c r="J1508" s="563">
        <v>-298.35000000000002</v>
      </c>
      <c r="K1508" s="582">
        <f t="shared" si="66"/>
        <v>0</v>
      </c>
      <c r="L1508" s="563">
        <f t="shared" si="67"/>
        <v>0</v>
      </c>
      <c r="M1508" s="563">
        <f t="shared" si="68"/>
        <v>328.18500000000006</v>
      </c>
      <c r="N1508" s="580"/>
    </row>
    <row r="1509" spans="4:14" x14ac:dyDescent="0.25">
      <c r="D1509" s="559" t="s">
        <v>867</v>
      </c>
      <c r="E1509" s="558">
        <v>311757</v>
      </c>
      <c r="F1509" s="559">
        <v>302213</v>
      </c>
      <c r="G1509" s="558" t="s">
        <v>2181</v>
      </c>
      <c r="H1509" s="564">
        <v>40015</v>
      </c>
      <c r="I1509" s="563">
        <v>64.349999999999994</v>
      </c>
      <c r="J1509" s="563">
        <v>-64.349999999999994</v>
      </c>
      <c r="K1509" s="582">
        <f t="shared" si="66"/>
        <v>0</v>
      </c>
      <c r="L1509" s="563">
        <f t="shared" si="67"/>
        <v>0</v>
      </c>
      <c r="M1509" s="563">
        <f t="shared" si="68"/>
        <v>70.784999999999997</v>
      </c>
      <c r="N1509" s="580"/>
    </row>
    <row r="1510" spans="4:14" x14ac:dyDescent="0.25">
      <c r="D1510" s="559" t="s">
        <v>867</v>
      </c>
      <c r="E1510" s="558">
        <v>311759</v>
      </c>
      <c r="F1510" s="559">
        <v>301646</v>
      </c>
      <c r="G1510" s="558" t="s">
        <v>2181</v>
      </c>
      <c r="H1510" s="564">
        <v>40015</v>
      </c>
      <c r="I1510" s="563">
        <v>727.35</v>
      </c>
      <c r="J1510" s="563">
        <v>-585</v>
      </c>
      <c r="K1510" s="582">
        <f t="shared" si="66"/>
        <v>142.35000000000002</v>
      </c>
      <c r="L1510" s="563">
        <f t="shared" si="67"/>
        <v>156.58500000000004</v>
      </c>
      <c r="M1510" s="563">
        <f t="shared" si="68"/>
        <v>800.08500000000004</v>
      </c>
      <c r="N1510" s="580"/>
    </row>
    <row r="1511" spans="4:14" x14ac:dyDescent="0.25">
      <c r="D1511" s="559" t="s">
        <v>867</v>
      </c>
      <c r="E1511" s="558">
        <v>311761</v>
      </c>
      <c r="F1511" s="559">
        <v>301994</v>
      </c>
      <c r="G1511" s="558" t="s">
        <v>2181</v>
      </c>
      <c r="H1511" s="564">
        <v>40015</v>
      </c>
      <c r="I1511" s="563">
        <v>298.35000000000002</v>
      </c>
      <c r="J1511" s="563">
        <v>-298.35000000000002</v>
      </c>
      <c r="K1511" s="582">
        <f t="shared" si="66"/>
        <v>0</v>
      </c>
      <c r="L1511" s="563">
        <f t="shared" si="67"/>
        <v>0</v>
      </c>
      <c r="M1511" s="563">
        <f t="shared" si="68"/>
        <v>328.18500000000006</v>
      </c>
      <c r="N1511" s="580"/>
    </row>
    <row r="1512" spans="4:14" x14ac:dyDescent="0.25">
      <c r="D1512" s="559" t="s">
        <v>867</v>
      </c>
      <c r="E1512" s="558">
        <v>311765</v>
      </c>
      <c r="F1512" s="559">
        <v>301011</v>
      </c>
      <c r="G1512" s="558" t="s">
        <v>2181</v>
      </c>
      <c r="H1512" s="564">
        <v>40015</v>
      </c>
      <c r="I1512" s="563">
        <v>64.349999999999994</v>
      </c>
      <c r="J1512" s="563">
        <v>-64.349999999999994</v>
      </c>
      <c r="K1512" s="582">
        <f t="shared" si="66"/>
        <v>0</v>
      </c>
      <c r="L1512" s="563">
        <f t="shared" si="67"/>
        <v>0</v>
      </c>
      <c r="M1512" s="563">
        <f t="shared" si="68"/>
        <v>70.784999999999997</v>
      </c>
      <c r="N1512" s="580"/>
    </row>
    <row r="1513" spans="4:14" x14ac:dyDescent="0.25">
      <c r="D1513" s="559" t="s">
        <v>867</v>
      </c>
      <c r="E1513" s="558">
        <v>311767</v>
      </c>
      <c r="F1513" s="559">
        <v>300681</v>
      </c>
      <c r="G1513" s="558" t="s">
        <v>2181</v>
      </c>
      <c r="H1513" s="564">
        <v>40015</v>
      </c>
      <c r="I1513" s="563">
        <v>181.35</v>
      </c>
      <c r="J1513" s="563">
        <v>-181.35</v>
      </c>
      <c r="K1513" s="582">
        <f t="shared" ref="K1513:K1576" si="69">+I1513+J1513</f>
        <v>0</v>
      </c>
      <c r="L1513" s="563">
        <f t="shared" ref="L1513:L1576" si="70">+K1513*1.1</f>
        <v>0</v>
      </c>
      <c r="M1513" s="563">
        <f t="shared" ref="M1513:M1576" si="71">+I1513*1.1</f>
        <v>199.48500000000001</v>
      </c>
      <c r="N1513" s="580"/>
    </row>
    <row r="1514" spans="4:14" x14ac:dyDescent="0.25">
      <c r="D1514" s="559" t="s">
        <v>867</v>
      </c>
      <c r="E1514" s="558">
        <v>311769</v>
      </c>
      <c r="F1514" s="559">
        <v>301863</v>
      </c>
      <c r="G1514" s="558" t="s">
        <v>2182</v>
      </c>
      <c r="H1514" s="564">
        <v>40015</v>
      </c>
      <c r="I1514" s="563">
        <v>64.349999999999994</v>
      </c>
      <c r="J1514" s="563">
        <v>-64.349999999999994</v>
      </c>
      <c r="K1514" s="582">
        <f t="shared" si="69"/>
        <v>0</v>
      </c>
      <c r="L1514" s="563">
        <f t="shared" si="70"/>
        <v>0</v>
      </c>
      <c r="M1514" s="563">
        <f t="shared" si="71"/>
        <v>70.784999999999997</v>
      </c>
      <c r="N1514" s="580"/>
    </row>
    <row r="1515" spans="4:14" x14ac:dyDescent="0.25">
      <c r="D1515" s="559" t="s">
        <v>867</v>
      </c>
      <c r="E1515" s="558">
        <v>311772</v>
      </c>
      <c r="F1515" s="559">
        <v>301220</v>
      </c>
      <c r="G1515" s="558" t="s">
        <v>2182</v>
      </c>
      <c r="H1515" s="564">
        <v>40015</v>
      </c>
      <c r="I1515" s="563">
        <v>727.35</v>
      </c>
      <c r="J1515" s="563">
        <v>-585</v>
      </c>
      <c r="K1515" s="582">
        <f t="shared" si="69"/>
        <v>142.35000000000002</v>
      </c>
      <c r="L1515" s="563">
        <f t="shared" si="70"/>
        <v>156.58500000000004</v>
      </c>
      <c r="M1515" s="563">
        <f t="shared" si="71"/>
        <v>800.08500000000004</v>
      </c>
      <c r="N1515" s="580"/>
    </row>
    <row r="1516" spans="4:14" x14ac:dyDescent="0.25">
      <c r="D1516" s="559" t="s">
        <v>867</v>
      </c>
      <c r="E1516" s="558">
        <v>311774</v>
      </c>
      <c r="F1516" s="559">
        <v>301521</v>
      </c>
      <c r="G1516" s="558" t="s">
        <v>2182</v>
      </c>
      <c r="H1516" s="564">
        <v>40015</v>
      </c>
      <c r="I1516" s="563">
        <v>727.35</v>
      </c>
      <c r="J1516" s="563">
        <v>-585</v>
      </c>
      <c r="K1516" s="582">
        <f t="shared" si="69"/>
        <v>142.35000000000002</v>
      </c>
      <c r="L1516" s="563">
        <f t="shared" si="70"/>
        <v>156.58500000000004</v>
      </c>
      <c r="M1516" s="563">
        <f t="shared" si="71"/>
        <v>800.08500000000004</v>
      </c>
      <c r="N1516" s="580"/>
    </row>
    <row r="1517" spans="4:14" x14ac:dyDescent="0.25">
      <c r="D1517" s="559" t="s">
        <v>867</v>
      </c>
      <c r="E1517" s="558">
        <v>311775</v>
      </c>
      <c r="F1517" s="559">
        <v>301167</v>
      </c>
      <c r="G1517" s="558" t="s">
        <v>2182</v>
      </c>
      <c r="H1517" s="564">
        <v>40015</v>
      </c>
      <c r="I1517" s="563">
        <v>64.349999999999994</v>
      </c>
      <c r="J1517" s="563">
        <v>-64.349999999999994</v>
      </c>
      <c r="K1517" s="582">
        <f t="shared" si="69"/>
        <v>0</v>
      </c>
      <c r="L1517" s="563">
        <f t="shared" si="70"/>
        <v>0</v>
      </c>
      <c r="M1517" s="563">
        <f t="shared" si="71"/>
        <v>70.784999999999997</v>
      </c>
      <c r="N1517" s="580"/>
    </row>
    <row r="1518" spans="4:14" x14ac:dyDescent="0.25">
      <c r="D1518" s="559" t="s">
        <v>867</v>
      </c>
      <c r="E1518" s="558">
        <v>311779</v>
      </c>
      <c r="F1518" s="559">
        <v>301010</v>
      </c>
      <c r="G1518" s="558" t="s">
        <v>2182</v>
      </c>
      <c r="H1518" s="564">
        <v>40015</v>
      </c>
      <c r="I1518" s="563">
        <v>64.349999999999994</v>
      </c>
      <c r="J1518" s="563">
        <v>-64.349999999999994</v>
      </c>
      <c r="K1518" s="582">
        <f t="shared" si="69"/>
        <v>0</v>
      </c>
      <c r="L1518" s="563">
        <f t="shared" si="70"/>
        <v>0</v>
      </c>
      <c r="M1518" s="563">
        <f t="shared" si="71"/>
        <v>70.784999999999997</v>
      </c>
      <c r="N1518" s="580"/>
    </row>
    <row r="1519" spans="4:14" x14ac:dyDescent="0.25">
      <c r="D1519" s="559" t="s">
        <v>867</v>
      </c>
      <c r="E1519" s="558">
        <v>311782</v>
      </c>
      <c r="F1519" s="559">
        <v>301176</v>
      </c>
      <c r="G1519" s="558" t="s">
        <v>2183</v>
      </c>
      <c r="H1519" s="564">
        <v>40015</v>
      </c>
      <c r="I1519" s="563">
        <v>64.349999999999994</v>
      </c>
      <c r="J1519" s="563">
        <v>-64.349999999999994</v>
      </c>
      <c r="K1519" s="582">
        <f t="shared" si="69"/>
        <v>0</v>
      </c>
      <c r="L1519" s="563">
        <f t="shared" si="70"/>
        <v>0</v>
      </c>
      <c r="M1519" s="563">
        <f t="shared" si="71"/>
        <v>70.784999999999997</v>
      </c>
      <c r="N1519" s="580"/>
    </row>
    <row r="1520" spans="4:14" x14ac:dyDescent="0.25">
      <c r="D1520" s="559" t="s">
        <v>867</v>
      </c>
      <c r="E1520" s="558">
        <v>311784</v>
      </c>
      <c r="F1520" s="559">
        <v>301924</v>
      </c>
      <c r="G1520" s="558" t="s">
        <v>2183</v>
      </c>
      <c r="H1520" s="564">
        <v>40015</v>
      </c>
      <c r="I1520" s="563">
        <v>64.349999999999994</v>
      </c>
      <c r="J1520" s="563">
        <v>-64.349999999999994</v>
      </c>
      <c r="K1520" s="582">
        <f t="shared" si="69"/>
        <v>0</v>
      </c>
      <c r="L1520" s="563">
        <f t="shared" si="70"/>
        <v>0</v>
      </c>
      <c r="M1520" s="563">
        <f t="shared" si="71"/>
        <v>70.784999999999997</v>
      </c>
      <c r="N1520" s="580"/>
    </row>
    <row r="1521" spans="4:16" x14ac:dyDescent="0.25">
      <c r="D1521" s="559" t="s">
        <v>867</v>
      </c>
      <c r="E1521" s="558">
        <v>311787</v>
      </c>
      <c r="F1521" s="559">
        <v>302199</v>
      </c>
      <c r="G1521" s="558" t="s">
        <v>2183</v>
      </c>
      <c r="H1521" s="564">
        <v>40015</v>
      </c>
      <c r="I1521" s="563">
        <v>337.35</v>
      </c>
      <c r="J1521" s="563">
        <v>-337.35</v>
      </c>
      <c r="K1521" s="582">
        <f t="shared" si="69"/>
        <v>0</v>
      </c>
      <c r="L1521" s="563">
        <f t="shared" si="70"/>
        <v>0</v>
      </c>
      <c r="M1521" s="563">
        <f t="shared" si="71"/>
        <v>371.08500000000004</v>
      </c>
      <c r="N1521" s="580"/>
    </row>
    <row r="1522" spans="4:16" x14ac:dyDescent="0.25">
      <c r="D1522" s="559" t="s">
        <v>867</v>
      </c>
      <c r="E1522" s="558">
        <v>311790</v>
      </c>
      <c r="F1522" s="559">
        <v>302156</v>
      </c>
      <c r="G1522" s="558" t="s">
        <v>2183</v>
      </c>
      <c r="H1522" s="564">
        <v>40015</v>
      </c>
      <c r="I1522" s="563">
        <v>64.349999999999994</v>
      </c>
      <c r="J1522" s="563">
        <v>-64.349999999999994</v>
      </c>
      <c r="K1522" s="582">
        <f t="shared" si="69"/>
        <v>0</v>
      </c>
      <c r="L1522" s="563">
        <f t="shared" si="70"/>
        <v>0</v>
      </c>
      <c r="M1522" s="563">
        <f t="shared" si="71"/>
        <v>70.784999999999997</v>
      </c>
      <c r="N1522" s="580"/>
    </row>
    <row r="1523" spans="4:16" x14ac:dyDescent="0.25">
      <c r="D1523" s="559" t="s">
        <v>867</v>
      </c>
      <c r="E1523" s="558">
        <v>311791</v>
      </c>
      <c r="F1523" s="559">
        <v>302250</v>
      </c>
      <c r="G1523" s="558" t="s">
        <v>2183</v>
      </c>
      <c r="H1523" s="564">
        <v>40015</v>
      </c>
      <c r="I1523" s="563">
        <v>64.349999999999994</v>
      </c>
      <c r="J1523" s="563">
        <v>-64.349999999999994</v>
      </c>
      <c r="K1523" s="582">
        <f t="shared" si="69"/>
        <v>0</v>
      </c>
      <c r="L1523" s="563">
        <f t="shared" si="70"/>
        <v>0</v>
      </c>
      <c r="M1523" s="563">
        <f t="shared" si="71"/>
        <v>70.784999999999997</v>
      </c>
      <c r="N1523" s="580"/>
    </row>
    <row r="1524" spans="4:16" x14ac:dyDescent="0.25">
      <c r="D1524" s="559" t="s">
        <v>867</v>
      </c>
      <c r="E1524" s="558">
        <v>311792</v>
      </c>
      <c r="F1524" s="559">
        <v>303055</v>
      </c>
      <c r="G1524" s="558" t="s">
        <v>4838</v>
      </c>
      <c r="H1524" s="564">
        <v>40015</v>
      </c>
      <c r="I1524" s="563">
        <v>727.35</v>
      </c>
      <c r="J1524" s="563">
        <v>-585</v>
      </c>
      <c r="K1524" s="563">
        <f t="shared" si="69"/>
        <v>142.35000000000002</v>
      </c>
      <c r="L1524" s="563">
        <f t="shared" si="70"/>
        <v>156.58500000000004</v>
      </c>
      <c r="M1524" s="563">
        <f t="shared" si="71"/>
        <v>800.08500000000004</v>
      </c>
      <c r="N1524" s="580"/>
      <c r="O1524" s="558"/>
      <c r="P1524" s="564"/>
    </row>
    <row r="1525" spans="4:16" x14ac:dyDescent="0.25">
      <c r="D1525" s="559" t="s">
        <v>867</v>
      </c>
      <c r="E1525" s="558">
        <v>311793</v>
      </c>
      <c r="F1525" s="559">
        <v>301496</v>
      </c>
      <c r="G1525" s="558" t="s">
        <v>4838</v>
      </c>
      <c r="H1525" s="564">
        <v>40015</v>
      </c>
      <c r="I1525" s="563">
        <v>298.35000000000002</v>
      </c>
      <c r="J1525" s="563">
        <v>-298.35000000000002</v>
      </c>
      <c r="K1525" s="582">
        <f t="shared" si="69"/>
        <v>0</v>
      </c>
      <c r="L1525" s="563">
        <f t="shared" si="70"/>
        <v>0</v>
      </c>
      <c r="M1525" s="563">
        <f t="shared" si="71"/>
        <v>328.18500000000006</v>
      </c>
      <c r="N1525" s="580"/>
    </row>
    <row r="1526" spans="4:16" x14ac:dyDescent="0.25">
      <c r="D1526" s="559" t="s">
        <v>867</v>
      </c>
      <c r="E1526" s="558">
        <v>311795</v>
      </c>
      <c r="F1526" s="559">
        <v>302026</v>
      </c>
      <c r="G1526" s="558" t="s">
        <v>4838</v>
      </c>
      <c r="H1526" s="564">
        <v>40015</v>
      </c>
      <c r="I1526" s="563">
        <v>64.349999999999994</v>
      </c>
      <c r="J1526" s="563">
        <v>-64.349999999999994</v>
      </c>
      <c r="K1526" s="582">
        <f t="shared" si="69"/>
        <v>0</v>
      </c>
      <c r="L1526" s="563">
        <f t="shared" si="70"/>
        <v>0</v>
      </c>
      <c r="M1526" s="563">
        <f t="shared" si="71"/>
        <v>70.784999999999997</v>
      </c>
      <c r="N1526" s="580"/>
    </row>
    <row r="1527" spans="4:16" x14ac:dyDescent="0.25">
      <c r="D1527" s="559" t="s">
        <v>867</v>
      </c>
      <c r="E1527" s="558">
        <v>311803</v>
      </c>
      <c r="F1527" s="559">
        <v>300533</v>
      </c>
      <c r="G1527" s="558" t="s">
        <v>4838</v>
      </c>
      <c r="H1527" s="564">
        <v>40015</v>
      </c>
      <c r="I1527" s="563">
        <v>64.349999999999994</v>
      </c>
      <c r="J1527" s="563">
        <v>-64.349999999999994</v>
      </c>
      <c r="K1527" s="582">
        <f t="shared" si="69"/>
        <v>0</v>
      </c>
      <c r="L1527" s="563">
        <f t="shared" si="70"/>
        <v>0</v>
      </c>
      <c r="M1527" s="563">
        <f t="shared" si="71"/>
        <v>70.784999999999997</v>
      </c>
      <c r="N1527" s="580"/>
    </row>
    <row r="1528" spans="4:16" x14ac:dyDescent="0.25">
      <c r="D1528" s="559" t="s">
        <v>867</v>
      </c>
      <c r="E1528" s="558">
        <v>311806</v>
      </c>
      <c r="F1528" s="559">
        <v>300373</v>
      </c>
      <c r="G1528" s="558" t="s">
        <v>4838</v>
      </c>
      <c r="H1528" s="564">
        <v>40015</v>
      </c>
      <c r="I1528" s="563">
        <v>727.35</v>
      </c>
      <c r="J1528" s="563">
        <v>-585</v>
      </c>
      <c r="K1528" s="582">
        <f t="shared" si="69"/>
        <v>142.35000000000002</v>
      </c>
      <c r="L1528" s="563">
        <f t="shared" si="70"/>
        <v>156.58500000000004</v>
      </c>
      <c r="M1528" s="563">
        <f t="shared" si="71"/>
        <v>800.08500000000004</v>
      </c>
      <c r="N1528" s="580"/>
    </row>
    <row r="1529" spans="4:16" x14ac:dyDescent="0.25">
      <c r="D1529" s="559" t="s">
        <v>867</v>
      </c>
      <c r="E1529" s="558">
        <v>311807</v>
      </c>
      <c r="F1529" s="559">
        <v>301999</v>
      </c>
      <c r="G1529" s="558" t="s">
        <v>2184</v>
      </c>
      <c r="H1529" s="564">
        <v>40015</v>
      </c>
      <c r="I1529" s="563">
        <v>493.35</v>
      </c>
      <c r="J1529" s="563">
        <v>-493.35</v>
      </c>
      <c r="K1529" s="582">
        <f t="shared" si="69"/>
        <v>0</v>
      </c>
      <c r="L1529" s="563">
        <f t="shared" si="70"/>
        <v>0</v>
      </c>
      <c r="M1529" s="563">
        <f t="shared" si="71"/>
        <v>542.68500000000006</v>
      </c>
      <c r="N1529" s="580"/>
    </row>
    <row r="1530" spans="4:16" x14ac:dyDescent="0.25">
      <c r="D1530" s="559" t="s">
        <v>867</v>
      </c>
      <c r="E1530" s="558">
        <v>311810</v>
      </c>
      <c r="F1530" s="559">
        <v>300500</v>
      </c>
      <c r="G1530" s="558" t="s">
        <v>2184</v>
      </c>
      <c r="H1530" s="564">
        <v>40015</v>
      </c>
      <c r="I1530" s="563">
        <v>64.349999999999994</v>
      </c>
      <c r="J1530" s="563">
        <v>-64.349999999999994</v>
      </c>
      <c r="K1530" s="582">
        <f t="shared" si="69"/>
        <v>0</v>
      </c>
      <c r="L1530" s="563">
        <f t="shared" si="70"/>
        <v>0</v>
      </c>
      <c r="M1530" s="563">
        <f t="shared" si="71"/>
        <v>70.784999999999997</v>
      </c>
      <c r="N1530" s="580"/>
    </row>
    <row r="1531" spans="4:16" x14ac:dyDescent="0.25">
      <c r="D1531" s="559" t="s">
        <v>867</v>
      </c>
      <c r="E1531" s="558">
        <v>311813</v>
      </c>
      <c r="F1531" s="559">
        <v>300236</v>
      </c>
      <c r="G1531" s="558" t="s">
        <v>2184</v>
      </c>
      <c r="H1531" s="564">
        <v>40015</v>
      </c>
      <c r="I1531" s="563">
        <v>571.35</v>
      </c>
      <c r="J1531" s="563">
        <v>-571.35</v>
      </c>
      <c r="K1531" s="582">
        <f t="shared" si="69"/>
        <v>0</v>
      </c>
      <c r="L1531" s="563">
        <f t="shared" si="70"/>
        <v>0</v>
      </c>
      <c r="M1531" s="563">
        <f t="shared" si="71"/>
        <v>628.48500000000013</v>
      </c>
      <c r="N1531" s="580"/>
    </row>
    <row r="1532" spans="4:16" x14ac:dyDescent="0.25">
      <c r="D1532" s="559" t="s">
        <v>867</v>
      </c>
      <c r="E1532" s="558">
        <v>311815</v>
      </c>
      <c r="F1532" s="559">
        <v>300960</v>
      </c>
      <c r="G1532" s="558" t="s">
        <v>2184</v>
      </c>
      <c r="H1532" s="564">
        <v>40015</v>
      </c>
      <c r="I1532" s="563">
        <v>727.35</v>
      </c>
      <c r="J1532" s="563">
        <v>-585</v>
      </c>
      <c r="K1532" s="582">
        <f t="shared" si="69"/>
        <v>142.35000000000002</v>
      </c>
      <c r="L1532" s="563">
        <f t="shared" si="70"/>
        <v>156.58500000000004</v>
      </c>
      <c r="M1532" s="563">
        <f t="shared" si="71"/>
        <v>800.08500000000004</v>
      </c>
      <c r="N1532" s="580"/>
    </row>
    <row r="1533" spans="4:16" x14ac:dyDescent="0.25">
      <c r="D1533" s="559" t="s">
        <v>867</v>
      </c>
      <c r="E1533" s="558">
        <v>311816</v>
      </c>
      <c r="F1533" s="559">
        <v>301020</v>
      </c>
      <c r="G1533" s="558" t="s">
        <v>2184</v>
      </c>
      <c r="H1533" s="564">
        <v>40015</v>
      </c>
      <c r="I1533" s="563">
        <v>727.35</v>
      </c>
      <c r="J1533" s="563">
        <v>-585</v>
      </c>
      <c r="K1533" s="582">
        <f t="shared" si="69"/>
        <v>142.35000000000002</v>
      </c>
      <c r="L1533" s="563">
        <f t="shared" si="70"/>
        <v>156.58500000000004</v>
      </c>
      <c r="M1533" s="563">
        <f t="shared" si="71"/>
        <v>800.08500000000004</v>
      </c>
      <c r="N1533" s="580"/>
    </row>
    <row r="1534" spans="4:16" x14ac:dyDescent="0.25">
      <c r="D1534" s="559" t="s">
        <v>867</v>
      </c>
      <c r="E1534" s="558">
        <v>311817</v>
      </c>
      <c r="F1534" s="559">
        <v>300501</v>
      </c>
      <c r="G1534" s="558" t="s">
        <v>2185</v>
      </c>
      <c r="H1534" s="564">
        <v>40015</v>
      </c>
      <c r="I1534" s="563">
        <v>298.35000000000002</v>
      </c>
      <c r="J1534" s="563">
        <v>-298.35000000000002</v>
      </c>
      <c r="K1534" s="582">
        <f t="shared" si="69"/>
        <v>0</v>
      </c>
      <c r="L1534" s="563">
        <f t="shared" si="70"/>
        <v>0</v>
      </c>
      <c r="M1534" s="563">
        <f t="shared" si="71"/>
        <v>328.18500000000006</v>
      </c>
      <c r="N1534" s="580"/>
    </row>
    <row r="1535" spans="4:16" x14ac:dyDescent="0.25">
      <c r="D1535" s="559" t="s">
        <v>867</v>
      </c>
      <c r="E1535" s="558">
        <v>311822</v>
      </c>
      <c r="F1535" s="559">
        <v>301656</v>
      </c>
      <c r="G1535" s="558" t="s">
        <v>2185</v>
      </c>
      <c r="H1535" s="564">
        <v>40015</v>
      </c>
      <c r="I1535" s="563">
        <v>727.35</v>
      </c>
      <c r="J1535" s="563">
        <v>-585</v>
      </c>
      <c r="K1535" s="582">
        <f t="shared" si="69"/>
        <v>142.35000000000002</v>
      </c>
      <c r="L1535" s="563">
        <f t="shared" si="70"/>
        <v>156.58500000000004</v>
      </c>
      <c r="M1535" s="563">
        <f t="shared" si="71"/>
        <v>800.08500000000004</v>
      </c>
      <c r="N1535" s="580"/>
    </row>
    <row r="1536" spans="4:16" x14ac:dyDescent="0.25">
      <c r="D1536" s="559" t="s">
        <v>867</v>
      </c>
      <c r="E1536" s="558">
        <v>311824</v>
      </c>
      <c r="F1536" s="559">
        <v>301779</v>
      </c>
      <c r="G1536" s="558" t="s">
        <v>2185</v>
      </c>
      <c r="H1536" s="564">
        <v>40015</v>
      </c>
      <c r="I1536" s="563">
        <v>727.35</v>
      </c>
      <c r="J1536" s="563">
        <v>-585</v>
      </c>
      <c r="K1536" s="582">
        <f t="shared" si="69"/>
        <v>142.35000000000002</v>
      </c>
      <c r="L1536" s="563">
        <f t="shared" si="70"/>
        <v>156.58500000000004</v>
      </c>
      <c r="M1536" s="563">
        <f t="shared" si="71"/>
        <v>800.08500000000004</v>
      </c>
      <c r="N1536" s="580"/>
    </row>
    <row r="1537" spans="4:14" x14ac:dyDescent="0.25">
      <c r="D1537" s="559" t="s">
        <v>867</v>
      </c>
      <c r="E1537" s="558">
        <v>311826</v>
      </c>
      <c r="F1537" s="559">
        <v>300808</v>
      </c>
      <c r="G1537" s="558" t="s">
        <v>2185</v>
      </c>
      <c r="H1537" s="564">
        <v>40015</v>
      </c>
      <c r="I1537" s="563">
        <v>727.35</v>
      </c>
      <c r="J1537" s="563">
        <v>-585</v>
      </c>
      <c r="K1537" s="582">
        <f t="shared" si="69"/>
        <v>142.35000000000002</v>
      </c>
      <c r="L1537" s="563">
        <f t="shared" si="70"/>
        <v>156.58500000000004</v>
      </c>
      <c r="M1537" s="563">
        <f t="shared" si="71"/>
        <v>800.08500000000004</v>
      </c>
      <c r="N1537" s="580"/>
    </row>
    <row r="1538" spans="4:14" x14ac:dyDescent="0.25">
      <c r="D1538" s="559" t="s">
        <v>867</v>
      </c>
      <c r="E1538" s="558">
        <v>311827</v>
      </c>
      <c r="F1538" s="559">
        <v>301288</v>
      </c>
      <c r="G1538" s="558" t="s">
        <v>2185</v>
      </c>
      <c r="H1538" s="564">
        <v>40015</v>
      </c>
      <c r="I1538" s="563">
        <v>64.349999999999994</v>
      </c>
      <c r="J1538" s="563">
        <v>-64.349999999999994</v>
      </c>
      <c r="K1538" s="582">
        <f t="shared" si="69"/>
        <v>0</v>
      </c>
      <c r="L1538" s="563">
        <f t="shared" si="70"/>
        <v>0</v>
      </c>
      <c r="M1538" s="563">
        <f t="shared" si="71"/>
        <v>70.784999999999997</v>
      </c>
      <c r="N1538" s="580"/>
    </row>
    <row r="1539" spans="4:14" x14ac:dyDescent="0.25">
      <c r="D1539" s="559" t="s">
        <v>867</v>
      </c>
      <c r="E1539" s="558">
        <v>311832</v>
      </c>
      <c r="F1539" s="559">
        <v>301919</v>
      </c>
      <c r="G1539" s="558" t="s">
        <v>2186</v>
      </c>
      <c r="H1539" s="564">
        <v>40015</v>
      </c>
      <c r="I1539" s="563">
        <v>883.35</v>
      </c>
      <c r="J1539" s="563">
        <v>-585</v>
      </c>
      <c r="K1539" s="582">
        <f t="shared" si="69"/>
        <v>298.35000000000002</v>
      </c>
      <c r="L1539" s="563">
        <f t="shared" si="70"/>
        <v>328.18500000000006</v>
      </c>
      <c r="M1539" s="563">
        <f t="shared" si="71"/>
        <v>971.68500000000006</v>
      </c>
      <c r="N1539" s="580"/>
    </row>
    <row r="1540" spans="4:14" x14ac:dyDescent="0.25">
      <c r="D1540" s="559" t="s">
        <v>867</v>
      </c>
      <c r="E1540" s="558">
        <v>311836</v>
      </c>
      <c r="F1540" s="559">
        <v>301023</v>
      </c>
      <c r="G1540" s="558" t="s">
        <v>2186</v>
      </c>
      <c r="H1540" s="564">
        <v>40015</v>
      </c>
      <c r="I1540" s="563">
        <v>571.35</v>
      </c>
      <c r="J1540" s="563">
        <v>-571.35</v>
      </c>
      <c r="K1540" s="582">
        <f t="shared" si="69"/>
        <v>0</v>
      </c>
      <c r="L1540" s="563">
        <f t="shared" si="70"/>
        <v>0</v>
      </c>
      <c r="M1540" s="563">
        <f t="shared" si="71"/>
        <v>628.48500000000013</v>
      </c>
      <c r="N1540" s="580"/>
    </row>
    <row r="1541" spans="4:14" x14ac:dyDescent="0.25">
      <c r="D1541" s="559" t="s">
        <v>867</v>
      </c>
      <c r="E1541" s="558">
        <v>311841</v>
      </c>
      <c r="F1541" s="559">
        <v>300535</v>
      </c>
      <c r="G1541" s="558" t="s">
        <v>2186</v>
      </c>
      <c r="H1541" s="564">
        <v>40015</v>
      </c>
      <c r="I1541" s="563">
        <v>64.349999999999994</v>
      </c>
      <c r="J1541" s="563">
        <v>-64.349999999999994</v>
      </c>
      <c r="K1541" s="582">
        <f t="shared" si="69"/>
        <v>0</v>
      </c>
      <c r="L1541" s="563">
        <f t="shared" si="70"/>
        <v>0</v>
      </c>
      <c r="M1541" s="563">
        <f t="shared" si="71"/>
        <v>70.784999999999997</v>
      </c>
      <c r="N1541" s="580"/>
    </row>
    <row r="1542" spans="4:14" x14ac:dyDescent="0.25">
      <c r="D1542" s="559" t="s">
        <v>867</v>
      </c>
      <c r="E1542" s="558">
        <v>311843</v>
      </c>
      <c r="F1542" s="559">
        <v>301385</v>
      </c>
      <c r="G1542" s="558" t="s">
        <v>2186</v>
      </c>
      <c r="H1542" s="564">
        <v>40015</v>
      </c>
      <c r="I1542" s="563">
        <v>727.35</v>
      </c>
      <c r="J1542" s="563">
        <v>-585</v>
      </c>
      <c r="K1542" s="582">
        <f t="shared" si="69"/>
        <v>142.35000000000002</v>
      </c>
      <c r="L1542" s="563">
        <f t="shared" si="70"/>
        <v>156.58500000000004</v>
      </c>
      <c r="M1542" s="563">
        <f t="shared" si="71"/>
        <v>800.08500000000004</v>
      </c>
      <c r="N1542" s="580"/>
    </row>
    <row r="1543" spans="4:14" x14ac:dyDescent="0.25">
      <c r="D1543" s="559" t="s">
        <v>867</v>
      </c>
      <c r="E1543" s="558">
        <v>311844</v>
      </c>
      <c r="F1543" s="559">
        <v>300234</v>
      </c>
      <c r="G1543" s="558" t="s">
        <v>2186</v>
      </c>
      <c r="H1543" s="564">
        <v>40015</v>
      </c>
      <c r="I1543" s="563">
        <v>727.35</v>
      </c>
      <c r="J1543" s="563">
        <v>-585</v>
      </c>
      <c r="K1543" s="582">
        <f t="shared" si="69"/>
        <v>142.35000000000002</v>
      </c>
      <c r="L1543" s="563">
        <f t="shared" si="70"/>
        <v>156.58500000000004</v>
      </c>
      <c r="M1543" s="563">
        <f t="shared" si="71"/>
        <v>800.08500000000004</v>
      </c>
      <c r="N1543" s="580"/>
    </row>
    <row r="1544" spans="4:14" x14ac:dyDescent="0.25">
      <c r="D1544" s="559" t="s">
        <v>867</v>
      </c>
      <c r="E1544" s="558">
        <v>311845</v>
      </c>
      <c r="F1544" s="559">
        <v>300012</v>
      </c>
      <c r="G1544" s="558" t="s">
        <v>2187</v>
      </c>
      <c r="H1544" s="564">
        <v>40015</v>
      </c>
      <c r="I1544" s="563">
        <v>468</v>
      </c>
      <c r="J1544" s="563">
        <v>-468</v>
      </c>
      <c r="K1544" s="582">
        <f t="shared" si="69"/>
        <v>0</v>
      </c>
      <c r="L1544" s="563">
        <f t="shared" si="70"/>
        <v>0</v>
      </c>
      <c r="M1544" s="563">
        <f t="shared" si="71"/>
        <v>514.80000000000007</v>
      </c>
      <c r="N1544" s="580"/>
    </row>
    <row r="1545" spans="4:14" x14ac:dyDescent="0.25">
      <c r="D1545" s="559" t="s">
        <v>867</v>
      </c>
      <c r="E1545" s="558">
        <v>311851</v>
      </c>
      <c r="F1545" s="559">
        <v>301075</v>
      </c>
      <c r="G1545" s="558" t="s">
        <v>2187</v>
      </c>
      <c r="H1545" s="564">
        <v>40015</v>
      </c>
      <c r="I1545" s="563">
        <v>64.349999999999994</v>
      </c>
      <c r="J1545" s="563">
        <v>-64.349999999999994</v>
      </c>
      <c r="K1545" s="582">
        <f t="shared" si="69"/>
        <v>0</v>
      </c>
      <c r="L1545" s="563">
        <f t="shared" si="70"/>
        <v>0</v>
      </c>
      <c r="M1545" s="563">
        <f t="shared" si="71"/>
        <v>70.784999999999997</v>
      </c>
      <c r="N1545" s="580"/>
    </row>
    <row r="1546" spans="4:14" x14ac:dyDescent="0.25">
      <c r="D1546" s="559" t="s">
        <v>867</v>
      </c>
      <c r="E1546" s="558">
        <v>311853</v>
      </c>
      <c r="F1546" s="559">
        <v>300106</v>
      </c>
      <c r="G1546" s="558" t="s">
        <v>2187</v>
      </c>
      <c r="H1546" s="564">
        <v>40015</v>
      </c>
      <c r="I1546" s="563">
        <v>727.35</v>
      </c>
      <c r="J1546" s="563">
        <v>-585</v>
      </c>
      <c r="K1546" s="582">
        <f t="shared" si="69"/>
        <v>142.35000000000002</v>
      </c>
      <c r="L1546" s="563">
        <f t="shared" si="70"/>
        <v>156.58500000000004</v>
      </c>
      <c r="M1546" s="563">
        <f t="shared" si="71"/>
        <v>800.08500000000004</v>
      </c>
      <c r="N1546" s="580"/>
    </row>
    <row r="1547" spans="4:14" x14ac:dyDescent="0.25">
      <c r="D1547" s="559" t="s">
        <v>867</v>
      </c>
      <c r="E1547" s="558">
        <v>311859</v>
      </c>
      <c r="F1547" s="559">
        <v>301262</v>
      </c>
      <c r="G1547" s="558" t="s">
        <v>2187</v>
      </c>
      <c r="H1547" s="564">
        <v>40015</v>
      </c>
      <c r="I1547" s="563">
        <v>571.35</v>
      </c>
      <c r="J1547" s="563">
        <v>-571.35</v>
      </c>
      <c r="K1547" s="582">
        <f t="shared" si="69"/>
        <v>0</v>
      </c>
      <c r="L1547" s="563">
        <f t="shared" si="70"/>
        <v>0</v>
      </c>
      <c r="M1547" s="563">
        <f t="shared" si="71"/>
        <v>628.48500000000013</v>
      </c>
      <c r="N1547" s="580"/>
    </row>
    <row r="1548" spans="4:14" x14ac:dyDescent="0.25">
      <c r="D1548" s="559" t="s">
        <v>867</v>
      </c>
      <c r="E1548" s="558">
        <v>311862</v>
      </c>
      <c r="F1548" s="559">
        <v>301870</v>
      </c>
      <c r="G1548" s="558" t="s">
        <v>2187</v>
      </c>
      <c r="H1548" s="564">
        <v>40015</v>
      </c>
      <c r="I1548" s="563">
        <v>64.349999999999994</v>
      </c>
      <c r="J1548" s="563">
        <v>-64.349999999999994</v>
      </c>
      <c r="K1548" s="582">
        <f t="shared" si="69"/>
        <v>0</v>
      </c>
      <c r="L1548" s="563">
        <f t="shared" si="70"/>
        <v>0</v>
      </c>
      <c r="M1548" s="563">
        <f t="shared" si="71"/>
        <v>70.784999999999997</v>
      </c>
      <c r="N1548" s="580"/>
    </row>
    <row r="1549" spans="4:14" x14ac:dyDescent="0.25">
      <c r="D1549" s="559" t="s">
        <v>867</v>
      </c>
      <c r="E1549" s="558">
        <v>311863</v>
      </c>
      <c r="F1549" s="559">
        <v>303057</v>
      </c>
      <c r="G1549" s="558" t="s">
        <v>2188</v>
      </c>
      <c r="H1549" s="564">
        <v>40015</v>
      </c>
      <c r="I1549" s="563">
        <v>571.35</v>
      </c>
      <c r="J1549" s="563">
        <v>-571.35</v>
      </c>
      <c r="K1549" s="582">
        <f t="shared" si="69"/>
        <v>0</v>
      </c>
      <c r="L1549" s="563">
        <f t="shared" si="70"/>
        <v>0</v>
      </c>
      <c r="M1549" s="563">
        <f t="shared" si="71"/>
        <v>628.48500000000013</v>
      </c>
      <c r="N1549" s="580"/>
    </row>
    <row r="1550" spans="4:14" x14ac:dyDescent="0.25">
      <c r="D1550" s="559" t="s">
        <v>867</v>
      </c>
      <c r="E1550" s="558">
        <v>311867</v>
      </c>
      <c r="F1550" s="559">
        <v>300505</v>
      </c>
      <c r="G1550" s="558" t="s">
        <v>2188</v>
      </c>
      <c r="H1550" s="564">
        <v>40015</v>
      </c>
      <c r="I1550" s="563">
        <v>727.35</v>
      </c>
      <c r="J1550" s="563">
        <v>-585</v>
      </c>
      <c r="K1550" s="582">
        <f t="shared" si="69"/>
        <v>142.35000000000002</v>
      </c>
      <c r="L1550" s="563">
        <f t="shared" si="70"/>
        <v>156.58500000000004</v>
      </c>
      <c r="M1550" s="563">
        <f t="shared" si="71"/>
        <v>800.08500000000004</v>
      </c>
      <c r="N1550" s="580"/>
    </row>
    <row r="1551" spans="4:14" x14ac:dyDescent="0.25">
      <c r="D1551" s="559" t="s">
        <v>867</v>
      </c>
      <c r="E1551" s="558">
        <v>311868</v>
      </c>
      <c r="F1551" s="559">
        <v>300574</v>
      </c>
      <c r="G1551" s="558" t="s">
        <v>2188</v>
      </c>
      <c r="H1551" s="564">
        <v>40015</v>
      </c>
      <c r="I1551" s="563">
        <v>64.349999999999994</v>
      </c>
      <c r="J1551" s="563">
        <v>-64.349999999999994</v>
      </c>
      <c r="K1551" s="582">
        <f t="shared" si="69"/>
        <v>0</v>
      </c>
      <c r="L1551" s="563">
        <f t="shared" si="70"/>
        <v>0</v>
      </c>
      <c r="M1551" s="563">
        <f t="shared" si="71"/>
        <v>70.784999999999997</v>
      </c>
      <c r="N1551" s="580"/>
    </row>
    <row r="1552" spans="4:14" x14ac:dyDescent="0.25">
      <c r="D1552" s="559" t="s">
        <v>867</v>
      </c>
      <c r="E1552" s="558">
        <v>311874</v>
      </c>
      <c r="F1552" s="559">
        <v>302048</v>
      </c>
      <c r="G1552" s="558" t="s">
        <v>2188</v>
      </c>
      <c r="H1552" s="564">
        <v>40015</v>
      </c>
      <c r="I1552" s="563">
        <v>337.35</v>
      </c>
      <c r="J1552" s="563">
        <v>-337.35</v>
      </c>
      <c r="K1552" s="582">
        <f t="shared" si="69"/>
        <v>0</v>
      </c>
      <c r="L1552" s="563">
        <f t="shared" si="70"/>
        <v>0</v>
      </c>
      <c r="M1552" s="563">
        <f t="shared" si="71"/>
        <v>371.08500000000004</v>
      </c>
      <c r="N1552" s="580"/>
    </row>
    <row r="1553" spans="4:14" x14ac:dyDescent="0.25">
      <c r="D1553" s="559" t="s">
        <v>867</v>
      </c>
      <c r="E1553" s="558">
        <v>311879</v>
      </c>
      <c r="F1553" s="559">
        <v>301359</v>
      </c>
      <c r="G1553" s="558" t="s">
        <v>2188</v>
      </c>
      <c r="H1553" s="564">
        <v>40015</v>
      </c>
      <c r="I1553" s="563">
        <v>727.35</v>
      </c>
      <c r="J1553" s="563">
        <v>-585</v>
      </c>
      <c r="K1553" s="582">
        <f t="shared" si="69"/>
        <v>142.35000000000002</v>
      </c>
      <c r="L1553" s="563">
        <f t="shared" si="70"/>
        <v>156.58500000000004</v>
      </c>
      <c r="M1553" s="563">
        <f t="shared" si="71"/>
        <v>800.08500000000004</v>
      </c>
      <c r="N1553" s="580"/>
    </row>
    <row r="1554" spans="4:14" x14ac:dyDescent="0.25">
      <c r="D1554" s="559" t="s">
        <v>867</v>
      </c>
      <c r="E1554" s="558">
        <v>311885</v>
      </c>
      <c r="F1554" s="559">
        <v>301254</v>
      </c>
      <c r="G1554" s="558" t="s">
        <v>2189</v>
      </c>
      <c r="H1554" s="564">
        <v>40015</v>
      </c>
      <c r="I1554" s="563">
        <v>259.35000000000002</v>
      </c>
      <c r="J1554" s="563">
        <v>-259.35000000000002</v>
      </c>
      <c r="K1554" s="582">
        <f t="shared" si="69"/>
        <v>0</v>
      </c>
      <c r="L1554" s="563">
        <f t="shared" si="70"/>
        <v>0</v>
      </c>
      <c r="M1554" s="563">
        <f t="shared" si="71"/>
        <v>285.28500000000003</v>
      </c>
      <c r="N1554" s="580"/>
    </row>
    <row r="1555" spans="4:14" x14ac:dyDescent="0.25">
      <c r="D1555" s="559" t="s">
        <v>867</v>
      </c>
      <c r="E1555" s="558">
        <v>311890</v>
      </c>
      <c r="F1555" s="559">
        <v>300200</v>
      </c>
      <c r="G1555" s="558" t="s">
        <v>2189</v>
      </c>
      <c r="H1555" s="564">
        <v>40015</v>
      </c>
      <c r="I1555" s="563">
        <v>64.349999999999994</v>
      </c>
      <c r="J1555" s="563">
        <v>-64.349999999999994</v>
      </c>
      <c r="K1555" s="582">
        <f t="shared" si="69"/>
        <v>0</v>
      </c>
      <c r="L1555" s="563">
        <f t="shared" si="70"/>
        <v>0</v>
      </c>
      <c r="M1555" s="563">
        <f t="shared" si="71"/>
        <v>70.784999999999997</v>
      </c>
      <c r="N1555" s="580"/>
    </row>
    <row r="1556" spans="4:14" x14ac:dyDescent="0.25">
      <c r="D1556" s="559" t="s">
        <v>867</v>
      </c>
      <c r="E1556" s="558">
        <v>311891</v>
      </c>
      <c r="F1556" s="559">
        <v>302016</v>
      </c>
      <c r="G1556" s="558" t="s">
        <v>2189</v>
      </c>
      <c r="H1556" s="564">
        <v>40015</v>
      </c>
      <c r="I1556" s="563">
        <v>64.349999999999994</v>
      </c>
      <c r="J1556" s="563">
        <v>-64.349999999999994</v>
      </c>
      <c r="K1556" s="582">
        <f t="shared" si="69"/>
        <v>0</v>
      </c>
      <c r="L1556" s="563">
        <f t="shared" si="70"/>
        <v>0</v>
      </c>
      <c r="M1556" s="563">
        <f t="shared" si="71"/>
        <v>70.784999999999997</v>
      </c>
      <c r="N1556" s="580"/>
    </row>
    <row r="1557" spans="4:14" x14ac:dyDescent="0.25">
      <c r="D1557" s="559" t="s">
        <v>867</v>
      </c>
      <c r="E1557" s="558">
        <v>311897</v>
      </c>
      <c r="F1557" s="559">
        <v>301157</v>
      </c>
      <c r="G1557" s="558" t="s">
        <v>2189</v>
      </c>
      <c r="H1557" s="564">
        <v>40015</v>
      </c>
      <c r="I1557" s="563">
        <v>64.349999999999994</v>
      </c>
      <c r="J1557" s="563">
        <v>-64.349999999999994</v>
      </c>
      <c r="K1557" s="582">
        <f t="shared" si="69"/>
        <v>0</v>
      </c>
      <c r="L1557" s="563">
        <f t="shared" si="70"/>
        <v>0</v>
      </c>
      <c r="M1557" s="563">
        <f t="shared" si="71"/>
        <v>70.784999999999997</v>
      </c>
      <c r="N1557" s="580"/>
    </row>
    <row r="1558" spans="4:14" x14ac:dyDescent="0.25">
      <c r="D1558" s="559" t="s">
        <v>867</v>
      </c>
      <c r="E1558" s="558">
        <v>311898</v>
      </c>
      <c r="F1558" s="559">
        <v>301466</v>
      </c>
      <c r="G1558" s="558" t="s">
        <v>2189</v>
      </c>
      <c r="H1558" s="564">
        <v>40015</v>
      </c>
      <c r="I1558" s="563">
        <v>64.349999999999994</v>
      </c>
      <c r="J1558" s="563">
        <v>-64.349999999999994</v>
      </c>
      <c r="K1558" s="582">
        <f t="shared" si="69"/>
        <v>0</v>
      </c>
      <c r="L1558" s="563">
        <f t="shared" si="70"/>
        <v>0</v>
      </c>
      <c r="M1558" s="563">
        <f t="shared" si="71"/>
        <v>70.784999999999997</v>
      </c>
      <c r="N1558" s="580"/>
    </row>
    <row r="1559" spans="4:14" x14ac:dyDescent="0.25">
      <c r="D1559" s="559" t="s">
        <v>867</v>
      </c>
      <c r="E1559" s="558">
        <v>311900</v>
      </c>
      <c r="F1559" s="559">
        <v>301425</v>
      </c>
      <c r="G1559" s="558" t="s">
        <v>2190</v>
      </c>
      <c r="H1559" s="564">
        <v>40015</v>
      </c>
      <c r="I1559" s="563">
        <v>64.349999999999994</v>
      </c>
      <c r="J1559" s="563">
        <v>-64.349999999999994</v>
      </c>
      <c r="K1559" s="582">
        <f t="shared" si="69"/>
        <v>0</v>
      </c>
      <c r="L1559" s="563">
        <f t="shared" si="70"/>
        <v>0</v>
      </c>
      <c r="M1559" s="563">
        <f t="shared" si="71"/>
        <v>70.784999999999997</v>
      </c>
      <c r="N1559" s="580"/>
    </row>
    <row r="1560" spans="4:14" x14ac:dyDescent="0.25">
      <c r="D1560" s="559" t="s">
        <v>867</v>
      </c>
      <c r="E1560" s="558">
        <v>311902</v>
      </c>
      <c r="F1560" s="559">
        <v>300682</v>
      </c>
      <c r="G1560" s="558" t="s">
        <v>2190</v>
      </c>
      <c r="H1560" s="564">
        <v>40015</v>
      </c>
      <c r="I1560" s="563">
        <v>25.35</v>
      </c>
      <c r="J1560" s="563">
        <v>-25.35</v>
      </c>
      <c r="K1560" s="582">
        <f t="shared" si="69"/>
        <v>0</v>
      </c>
      <c r="L1560" s="563">
        <f t="shared" si="70"/>
        <v>0</v>
      </c>
      <c r="M1560" s="563">
        <f t="shared" si="71"/>
        <v>27.885000000000005</v>
      </c>
      <c r="N1560" s="580"/>
    </row>
    <row r="1561" spans="4:14" x14ac:dyDescent="0.25">
      <c r="D1561" s="559" t="s">
        <v>867</v>
      </c>
      <c r="E1561" s="558">
        <v>311903</v>
      </c>
      <c r="F1561" s="559">
        <v>300939</v>
      </c>
      <c r="G1561" s="558" t="s">
        <v>2190</v>
      </c>
      <c r="H1561" s="564">
        <v>40015</v>
      </c>
      <c r="I1561" s="563">
        <v>727.35</v>
      </c>
      <c r="J1561" s="563">
        <v>-585</v>
      </c>
      <c r="K1561" s="582">
        <f t="shared" si="69"/>
        <v>142.35000000000002</v>
      </c>
      <c r="L1561" s="563">
        <f t="shared" si="70"/>
        <v>156.58500000000004</v>
      </c>
      <c r="M1561" s="563">
        <f t="shared" si="71"/>
        <v>800.08500000000004</v>
      </c>
      <c r="N1561" s="580"/>
    </row>
    <row r="1562" spans="4:14" x14ac:dyDescent="0.25">
      <c r="D1562" s="559" t="s">
        <v>867</v>
      </c>
      <c r="E1562" s="558">
        <v>311906</v>
      </c>
      <c r="F1562" s="559">
        <v>301134</v>
      </c>
      <c r="G1562" s="558" t="s">
        <v>2190</v>
      </c>
      <c r="H1562" s="564">
        <v>40015</v>
      </c>
      <c r="I1562" s="563">
        <v>727.35</v>
      </c>
      <c r="J1562" s="563">
        <v>-585</v>
      </c>
      <c r="K1562" s="582">
        <f t="shared" si="69"/>
        <v>142.35000000000002</v>
      </c>
      <c r="L1562" s="563">
        <f t="shared" si="70"/>
        <v>156.58500000000004</v>
      </c>
      <c r="M1562" s="563">
        <f t="shared" si="71"/>
        <v>800.08500000000004</v>
      </c>
      <c r="N1562" s="580"/>
    </row>
    <row r="1563" spans="4:14" x14ac:dyDescent="0.25">
      <c r="D1563" s="559" t="s">
        <v>867</v>
      </c>
      <c r="E1563" s="558">
        <v>311907</v>
      </c>
      <c r="F1563" s="559">
        <v>301171</v>
      </c>
      <c r="G1563" s="558" t="s">
        <v>2190</v>
      </c>
      <c r="H1563" s="564">
        <v>40015</v>
      </c>
      <c r="I1563" s="563">
        <v>64.349999999999994</v>
      </c>
      <c r="J1563" s="563">
        <v>-64.349999999999994</v>
      </c>
      <c r="K1563" s="582">
        <f t="shared" si="69"/>
        <v>0</v>
      </c>
      <c r="L1563" s="563">
        <f t="shared" si="70"/>
        <v>0</v>
      </c>
      <c r="M1563" s="563">
        <f t="shared" si="71"/>
        <v>70.784999999999997</v>
      </c>
      <c r="N1563" s="580"/>
    </row>
    <row r="1564" spans="4:14" x14ac:dyDescent="0.25">
      <c r="D1564" s="559" t="s">
        <v>867</v>
      </c>
      <c r="E1564" s="558">
        <v>311915</v>
      </c>
      <c r="F1564" s="559">
        <v>300749</v>
      </c>
      <c r="G1564" s="558" t="s">
        <v>2191</v>
      </c>
      <c r="H1564" s="564">
        <v>40015</v>
      </c>
      <c r="I1564" s="563">
        <v>25.35</v>
      </c>
      <c r="J1564" s="563">
        <v>-25.35</v>
      </c>
      <c r="K1564" s="582">
        <f t="shared" si="69"/>
        <v>0</v>
      </c>
      <c r="L1564" s="563">
        <f t="shared" si="70"/>
        <v>0</v>
      </c>
      <c r="M1564" s="563">
        <f t="shared" si="71"/>
        <v>27.885000000000005</v>
      </c>
      <c r="N1564" s="580"/>
    </row>
    <row r="1565" spans="4:14" x14ac:dyDescent="0.25">
      <c r="D1565" s="559" t="s">
        <v>867</v>
      </c>
      <c r="E1565" s="558">
        <v>311922</v>
      </c>
      <c r="F1565" s="559">
        <v>300922</v>
      </c>
      <c r="G1565" s="558" t="s">
        <v>2191</v>
      </c>
      <c r="H1565" s="564">
        <v>40015</v>
      </c>
      <c r="I1565" s="563">
        <v>64.349999999999994</v>
      </c>
      <c r="J1565" s="563">
        <v>-64.349999999999994</v>
      </c>
      <c r="K1565" s="582">
        <f t="shared" si="69"/>
        <v>0</v>
      </c>
      <c r="L1565" s="563">
        <f t="shared" si="70"/>
        <v>0</v>
      </c>
      <c r="M1565" s="563">
        <f t="shared" si="71"/>
        <v>70.784999999999997</v>
      </c>
      <c r="N1565" s="580"/>
    </row>
    <row r="1566" spans="4:14" x14ac:dyDescent="0.25">
      <c r="D1566" s="559" t="s">
        <v>867</v>
      </c>
      <c r="E1566" s="558">
        <v>311932</v>
      </c>
      <c r="F1566" s="559">
        <v>301251</v>
      </c>
      <c r="G1566" s="558" t="s">
        <v>2191</v>
      </c>
      <c r="H1566" s="564">
        <v>40015</v>
      </c>
      <c r="I1566" s="563">
        <v>25.35</v>
      </c>
      <c r="J1566" s="563">
        <v>-25.35</v>
      </c>
      <c r="K1566" s="582">
        <f t="shared" si="69"/>
        <v>0</v>
      </c>
      <c r="L1566" s="563">
        <f t="shared" si="70"/>
        <v>0</v>
      </c>
      <c r="M1566" s="563">
        <f t="shared" si="71"/>
        <v>27.885000000000005</v>
      </c>
      <c r="N1566" s="580"/>
    </row>
    <row r="1567" spans="4:14" x14ac:dyDescent="0.25">
      <c r="D1567" s="559" t="s">
        <v>867</v>
      </c>
      <c r="E1567" s="558">
        <v>311936</v>
      </c>
      <c r="F1567" s="559">
        <v>301700</v>
      </c>
      <c r="G1567" s="558" t="s">
        <v>2191</v>
      </c>
      <c r="H1567" s="564">
        <v>40015</v>
      </c>
      <c r="I1567" s="563">
        <v>64.349999999999994</v>
      </c>
      <c r="J1567" s="563">
        <v>-64.349999999999994</v>
      </c>
      <c r="K1567" s="582">
        <f t="shared" si="69"/>
        <v>0</v>
      </c>
      <c r="L1567" s="563">
        <f t="shared" si="70"/>
        <v>0</v>
      </c>
      <c r="M1567" s="563">
        <f t="shared" si="71"/>
        <v>70.784999999999997</v>
      </c>
      <c r="N1567" s="580"/>
    </row>
    <row r="1568" spans="4:14" x14ac:dyDescent="0.25">
      <c r="D1568" s="559" t="s">
        <v>867</v>
      </c>
      <c r="E1568" s="558">
        <v>311943</v>
      </c>
      <c r="F1568" s="559">
        <v>302251</v>
      </c>
      <c r="G1568" s="558" t="s">
        <v>2191</v>
      </c>
      <c r="H1568" s="564">
        <v>40015</v>
      </c>
      <c r="I1568" s="563">
        <v>727.35</v>
      </c>
      <c r="J1568" s="563">
        <v>-585</v>
      </c>
      <c r="K1568" s="582">
        <f t="shared" si="69"/>
        <v>142.35000000000002</v>
      </c>
      <c r="L1568" s="563">
        <f t="shared" si="70"/>
        <v>156.58500000000004</v>
      </c>
      <c r="M1568" s="563">
        <f t="shared" si="71"/>
        <v>800.08500000000004</v>
      </c>
      <c r="N1568" s="580"/>
    </row>
    <row r="1569" spans="4:14" x14ac:dyDescent="0.25">
      <c r="D1569" s="559" t="s">
        <v>867</v>
      </c>
      <c r="E1569" s="558">
        <v>311946</v>
      </c>
      <c r="F1569" s="559">
        <v>300746</v>
      </c>
      <c r="G1569" s="558" t="s">
        <v>2192</v>
      </c>
      <c r="H1569" s="564">
        <v>40015</v>
      </c>
      <c r="I1569" s="563">
        <v>727.35</v>
      </c>
      <c r="J1569" s="563">
        <v>-585</v>
      </c>
      <c r="K1569" s="582">
        <f t="shared" si="69"/>
        <v>142.35000000000002</v>
      </c>
      <c r="L1569" s="563">
        <f t="shared" si="70"/>
        <v>156.58500000000004</v>
      </c>
      <c r="M1569" s="563">
        <f t="shared" si="71"/>
        <v>800.08500000000004</v>
      </c>
      <c r="N1569" s="580"/>
    </row>
    <row r="1570" spans="4:14" x14ac:dyDescent="0.25">
      <c r="D1570" s="559" t="s">
        <v>867</v>
      </c>
      <c r="E1570" s="558">
        <v>311954</v>
      </c>
      <c r="F1570" s="559">
        <v>301620</v>
      </c>
      <c r="G1570" s="558" t="s">
        <v>2192</v>
      </c>
      <c r="H1570" s="564">
        <v>40015</v>
      </c>
      <c r="I1570" s="563">
        <v>64.349999999999994</v>
      </c>
      <c r="J1570" s="563">
        <v>-64.349999999999994</v>
      </c>
      <c r="K1570" s="582">
        <f t="shared" si="69"/>
        <v>0</v>
      </c>
      <c r="L1570" s="563">
        <f t="shared" si="70"/>
        <v>0</v>
      </c>
      <c r="M1570" s="563">
        <f t="shared" si="71"/>
        <v>70.784999999999997</v>
      </c>
      <c r="N1570" s="580"/>
    </row>
    <row r="1571" spans="4:14" x14ac:dyDescent="0.25">
      <c r="D1571" s="559" t="s">
        <v>867</v>
      </c>
      <c r="E1571" s="558">
        <v>311959</v>
      </c>
      <c r="F1571" s="559">
        <v>300102</v>
      </c>
      <c r="G1571" s="558" t="s">
        <v>2192</v>
      </c>
      <c r="H1571" s="564">
        <v>40015</v>
      </c>
      <c r="I1571" s="563">
        <v>64.349999999999994</v>
      </c>
      <c r="J1571" s="563">
        <v>-64.349999999999994</v>
      </c>
      <c r="K1571" s="582">
        <f t="shared" si="69"/>
        <v>0</v>
      </c>
      <c r="L1571" s="563">
        <f t="shared" si="70"/>
        <v>0</v>
      </c>
      <c r="M1571" s="563">
        <f t="shared" si="71"/>
        <v>70.784999999999997</v>
      </c>
      <c r="N1571" s="580"/>
    </row>
    <row r="1572" spans="4:14" x14ac:dyDescent="0.25">
      <c r="D1572" s="559" t="s">
        <v>867</v>
      </c>
      <c r="E1572" s="558">
        <v>311961</v>
      </c>
      <c r="F1572" s="559">
        <v>301384</v>
      </c>
      <c r="G1572" s="558" t="s">
        <v>2192</v>
      </c>
      <c r="H1572" s="564">
        <v>40015</v>
      </c>
      <c r="I1572" s="563">
        <v>64.349999999999994</v>
      </c>
      <c r="J1572" s="563">
        <v>-64.349999999999994</v>
      </c>
      <c r="K1572" s="582">
        <f t="shared" si="69"/>
        <v>0</v>
      </c>
      <c r="L1572" s="563">
        <f t="shared" si="70"/>
        <v>0</v>
      </c>
      <c r="M1572" s="563">
        <f t="shared" si="71"/>
        <v>70.784999999999997</v>
      </c>
      <c r="N1572" s="580"/>
    </row>
    <row r="1573" spans="4:14" x14ac:dyDescent="0.25">
      <c r="D1573" s="559" t="s">
        <v>867</v>
      </c>
      <c r="E1573" s="558">
        <v>311963</v>
      </c>
      <c r="F1573" s="559">
        <v>301928</v>
      </c>
      <c r="G1573" s="558" t="s">
        <v>2192</v>
      </c>
      <c r="H1573" s="564">
        <v>40015</v>
      </c>
      <c r="I1573" s="563">
        <v>64.349999999999994</v>
      </c>
      <c r="J1573" s="563">
        <v>-64.349999999999994</v>
      </c>
      <c r="K1573" s="582">
        <f t="shared" si="69"/>
        <v>0</v>
      </c>
      <c r="L1573" s="563">
        <f t="shared" si="70"/>
        <v>0</v>
      </c>
      <c r="M1573" s="563">
        <f t="shared" si="71"/>
        <v>70.784999999999997</v>
      </c>
      <c r="N1573" s="580"/>
    </row>
    <row r="1574" spans="4:14" x14ac:dyDescent="0.25">
      <c r="D1574" s="559" t="s">
        <v>867</v>
      </c>
      <c r="E1574" s="558">
        <v>311971</v>
      </c>
      <c r="F1574" s="559">
        <v>300721</v>
      </c>
      <c r="G1574" s="558" t="s">
        <v>2193</v>
      </c>
      <c r="H1574" s="564">
        <v>40015</v>
      </c>
      <c r="I1574" s="563">
        <v>727.35</v>
      </c>
      <c r="J1574" s="563">
        <v>-585</v>
      </c>
      <c r="K1574" s="582">
        <f t="shared" si="69"/>
        <v>142.35000000000002</v>
      </c>
      <c r="L1574" s="563">
        <f t="shared" si="70"/>
        <v>156.58500000000004</v>
      </c>
      <c r="M1574" s="563">
        <f t="shared" si="71"/>
        <v>800.08500000000004</v>
      </c>
      <c r="N1574" s="580"/>
    </row>
    <row r="1575" spans="4:14" x14ac:dyDescent="0.25">
      <c r="D1575" s="559" t="s">
        <v>867</v>
      </c>
      <c r="E1575" s="558">
        <v>311974</v>
      </c>
      <c r="F1575" s="559">
        <v>301503</v>
      </c>
      <c r="G1575" s="558" t="s">
        <v>2193</v>
      </c>
      <c r="H1575" s="564">
        <v>40015</v>
      </c>
      <c r="I1575" s="563">
        <v>64.349999999999994</v>
      </c>
      <c r="J1575" s="563">
        <v>-64.349999999999994</v>
      </c>
      <c r="K1575" s="582">
        <f t="shared" si="69"/>
        <v>0</v>
      </c>
      <c r="L1575" s="563">
        <f t="shared" si="70"/>
        <v>0</v>
      </c>
      <c r="M1575" s="563">
        <f t="shared" si="71"/>
        <v>70.784999999999997</v>
      </c>
      <c r="N1575" s="580"/>
    </row>
    <row r="1576" spans="4:14" x14ac:dyDescent="0.25">
      <c r="D1576" s="559" t="s">
        <v>867</v>
      </c>
      <c r="E1576" s="558">
        <v>311977</v>
      </c>
      <c r="F1576" s="559">
        <v>301932</v>
      </c>
      <c r="G1576" s="558" t="s">
        <v>2193</v>
      </c>
      <c r="H1576" s="564">
        <v>40015</v>
      </c>
      <c r="I1576" s="563">
        <v>64.349999999999994</v>
      </c>
      <c r="J1576" s="563">
        <v>-64.349999999999994</v>
      </c>
      <c r="K1576" s="582">
        <f t="shared" si="69"/>
        <v>0</v>
      </c>
      <c r="L1576" s="563">
        <f t="shared" si="70"/>
        <v>0</v>
      </c>
      <c r="M1576" s="563">
        <f t="shared" si="71"/>
        <v>70.784999999999997</v>
      </c>
      <c r="N1576" s="580"/>
    </row>
    <row r="1577" spans="4:14" x14ac:dyDescent="0.25">
      <c r="D1577" s="559" t="s">
        <v>867</v>
      </c>
      <c r="E1577" s="558">
        <v>311979</v>
      </c>
      <c r="F1577" s="559">
        <v>301687</v>
      </c>
      <c r="G1577" s="558" t="s">
        <v>2193</v>
      </c>
      <c r="H1577" s="564">
        <v>40015</v>
      </c>
      <c r="I1577" s="563">
        <v>337.35</v>
      </c>
      <c r="J1577" s="563">
        <v>-337.35</v>
      </c>
      <c r="K1577" s="582">
        <f t="shared" ref="K1577:K1640" si="72">+I1577+J1577</f>
        <v>0</v>
      </c>
      <c r="L1577" s="563">
        <f t="shared" ref="L1577:L1640" si="73">+K1577*1.1</f>
        <v>0</v>
      </c>
      <c r="M1577" s="563">
        <f t="shared" ref="M1577:M1640" si="74">+I1577*1.1</f>
        <v>371.08500000000004</v>
      </c>
      <c r="N1577" s="580"/>
    </row>
    <row r="1578" spans="4:14" x14ac:dyDescent="0.25">
      <c r="D1578" s="559" t="s">
        <v>867</v>
      </c>
      <c r="E1578" s="558">
        <v>311985</v>
      </c>
      <c r="F1578" s="559">
        <v>301910</v>
      </c>
      <c r="G1578" s="558" t="s">
        <v>2193</v>
      </c>
      <c r="H1578" s="564">
        <v>40015</v>
      </c>
      <c r="I1578" s="563">
        <v>298.35000000000002</v>
      </c>
      <c r="J1578" s="563">
        <v>-298.35000000000002</v>
      </c>
      <c r="K1578" s="582">
        <f t="shared" si="72"/>
        <v>0</v>
      </c>
      <c r="L1578" s="563">
        <f t="shared" si="73"/>
        <v>0</v>
      </c>
      <c r="M1578" s="563">
        <f t="shared" si="74"/>
        <v>328.18500000000006</v>
      </c>
      <c r="N1578" s="580"/>
    </row>
    <row r="1579" spans="4:14" x14ac:dyDescent="0.25">
      <c r="D1579" s="559" t="s">
        <v>867</v>
      </c>
      <c r="E1579" s="558">
        <v>311987</v>
      </c>
      <c r="F1579" s="559">
        <v>303063</v>
      </c>
      <c r="G1579" s="558" t="s">
        <v>2194</v>
      </c>
      <c r="H1579" s="564">
        <v>40015</v>
      </c>
      <c r="I1579" s="563">
        <v>25.35</v>
      </c>
      <c r="J1579" s="563">
        <v>-25.35</v>
      </c>
      <c r="K1579" s="582">
        <f t="shared" si="72"/>
        <v>0</v>
      </c>
      <c r="L1579" s="563">
        <f t="shared" si="73"/>
        <v>0</v>
      </c>
      <c r="M1579" s="563">
        <f t="shared" si="74"/>
        <v>27.885000000000005</v>
      </c>
      <c r="N1579" s="580"/>
    </row>
    <row r="1580" spans="4:14" x14ac:dyDescent="0.25">
      <c r="D1580" s="559" t="s">
        <v>867</v>
      </c>
      <c r="E1580" s="558">
        <v>311989</v>
      </c>
      <c r="F1580" s="559">
        <v>300109</v>
      </c>
      <c r="G1580" s="558" t="s">
        <v>2194</v>
      </c>
      <c r="H1580" s="564">
        <v>40015</v>
      </c>
      <c r="I1580" s="563">
        <v>64.349999999999994</v>
      </c>
      <c r="J1580" s="563">
        <v>-64.349999999999994</v>
      </c>
      <c r="K1580" s="582">
        <f t="shared" si="72"/>
        <v>0</v>
      </c>
      <c r="L1580" s="563">
        <f t="shared" si="73"/>
        <v>0</v>
      </c>
      <c r="M1580" s="563">
        <f t="shared" si="74"/>
        <v>70.784999999999997</v>
      </c>
      <c r="N1580" s="580"/>
    </row>
    <row r="1581" spans="4:14" x14ac:dyDescent="0.25">
      <c r="D1581" s="559" t="s">
        <v>867</v>
      </c>
      <c r="E1581" s="558">
        <v>311993</v>
      </c>
      <c r="F1581" s="559">
        <v>301791</v>
      </c>
      <c r="G1581" s="558" t="s">
        <v>2194</v>
      </c>
      <c r="H1581" s="564">
        <v>40015</v>
      </c>
      <c r="I1581" s="563">
        <v>64.349999999999994</v>
      </c>
      <c r="J1581" s="563">
        <v>-64.349999999999994</v>
      </c>
      <c r="K1581" s="582">
        <f t="shared" si="72"/>
        <v>0</v>
      </c>
      <c r="L1581" s="563">
        <f t="shared" si="73"/>
        <v>0</v>
      </c>
      <c r="M1581" s="563">
        <f t="shared" si="74"/>
        <v>70.784999999999997</v>
      </c>
      <c r="N1581" s="580"/>
    </row>
    <row r="1582" spans="4:14" x14ac:dyDescent="0.25">
      <c r="D1582" s="559" t="s">
        <v>867</v>
      </c>
      <c r="E1582" s="558">
        <v>311996</v>
      </c>
      <c r="F1582" s="559">
        <v>300430</v>
      </c>
      <c r="G1582" s="558" t="s">
        <v>2194</v>
      </c>
      <c r="H1582" s="564">
        <v>40015</v>
      </c>
      <c r="I1582" s="563">
        <v>64.349999999999994</v>
      </c>
      <c r="J1582" s="563">
        <v>-64.349999999999994</v>
      </c>
      <c r="K1582" s="582">
        <f t="shared" si="72"/>
        <v>0</v>
      </c>
      <c r="L1582" s="563">
        <f t="shared" si="73"/>
        <v>0</v>
      </c>
      <c r="M1582" s="563">
        <f t="shared" si="74"/>
        <v>70.784999999999997</v>
      </c>
      <c r="N1582" s="580"/>
    </row>
    <row r="1583" spans="4:14" x14ac:dyDescent="0.25">
      <c r="D1583" s="559" t="s">
        <v>867</v>
      </c>
      <c r="E1583" s="558">
        <v>312002</v>
      </c>
      <c r="F1583" s="559">
        <v>302123</v>
      </c>
      <c r="G1583" s="558" t="s">
        <v>2194</v>
      </c>
      <c r="H1583" s="564">
        <v>40015</v>
      </c>
      <c r="I1583" s="563">
        <v>727.35</v>
      </c>
      <c r="J1583" s="563">
        <v>-585</v>
      </c>
      <c r="K1583" s="582">
        <f t="shared" si="72"/>
        <v>142.35000000000002</v>
      </c>
      <c r="L1583" s="563">
        <f t="shared" si="73"/>
        <v>156.58500000000004</v>
      </c>
      <c r="M1583" s="563">
        <f t="shared" si="74"/>
        <v>800.08500000000004</v>
      </c>
      <c r="N1583" s="580"/>
    </row>
    <row r="1584" spans="4:14" x14ac:dyDescent="0.25">
      <c r="D1584" s="559" t="s">
        <v>867</v>
      </c>
      <c r="E1584" s="558">
        <v>312008</v>
      </c>
      <c r="F1584" s="559">
        <v>300353</v>
      </c>
      <c r="G1584" s="558" t="s">
        <v>2195</v>
      </c>
      <c r="H1584" s="564">
        <v>40015</v>
      </c>
      <c r="I1584" s="563">
        <v>727.35</v>
      </c>
      <c r="J1584" s="563">
        <v>-585</v>
      </c>
      <c r="K1584" s="582">
        <f t="shared" si="72"/>
        <v>142.35000000000002</v>
      </c>
      <c r="L1584" s="563">
        <f t="shared" si="73"/>
        <v>156.58500000000004</v>
      </c>
      <c r="M1584" s="563">
        <f t="shared" si="74"/>
        <v>800.08500000000004</v>
      </c>
      <c r="N1584" s="580"/>
    </row>
    <row r="1585" spans="4:16" x14ac:dyDescent="0.25">
      <c r="D1585" s="559" t="s">
        <v>867</v>
      </c>
      <c r="E1585" s="558">
        <v>312009</v>
      </c>
      <c r="F1585" s="559">
        <v>300235</v>
      </c>
      <c r="G1585" s="558" t="s">
        <v>2195</v>
      </c>
      <c r="H1585" s="564">
        <v>40015</v>
      </c>
      <c r="I1585" s="563">
        <v>64.349999999999994</v>
      </c>
      <c r="J1585" s="563">
        <v>-64.349999999999994</v>
      </c>
      <c r="K1585" s="582">
        <f t="shared" si="72"/>
        <v>0</v>
      </c>
      <c r="L1585" s="563">
        <f t="shared" si="73"/>
        <v>0</v>
      </c>
      <c r="M1585" s="563">
        <f t="shared" si="74"/>
        <v>70.784999999999997</v>
      </c>
      <c r="N1585" s="580"/>
    </row>
    <row r="1586" spans="4:16" x14ac:dyDescent="0.25">
      <c r="D1586" s="559" t="s">
        <v>867</v>
      </c>
      <c r="E1586" s="558">
        <v>312010</v>
      </c>
      <c r="F1586" s="559">
        <v>300905</v>
      </c>
      <c r="G1586" s="558" t="s">
        <v>2195</v>
      </c>
      <c r="H1586" s="564">
        <v>40015</v>
      </c>
      <c r="I1586" s="563">
        <v>64.349999999999994</v>
      </c>
      <c r="J1586" s="563">
        <v>-64.349999999999994</v>
      </c>
      <c r="K1586" s="582">
        <f t="shared" si="72"/>
        <v>0</v>
      </c>
      <c r="L1586" s="563">
        <f t="shared" si="73"/>
        <v>0</v>
      </c>
      <c r="M1586" s="563">
        <f t="shared" si="74"/>
        <v>70.784999999999997</v>
      </c>
      <c r="N1586" s="580"/>
    </row>
    <row r="1587" spans="4:16" x14ac:dyDescent="0.25">
      <c r="D1587" s="559" t="s">
        <v>867</v>
      </c>
      <c r="E1587" s="558">
        <v>312014</v>
      </c>
      <c r="F1587" s="559">
        <v>300182</v>
      </c>
      <c r="G1587" s="558" t="s">
        <v>2195</v>
      </c>
      <c r="H1587" s="564">
        <v>40015</v>
      </c>
      <c r="I1587" s="563">
        <v>64.349999999999994</v>
      </c>
      <c r="J1587" s="563">
        <v>-64.349999999999994</v>
      </c>
      <c r="K1587" s="582">
        <f t="shared" si="72"/>
        <v>0</v>
      </c>
      <c r="L1587" s="563">
        <f t="shared" si="73"/>
        <v>0</v>
      </c>
      <c r="M1587" s="563">
        <f t="shared" si="74"/>
        <v>70.784999999999997</v>
      </c>
      <c r="N1587" s="580"/>
    </row>
    <row r="1588" spans="4:16" x14ac:dyDescent="0.25">
      <c r="D1588" s="559" t="s">
        <v>867</v>
      </c>
      <c r="E1588" s="558">
        <v>312017</v>
      </c>
      <c r="F1588" s="559">
        <v>301804</v>
      </c>
      <c r="G1588" s="558" t="s">
        <v>2195</v>
      </c>
      <c r="H1588" s="564">
        <v>40015</v>
      </c>
      <c r="I1588" s="563">
        <v>727.35</v>
      </c>
      <c r="J1588" s="563">
        <v>-585</v>
      </c>
      <c r="K1588" s="582">
        <f t="shared" si="72"/>
        <v>142.35000000000002</v>
      </c>
      <c r="L1588" s="563">
        <f t="shared" si="73"/>
        <v>156.58500000000004</v>
      </c>
      <c r="M1588" s="563">
        <f t="shared" si="74"/>
        <v>800.08500000000004</v>
      </c>
      <c r="N1588" s="580"/>
    </row>
    <row r="1589" spans="4:16" x14ac:dyDescent="0.25">
      <c r="D1589" s="559" t="s">
        <v>867</v>
      </c>
      <c r="E1589" s="558">
        <v>312018</v>
      </c>
      <c r="F1589" s="559">
        <v>300008</v>
      </c>
      <c r="G1589" s="558" t="s">
        <v>2196</v>
      </c>
      <c r="H1589" s="564">
        <v>40015</v>
      </c>
      <c r="I1589" s="563">
        <v>454.35</v>
      </c>
      <c r="J1589" s="563">
        <v>-454.35</v>
      </c>
      <c r="K1589" s="582">
        <f t="shared" si="72"/>
        <v>0</v>
      </c>
      <c r="L1589" s="563">
        <f t="shared" si="73"/>
        <v>0</v>
      </c>
      <c r="M1589" s="563">
        <f t="shared" si="74"/>
        <v>499.78500000000008</v>
      </c>
      <c r="N1589" s="580"/>
    </row>
    <row r="1590" spans="4:16" x14ac:dyDescent="0.25">
      <c r="D1590" s="559" t="s">
        <v>867</v>
      </c>
      <c r="E1590" s="558">
        <v>312020</v>
      </c>
      <c r="F1590" s="559">
        <v>301303</v>
      </c>
      <c r="G1590" s="558" t="s">
        <v>2196</v>
      </c>
      <c r="H1590" s="564">
        <v>40015</v>
      </c>
      <c r="I1590" s="563">
        <v>64.349999999999994</v>
      </c>
      <c r="J1590" s="563">
        <v>-64.349999999999994</v>
      </c>
      <c r="K1590" s="582">
        <f t="shared" si="72"/>
        <v>0</v>
      </c>
      <c r="L1590" s="563">
        <f t="shared" si="73"/>
        <v>0</v>
      </c>
      <c r="M1590" s="563">
        <f t="shared" si="74"/>
        <v>70.784999999999997</v>
      </c>
      <c r="N1590" s="580"/>
    </row>
    <row r="1591" spans="4:16" x14ac:dyDescent="0.25">
      <c r="D1591" s="559" t="s">
        <v>867</v>
      </c>
      <c r="E1591" s="558">
        <v>312022</v>
      </c>
      <c r="F1591" s="559">
        <v>301428</v>
      </c>
      <c r="G1591" s="558" t="s">
        <v>2196</v>
      </c>
      <c r="H1591" s="564">
        <v>40015</v>
      </c>
      <c r="I1591" s="563">
        <v>25.35</v>
      </c>
      <c r="J1591" s="563">
        <v>-25.35</v>
      </c>
      <c r="K1591" s="582">
        <f t="shared" si="72"/>
        <v>0</v>
      </c>
      <c r="L1591" s="563">
        <f t="shared" si="73"/>
        <v>0</v>
      </c>
      <c r="M1591" s="563">
        <f t="shared" si="74"/>
        <v>27.885000000000005</v>
      </c>
      <c r="N1591" s="580"/>
    </row>
    <row r="1592" spans="4:16" x14ac:dyDescent="0.25">
      <c r="D1592" s="559" t="s">
        <v>867</v>
      </c>
      <c r="E1592" s="558">
        <v>312037</v>
      </c>
      <c r="F1592" s="559">
        <v>300594</v>
      </c>
      <c r="G1592" s="558" t="s">
        <v>2196</v>
      </c>
      <c r="H1592" s="564">
        <v>40015</v>
      </c>
      <c r="I1592" s="563">
        <v>727.35</v>
      </c>
      <c r="J1592" s="563">
        <v>-585</v>
      </c>
      <c r="K1592" s="582">
        <f t="shared" si="72"/>
        <v>142.35000000000002</v>
      </c>
      <c r="L1592" s="563">
        <f t="shared" si="73"/>
        <v>156.58500000000004</v>
      </c>
      <c r="M1592" s="563">
        <f t="shared" si="74"/>
        <v>800.08500000000004</v>
      </c>
      <c r="N1592" s="580"/>
    </row>
    <row r="1593" spans="4:16" x14ac:dyDescent="0.25">
      <c r="D1593" s="559" t="s">
        <v>867</v>
      </c>
      <c r="E1593" s="558">
        <v>312042</v>
      </c>
      <c r="F1593" s="559">
        <v>300658</v>
      </c>
      <c r="G1593" s="558" t="s">
        <v>2196</v>
      </c>
      <c r="H1593" s="564">
        <v>40015</v>
      </c>
      <c r="I1593" s="563">
        <v>727.35</v>
      </c>
      <c r="J1593" s="563">
        <v>-585</v>
      </c>
      <c r="K1593" s="582">
        <f t="shared" si="72"/>
        <v>142.35000000000002</v>
      </c>
      <c r="L1593" s="563">
        <f t="shared" si="73"/>
        <v>156.58500000000004</v>
      </c>
      <c r="M1593" s="563">
        <f t="shared" si="74"/>
        <v>800.08500000000004</v>
      </c>
      <c r="N1593" s="580"/>
    </row>
    <row r="1594" spans="4:16" x14ac:dyDescent="0.25">
      <c r="D1594" s="559" t="s">
        <v>867</v>
      </c>
      <c r="E1594" s="558">
        <v>312043</v>
      </c>
      <c r="F1594" s="559">
        <v>301300</v>
      </c>
      <c r="G1594" s="558" t="s">
        <v>4839</v>
      </c>
      <c r="H1594" s="564">
        <v>40015</v>
      </c>
      <c r="I1594" s="563">
        <v>64.349999999999994</v>
      </c>
      <c r="J1594" s="563">
        <v>-64.349999999999994</v>
      </c>
      <c r="K1594" s="582">
        <f t="shared" si="72"/>
        <v>0</v>
      </c>
      <c r="L1594" s="563">
        <f t="shared" si="73"/>
        <v>0</v>
      </c>
      <c r="M1594" s="563">
        <f t="shared" si="74"/>
        <v>70.784999999999997</v>
      </c>
      <c r="N1594" s="580"/>
    </row>
    <row r="1595" spans="4:16" x14ac:dyDescent="0.25">
      <c r="D1595" s="559" t="s">
        <v>867</v>
      </c>
      <c r="E1595" s="558">
        <v>312045</v>
      </c>
      <c r="F1595" s="559">
        <v>300573</v>
      </c>
      <c r="G1595" s="558" t="s">
        <v>4839</v>
      </c>
      <c r="H1595" s="564">
        <v>40015</v>
      </c>
      <c r="I1595" s="563">
        <v>64.349999999999994</v>
      </c>
      <c r="J1595" s="563">
        <v>-64.349999999999994</v>
      </c>
      <c r="K1595" s="582">
        <f t="shared" si="72"/>
        <v>0</v>
      </c>
      <c r="L1595" s="563">
        <f t="shared" si="73"/>
        <v>0</v>
      </c>
      <c r="M1595" s="563">
        <f t="shared" si="74"/>
        <v>70.784999999999997</v>
      </c>
      <c r="N1595" s="580"/>
    </row>
    <row r="1596" spans="4:16" x14ac:dyDescent="0.25">
      <c r="D1596" s="559" t="s">
        <v>867</v>
      </c>
      <c r="E1596" s="558">
        <v>312046</v>
      </c>
      <c r="F1596" s="559">
        <v>301903</v>
      </c>
      <c r="G1596" s="558" t="s">
        <v>4839</v>
      </c>
      <c r="H1596" s="564">
        <v>40015</v>
      </c>
      <c r="I1596" s="563">
        <v>64.349999999999994</v>
      </c>
      <c r="J1596" s="563">
        <v>-64.349999999999994</v>
      </c>
      <c r="K1596" s="563">
        <f t="shared" si="72"/>
        <v>0</v>
      </c>
      <c r="L1596" s="563">
        <f t="shared" si="73"/>
        <v>0</v>
      </c>
      <c r="M1596" s="563">
        <f t="shared" si="74"/>
        <v>70.784999999999997</v>
      </c>
      <c r="N1596" s="580"/>
      <c r="O1596" s="558"/>
      <c r="P1596" s="564"/>
    </row>
    <row r="1597" spans="4:16" x14ac:dyDescent="0.25">
      <c r="D1597" s="559" t="s">
        <v>867</v>
      </c>
      <c r="E1597" s="558">
        <v>312048</v>
      </c>
      <c r="F1597" s="559">
        <v>300454</v>
      </c>
      <c r="G1597" s="558" t="s">
        <v>4839</v>
      </c>
      <c r="H1597" s="564">
        <v>40015</v>
      </c>
      <c r="I1597" s="563">
        <v>64.349999999999994</v>
      </c>
      <c r="J1597" s="563">
        <v>-64.349999999999994</v>
      </c>
      <c r="K1597" s="582">
        <f t="shared" si="72"/>
        <v>0</v>
      </c>
      <c r="L1597" s="563">
        <f t="shared" si="73"/>
        <v>0</v>
      </c>
      <c r="M1597" s="563">
        <f t="shared" si="74"/>
        <v>70.784999999999997</v>
      </c>
      <c r="N1597" s="580"/>
    </row>
    <row r="1598" spans="4:16" x14ac:dyDescent="0.25">
      <c r="D1598" s="559" t="s">
        <v>867</v>
      </c>
      <c r="E1598" s="558">
        <v>312050</v>
      </c>
      <c r="F1598" s="559">
        <v>303069</v>
      </c>
      <c r="G1598" s="558" t="s">
        <v>4839</v>
      </c>
      <c r="H1598" s="564">
        <v>40015</v>
      </c>
      <c r="I1598" s="563">
        <v>64.349999999999994</v>
      </c>
      <c r="J1598" s="563">
        <v>-64.349999999999994</v>
      </c>
      <c r="K1598" s="582">
        <f t="shared" si="72"/>
        <v>0</v>
      </c>
      <c r="L1598" s="563">
        <f t="shared" si="73"/>
        <v>0</v>
      </c>
      <c r="M1598" s="563">
        <f t="shared" si="74"/>
        <v>70.784999999999997</v>
      </c>
      <c r="N1598" s="580"/>
    </row>
    <row r="1599" spans="4:16" x14ac:dyDescent="0.25">
      <c r="D1599" s="559" t="s">
        <v>867</v>
      </c>
      <c r="E1599" s="558">
        <v>312051</v>
      </c>
      <c r="F1599" s="559">
        <v>302278</v>
      </c>
      <c r="G1599" s="558" t="s">
        <v>2197</v>
      </c>
      <c r="H1599" s="564">
        <v>40015</v>
      </c>
      <c r="I1599" s="563">
        <v>3159</v>
      </c>
      <c r="J1599" s="563">
        <v>-585</v>
      </c>
      <c r="K1599" s="582">
        <f t="shared" si="72"/>
        <v>2574</v>
      </c>
      <c r="L1599" s="563">
        <f t="shared" si="73"/>
        <v>2831.4</v>
      </c>
      <c r="M1599" s="563">
        <f t="shared" si="74"/>
        <v>3474.9</v>
      </c>
      <c r="N1599" s="580"/>
    </row>
    <row r="1600" spans="4:16" x14ac:dyDescent="0.25">
      <c r="D1600" s="559" t="s">
        <v>867</v>
      </c>
      <c r="E1600" s="558">
        <v>312053</v>
      </c>
      <c r="F1600" s="559">
        <v>301435</v>
      </c>
      <c r="G1600" s="558" t="s">
        <v>2197</v>
      </c>
      <c r="H1600" s="564">
        <v>40015</v>
      </c>
      <c r="I1600" s="563">
        <v>64.349999999999994</v>
      </c>
      <c r="J1600" s="563">
        <v>-64.349999999999994</v>
      </c>
      <c r="K1600" s="582">
        <f t="shared" si="72"/>
        <v>0</v>
      </c>
      <c r="L1600" s="563">
        <f t="shared" si="73"/>
        <v>0</v>
      </c>
      <c r="M1600" s="563">
        <f t="shared" si="74"/>
        <v>70.784999999999997</v>
      </c>
      <c r="N1600" s="580"/>
    </row>
    <row r="1601" spans="4:14" x14ac:dyDescent="0.25">
      <c r="D1601" s="559" t="s">
        <v>867</v>
      </c>
      <c r="E1601" s="558">
        <v>312055</v>
      </c>
      <c r="F1601" s="559">
        <v>301321</v>
      </c>
      <c r="G1601" s="558" t="s">
        <v>2197</v>
      </c>
      <c r="H1601" s="564">
        <v>40015</v>
      </c>
      <c r="I1601" s="563">
        <v>64.349999999999994</v>
      </c>
      <c r="J1601" s="563">
        <v>-64.349999999999994</v>
      </c>
      <c r="K1601" s="582">
        <f t="shared" si="72"/>
        <v>0</v>
      </c>
      <c r="L1601" s="563">
        <f t="shared" si="73"/>
        <v>0</v>
      </c>
      <c r="M1601" s="563">
        <f t="shared" si="74"/>
        <v>70.784999999999997</v>
      </c>
      <c r="N1601" s="580"/>
    </row>
    <row r="1602" spans="4:14" x14ac:dyDescent="0.25">
      <c r="D1602" s="559" t="s">
        <v>867</v>
      </c>
      <c r="E1602" s="558">
        <v>312057</v>
      </c>
      <c r="F1602" s="559">
        <v>301617</v>
      </c>
      <c r="G1602" s="558" t="s">
        <v>2197</v>
      </c>
      <c r="H1602" s="564">
        <v>40015</v>
      </c>
      <c r="I1602" s="563">
        <v>727.35</v>
      </c>
      <c r="J1602" s="563">
        <v>-585</v>
      </c>
      <c r="K1602" s="582">
        <f t="shared" si="72"/>
        <v>142.35000000000002</v>
      </c>
      <c r="L1602" s="563">
        <f t="shared" si="73"/>
        <v>156.58500000000004</v>
      </c>
      <c r="M1602" s="563">
        <f t="shared" si="74"/>
        <v>800.08500000000004</v>
      </c>
      <c r="N1602" s="580"/>
    </row>
    <row r="1603" spans="4:14" x14ac:dyDescent="0.25">
      <c r="D1603" s="559" t="s">
        <v>867</v>
      </c>
      <c r="E1603" s="558">
        <v>312058</v>
      </c>
      <c r="F1603" s="559">
        <v>301970</v>
      </c>
      <c r="G1603" s="558" t="s">
        <v>2197</v>
      </c>
      <c r="H1603" s="564">
        <v>40015</v>
      </c>
      <c r="I1603" s="563">
        <v>64.349999999999994</v>
      </c>
      <c r="J1603" s="563">
        <v>-64.349999999999994</v>
      </c>
      <c r="K1603" s="582">
        <f t="shared" si="72"/>
        <v>0</v>
      </c>
      <c r="L1603" s="563">
        <f t="shared" si="73"/>
        <v>0</v>
      </c>
      <c r="M1603" s="563">
        <f t="shared" si="74"/>
        <v>70.784999999999997</v>
      </c>
      <c r="N1603" s="580"/>
    </row>
    <row r="1604" spans="4:14" x14ac:dyDescent="0.25">
      <c r="D1604" s="559" t="s">
        <v>867</v>
      </c>
      <c r="E1604" s="558">
        <v>312060</v>
      </c>
      <c r="F1604" s="559">
        <v>302146</v>
      </c>
      <c r="G1604" s="558" t="s">
        <v>2198</v>
      </c>
      <c r="H1604" s="564">
        <v>40015</v>
      </c>
      <c r="I1604" s="563">
        <v>25.35</v>
      </c>
      <c r="J1604" s="563">
        <v>-25.35</v>
      </c>
      <c r="K1604" s="582">
        <f t="shared" si="72"/>
        <v>0</v>
      </c>
      <c r="L1604" s="563">
        <f t="shared" si="73"/>
        <v>0</v>
      </c>
      <c r="M1604" s="563">
        <f t="shared" si="74"/>
        <v>27.885000000000005</v>
      </c>
      <c r="N1604" s="580"/>
    </row>
    <row r="1605" spans="4:14" x14ac:dyDescent="0.25">
      <c r="D1605" s="559" t="s">
        <v>867</v>
      </c>
      <c r="E1605" s="558">
        <v>312063</v>
      </c>
      <c r="F1605" s="559">
        <v>300470</v>
      </c>
      <c r="G1605" s="558" t="s">
        <v>2198</v>
      </c>
      <c r="H1605" s="564">
        <v>40015</v>
      </c>
      <c r="I1605" s="563">
        <v>64.349999999999994</v>
      </c>
      <c r="J1605" s="563">
        <v>-64.349999999999994</v>
      </c>
      <c r="K1605" s="582">
        <f t="shared" si="72"/>
        <v>0</v>
      </c>
      <c r="L1605" s="563">
        <f t="shared" si="73"/>
        <v>0</v>
      </c>
      <c r="M1605" s="563">
        <f t="shared" si="74"/>
        <v>70.784999999999997</v>
      </c>
      <c r="N1605" s="580"/>
    </row>
    <row r="1606" spans="4:14" x14ac:dyDescent="0.25">
      <c r="D1606" s="559" t="s">
        <v>867</v>
      </c>
      <c r="E1606" s="558">
        <v>312064</v>
      </c>
      <c r="F1606" s="559">
        <v>301087</v>
      </c>
      <c r="G1606" s="558" t="s">
        <v>2198</v>
      </c>
      <c r="H1606" s="564">
        <v>40015</v>
      </c>
      <c r="I1606" s="563">
        <v>64.349999999999994</v>
      </c>
      <c r="J1606" s="563">
        <v>-64.349999999999994</v>
      </c>
      <c r="K1606" s="582">
        <f t="shared" si="72"/>
        <v>0</v>
      </c>
      <c r="L1606" s="563">
        <f t="shared" si="73"/>
        <v>0</v>
      </c>
      <c r="M1606" s="563">
        <f t="shared" si="74"/>
        <v>70.784999999999997</v>
      </c>
      <c r="N1606" s="580"/>
    </row>
    <row r="1607" spans="4:14" x14ac:dyDescent="0.25">
      <c r="D1607" s="559" t="s">
        <v>867</v>
      </c>
      <c r="E1607" s="558">
        <v>312067</v>
      </c>
      <c r="F1607" s="559">
        <v>301044</v>
      </c>
      <c r="G1607" s="558" t="s">
        <v>2198</v>
      </c>
      <c r="H1607" s="564">
        <v>40015</v>
      </c>
      <c r="I1607" s="563">
        <v>64.349999999999994</v>
      </c>
      <c r="J1607" s="563">
        <v>-64.349999999999994</v>
      </c>
      <c r="K1607" s="582">
        <f t="shared" si="72"/>
        <v>0</v>
      </c>
      <c r="L1607" s="563">
        <f t="shared" si="73"/>
        <v>0</v>
      </c>
      <c r="M1607" s="563">
        <f t="shared" si="74"/>
        <v>70.784999999999997</v>
      </c>
      <c r="N1607" s="580"/>
    </row>
    <row r="1608" spans="4:14" x14ac:dyDescent="0.25">
      <c r="D1608" s="559" t="s">
        <v>867</v>
      </c>
      <c r="E1608" s="558">
        <v>312069</v>
      </c>
      <c r="F1608" s="559">
        <v>301377</v>
      </c>
      <c r="G1608" s="558" t="s">
        <v>2198</v>
      </c>
      <c r="H1608" s="564">
        <v>40015</v>
      </c>
      <c r="I1608" s="563">
        <v>64.349999999999994</v>
      </c>
      <c r="J1608" s="563">
        <v>-64.349999999999994</v>
      </c>
      <c r="K1608" s="582">
        <f t="shared" si="72"/>
        <v>0</v>
      </c>
      <c r="L1608" s="563">
        <f t="shared" si="73"/>
        <v>0</v>
      </c>
      <c r="M1608" s="563">
        <f t="shared" si="74"/>
        <v>70.784999999999997</v>
      </c>
      <c r="N1608" s="580"/>
    </row>
    <row r="1609" spans="4:14" x14ac:dyDescent="0.25">
      <c r="D1609" s="559" t="s">
        <v>867</v>
      </c>
      <c r="E1609" s="558">
        <v>312073</v>
      </c>
      <c r="F1609" s="559">
        <v>301196</v>
      </c>
      <c r="G1609" s="558" t="s">
        <v>2199</v>
      </c>
      <c r="H1609" s="564">
        <v>40015</v>
      </c>
      <c r="I1609" s="563">
        <v>64.349999999999994</v>
      </c>
      <c r="J1609" s="563">
        <v>-64.349999999999994</v>
      </c>
      <c r="K1609" s="582">
        <f t="shared" si="72"/>
        <v>0</v>
      </c>
      <c r="L1609" s="563">
        <f t="shared" si="73"/>
        <v>0</v>
      </c>
      <c r="M1609" s="563">
        <f t="shared" si="74"/>
        <v>70.784999999999997</v>
      </c>
      <c r="N1609" s="580"/>
    </row>
    <row r="1610" spans="4:14" x14ac:dyDescent="0.25">
      <c r="D1610" s="559" t="s">
        <v>867</v>
      </c>
      <c r="E1610" s="558">
        <v>312080</v>
      </c>
      <c r="F1610" s="559">
        <v>300091</v>
      </c>
      <c r="G1610" s="558" t="s">
        <v>2199</v>
      </c>
      <c r="H1610" s="564">
        <v>40015</v>
      </c>
      <c r="I1610" s="563">
        <v>64.349999999999994</v>
      </c>
      <c r="J1610" s="563">
        <v>-64.349999999999994</v>
      </c>
      <c r="K1610" s="582">
        <f t="shared" si="72"/>
        <v>0</v>
      </c>
      <c r="L1610" s="563">
        <f t="shared" si="73"/>
        <v>0</v>
      </c>
      <c r="M1610" s="563">
        <f t="shared" si="74"/>
        <v>70.784999999999997</v>
      </c>
      <c r="N1610" s="580"/>
    </row>
    <row r="1611" spans="4:14" x14ac:dyDescent="0.25">
      <c r="D1611" s="559" t="s">
        <v>867</v>
      </c>
      <c r="E1611" s="558">
        <v>312081</v>
      </c>
      <c r="F1611" s="559">
        <v>300018</v>
      </c>
      <c r="G1611" s="558" t="s">
        <v>2199</v>
      </c>
      <c r="H1611" s="564">
        <v>40015</v>
      </c>
      <c r="I1611" s="563">
        <v>64.349999999999994</v>
      </c>
      <c r="J1611" s="563">
        <v>-64.349999999999994</v>
      </c>
      <c r="K1611" s="582">
        <f t="shared" si="72"/>
        <v>0</v>
      </c>
      <c r="L1611" s="563">
        <f t="shared" si="73"/>
        <v>0</v>
      </c>
      <c r="M1611" s="563">
        <f t="shared" si="74"/>
        <v>70.784999999999997</v>
      </c>
      <c r="N1611" s="580"/>
    </row>
    <row r="1612" spans="4:14" x14ac:dyDescent="0.25">
      <c r="D1612" s="559" t="s">
        <v>867</v>
      </c>
      <c r="E1612" s="558">
        <v>312083</v>
      </c>
      <c r="F1612" s="559">
        <v>300410</v>
      </c>
      <c r="G1612" s="558" t="s">
        <v>2199</v>
      </c>
      <c r="H1612" s="564">
        <v>40015</v>
      </c>
      <c r="I1612" s="563">
        <v>727.35</v>
      </c>
      <c r="J1612" s="563">
        <v>-585</v>
      </c>
      <c r="K1612" s="582">
        <f t="shared" si="72"/>
        <v>142.35000000000002</v>
      </c>
      <c r="L1612" s="563">
        <f t="shared" si="73"/>
        <v>156.58500000000004</v>
      </c>
      <c r="M1612" s="563">
        <f t="shared" si="74"/>
        <v>800.08500000000004</v>
      </c>
      <c r="N1612" s="580"/>
    </row>
    <row r="1613" spans="4:14" x14ac:dyDescent="0.25">
      <c r="D1613" s="559" t="s">
        <v>867</v>
      </c>
      <c r="E1613" s="558">
        <v>312085</v>
      </c>
      <c r="F1613" s="559">
        <v>301335</v>
      </c>
      <c r="G1613" s="558" t="s">
        <v>2199</v>
      </c>
      <c r="H1613" s="564">
        <v>40015</v>
      </c>
      <c r="I1613" s="563">
        <v>64.349999999999994</v>
      </c>
      <c r="J1613" s="563">
        <v>-64.349999999999994</v>
      </c>
      <c r="K1613" s="582">
        <f t="shared" si="72"/>
        <v>0</v>
      </c>
      <c r="L1613" s="563">
        <f t="shared" si="73"/>
        <v>0</v>
      </c>
      <c r="M1613" s="563">
        <f t="shared" si="74"/>
        <v>70.784999999999997</v>
      </c>
      <c r="N1613" s="580"/>
    </row>
    <row r="1614" spans="4:14" x14ac:dyDescent="0.25">
      <c r="D1614" s="559" t="s">
        <v>867</v>
      </c>
      <c r="E1614" s="558">
        <v>312088</v>
      </c>
      <c r="F1614" s="559">
        <v>300239</v>
      </c>
      <c r="G1614" s="558" t="s">
        <v>2200</v>
      </c>
      <c r="H1614" s="564">
        <v>40015</v>
      </c>
      <c r="I1614" s="563">
        <v>64.349999999999994</v>
      </c>
      <c r="J1614" s="563">
        <v>-64.349999999999994</v>
      </c>
      <c r="K1614" s="582">
        <f t="shared" si="72"/>
        <v>0</v>
      </c>
      <c r="L1614" s="563">
        <f t="shared" si="73"/>
        <v>0</v>
      </c>
      <c r="M1614" s="563">
        <f t="shared" si="74"/>
        <v>70.784999999999997</v>
      </c>
      <c r="N1614" s="580"/>
    </row>
    <row r="1615" spans="4:14" x14ac:dyDescent="0.25">
      <c r="D1615" s="559" t="s">
        <v>867</v>
      </c>
      <c r="E1615" s="558">
        <v>312089</v>
      </c>
      <c r="F1615" s="559">
        <v>301618</v>
      </c>
      <c r="G1615" s="558" t="s">
        <v>2200</v>
      </c>
      <c r="H1615" s="564">
        <v>40015</v>
      </c>
      <c r="I1615" s="563">
        <v>64.349999999999994</v>
      </c>
      <c r="J1615" s="563">
        <v>-64.349999999999994</v>
      </c>
      <c r="K1615" s="582">
        <f t="shared" si="72"/>
        <v>0</v>
      </c>
      <c r="L1615" s="563">
        <f t="shared" si="73"/>
        <v>0</v>
      </c>
      <c r="M1615" s="563">
        <f t="shared" si="74"/>
        <v>70.784999999999997</v>
      </c>
      <c r="N1615" s="580"/>
    </row>
    <row r="1616" spans="4:14" x14ac:dyDescent="0.25">
      <c r="D1616" s="559" t="s">
        <v>867</v>
      </c>
      <c r="E1616" s="558">
        <v>312094</v>
      </c>
      <c r="F1616" s="559">
        <v>300841</v>
      </c>
      <c r="G1616" s="558" t="s">
        <v>2200</v>
      </c>
      <c r="H1616" s="564">
        <v>40015</v>
      </c>
      <c r="I1616" s="563">
        <v>64.349999999999994</v>
      </c>
      <c r="J1616" s="563">
        <v>-64.349999999999994</v>
      </c>
      <c r="K1616" s="582">
        <f t="shared" si="72"/>
        <v>0</v>
      </c>
      <c r="L1616" s="563">
        <f t="shared" si="73"/>
        <v>0</v>
      </c>
      <c r="M1616" s="563">
        <f t="shared" si="74"/>
        <v>70.784999999999997</v>
      </c>
      <c r="N1616" s="580"/>
    </row>
    <row r="1617" spans="4:14" x14ac:dyDescent="0.25">
      <c r="D1617" s="559" t="s">
        <v>867</v>
      </c>
      <c r="E1617" s="558">
        <v>312099</v>
      </c>
      <c r="F1617" s="559">
        <v>300623</v>
      </c>
      <c r="G1617" s="558" t="s">
        <v>2200</v>
      </c>
      <c r="H1617" s="564">
        <v>40015</v>
      </c>
      <c r="I1617" s="563">
        <v>493.35</v>
      </c>
      <c r="J1617" s="563">
        <v>-493.35</v>
      </c>
      <c r="K1617" s="582">
        <f t="shared" si="72"/>
        <v>0</v>
      </c>
      <c r="L1617" s="563">
        <f t="shared" si="73"/>
        <v>0</v>
      </c>
      <c r="M1617" s="563">
        <f t="shared" si="74"/>
        <v>542.68500000000006</v>
      </c>
      <c r="N1617" s="580"/>
    </row>
    <row r="1618" spans="4:14" x14ac:dyDescent="0.25">
      <c r="D1618" s="559" t="s">
        <v>867</v>
      </c>
      <c r="E1618" s="558">
        <v>312106</v>
      </c>
      <c r="F1618" s="559">
        <v>302150</v>
      </c>
      <c r="G1618" s="558" t="s">
        <v>2200</v>
      </c>
      <c r="H1618" s="564">
        <v>40015</v>
      </c>
      <c r="I1618" s="563">
        <v>64.349999999999994</v>
      </c>
      <c r="J1618" s="563">
        <v>-64.349999999999994</v>
      </c>
      <c r="K1618" s="582">
        <f t="shared" si="72"/>
        <v>0</v>
      </c>
      <c r="L1618" s="563">
        <f t="shared" si="73"/>
        <v>0</v>
      </c>
      <c r="M1618" s="563">
        <f t="shared" si="74"/>
        <v>70.784999999999997</v>
      </c>
      <c r="N1618" s="580"/>
    </row>
    <row r="1619" spans="4:14" x14ac:dyDescent="0.25">
      <c r="D1619" s="559" t="s">
        <v>867</v>
      </c>
      <c r="E1619" s="558">
        <v>312108</v>
      </c>
      <c r="F1619" s="559">
        <v>300894</v>
      </c>
      <c r="G1619" s="558" t="s">
        <v>2201</v>
      </c>
      <c r="H1619" s="564">
        <v>40015</v>
      </c>
      <c r="I1619" s="563">
        <v>64.349999999999994</v>
      </c>
      <c r="J1619" s="563">
        <v>-64.349999999999994</v>
      </c>
      <c r="K1619" s="582">
        <f t="shared" si="72"/>
        <v>0</v>
      </c>
      <c r="L1619" s="563">
        <f t="shared" si="73"/>
        <v>0</v>
      </c>
      <c r="M1619" s="563">
        <f t="shared" si="74"/>
        <v>70.784999999999997</v>
      </c>
      <c r="N1619" s="580"/>
    </row>
    <row r="1620" spans="4:14" x14ac:dyDescent="0.25">
      <c r="D1620" s="559" t="s">
        <v>867</v>
      </c>
      <c r="E1620" s="558">
        <v>312111</v>
      </c>
      <c r="F1620" s="559">
        <v>301884</v>
      </c>
      <c r="G1620" s="558" t="s">
        <v>2201</v>
      </c>
      <c r="H1620" s="564">
        <v>40015</v>
      </c>
      <c r="I1620" s="563">
        <v>64.349999999999994</v>
      </c>
      <c r="J1620" s="563">
        <v>-64.349999999999994</v>
      </c>
      <c r="K1620" s="582">
        <f t="shared" si="72"/>
        <v>0</v>
      </c>
      <c r="L1620" s="563">
        <f t="shared" si="73"/>
        <v>0</v>
      </c>
      <c r="M1620" s="563">
        <f t="shared" si="74"/>
        <v>70.784999999999997</v>
      </c>
      <c r="N1620" s="580"/>
    </row>
    <row r="1621" spans="4:14" x14ac:dyDescent="0.25">
      <c r="D1621" s="559" t="s">
        <v>867</v>
      </c>
      <c r="E1621" s="558">
        <v>312113</v>
      </c>
      <c r="F1621" s="559">
        <v>301192</v>
      </c>
      <c r="G1621" s="558" t="s">
        <v>2201</v>
      </c>
      <c r="H1621" s="564">
        <v>40015</v>
      </c>
      <c r="I1621" s="563">
        <v>25.35</v>
      </c>
      <c r="J1621" s="563">
        <v>-25.35</v>
      </c>
      <c r="K1621" s="582">
        <f t="shared" si="72"/>
        <v>0</v>
      </c>
      <c r="L1621" s="563">
        <f t="shared" si="73"/>
        <v>0</v>
      </c>
      <c r="M1621" s="563">
        <f t="shared" si="74"/>
        <v>27.885000000000005</v>
      </c>
      <c r="N1621" s="580"/>
    </row>
    <row r="1622" spans="4:14" x14ac:dyDescent="0.25">
      <c r="D1622" s="559" t="s">
        <v>867</v>
      </c>
      <c r="E1622" s="558">
        <v>312116</v>
      </c>
      <c r="F1622" s="559">
        <v>300011</v>
      </c>
      <c r="G1622" s="558" t="s">
        <v>2201</v>
      </c>
      <c r="H1622" s="564">
        <v>40015</v>
      </c>
      <c r="I1622" s="563">
        <v>64.349999999999994</v>
      </c>
      <c r="J1622" s="563">
        <v>-64.349999999999994</v>
      </c>
      <c r="K1622" s="582">
        <f t="shared" si="72"/>
        <v>0</v>
      </c>
      <c r="L1622" s="563">
        <f t="shared" si="73"/>
        <v>0</v>
      </c>
      <c r="M1622" s="563">
        <f t="shared" si="74"/>
        <v>70.784999999999997</v>
      </c>
      <c r="N1622" s="580"/>
    </row>
    <row r="1623" spans="4:14" x14ac:dyDescent="0.25">
      <c r="D1623" s="559" t="s">
        <v>867</v>
      </c>
      <c r="E1623" s="558">
        <v>312117</v>
      </c>
      <c r="F1623" s="559">
        <v>301598</v>
      </c>
      <c r="G1623" s="558" t="s">
        <v>2201</v>
      </c>
      <c r="H1623" s="564">
        <v>40015</v>
      </c>
      <c r="I1623" s="563">
        <v>727.35</v>
      </c>
      <c r="J1623" s="563">
        <v>-585</v>
      </c>
      <c r="K1623" s="582">
        <f t="shared" si="72"/>
        <v>142.35000000000002</v>
      </c>
      <c r="L1623" s="563">
        <f t="shared" si="73"/>
        <v>156.58500000000004</v>
      </c>
      <c r="M1623" s="563">
        <f t="shared" si="74"/>
        <v>800.08500000000004</v>
      </c>
      <c r="N1623" s="580"/>
    </row>
    <row r="1624" spans="4:14" x14ac:dyDescent="0.25">
      <c r="D1624" s="559" t="s">
        <v>867</v>
      </c>
      <c r="E1624" s="558">
        <v>312118</v>
      </c>
      <c r="F1624" s="559">
        <v>300604</v>
      </c>
      <c r="G1624" s="558" t="s">
        <v>2202</v>
      </c>
      <c r="H1624" s="564">
        <v>40015</v>
      </c>
      <c r="I1624" s="563">
        <v>64.349999999999994</v>
      </c>
      <c r="J1624" s="563">
        <v>-64.349999999999994</v>
      </c>
      <c r="K1624" s="582">
        <f t="shared" si="72"/>
        <v>0</v>
      </c>
      <c r="L1624" s="563">
        <f t="shared" si="73"/>
        <v>0</v>
      </c>
      <c r="M1624" s="563">
        <f t="shared" si="74"/>
        <v>70.784999999999997</v>
      </c>
      <c r="N1624" s="580"/>
    </row>
    <row r="1625" spans="4:14" x14ac:dyDescent="0.25">
      <c r="D1625" s="559" t="s">
        <v>867</v>
      </c>
      <c r="E1625" s="558">
        <v>312124</v>
      </c>
      <c r="F1625" s="559">
        <v>302079</v>
      </c>
      <c r="G1625" s="558" t="s">
        <v>2202</v>
      </c>
      <c r="H1625" s="564">
        <v>40015</v>
      </c>
      <c r="I1625" s="563">
        <v>727.35</v>
      </c>
      <c r="J1625" s="563">
        <v>-585</v>
      </c>
      <c r="K1625" s="582">
        <f t="shared" si="72"/>
        <v>142.35000000000002</v>
      </c>
      <c r="L1625" s="563">
        <f t="shared" si="73"/>
        <v>156.58500000000004</v>
      </c>
      <c r="M1625" s="563">
        <f t="shared" si="74"/>
        <v>800.08500000000004</v>
      </c>
      <c r="N1625" s="580"/>
    </row>
    <row r="1626" spans="4:14" x14ac:dyDescent="0.25">
      <c r="D1626" s="559" t="s">
        <v>867</v>
      </c>
      <c r="E1626" s="558">
        <v>312126</v>
      </c>
      <c r="F1626" s="559">
        <v>301506</v>
      </c>
      <c r="G1626" s="558" t="s">
        <v>2202</v>
      </c>
      <c r="H1626" s="564">
        <v>40015</v>
      </c>
      <c r="I1626" s="563">
        <v>727.35</v>
      </c>
      <c r="J1626" s="563">
        <v>-585</v>
      </c>
      <c r="K1626" s="582">
        <f t="shared" si="72"/>
        <v>142.35000000000002</v>
      </c>
      <c r="L1626" s="563">
        <f t="shared" si="73"/>
        <v>156.58500000000004</v>
      </c>
      <c r="M1626" s="563">
        <f t="shared" si="74"/>
        <v>800.08500000000004</v>
      </c>
      <c r="N1626" s="580"/>
    </row>
    <row r="1627" spans="4:14" x14ac:dyDescent="0.25">
      <c r="D1627" s="559" t="s">
        <v>867</v>
      </c>
      <c r="E1627" s="558">
        <v>312127</v>
      </c>
      <c r="F1627" s="559">
        <v>301530</v>
      </c>
      <c r="G1627" s="558" t="s">
        <v>2202</v>
      </c>
      <c r="H1627" s="564">
        <v>40015</v>
      </c>
      <c r="I1627" s="563">
        <v>727.35</v>
      </c>
      <c r="J1627" s="563">
        <v>-585</v>
      </c>
      <c r="K1627" s="582">
        <f t="shared" si="72"/>
        <v>142.35000000000002</v>
      </c>
      <c r="L1627" s="563">
        <f t="shared" si="73"/>
        <v>156.58500000000004</v>
      </c>
      <c r="M1627" s="563">
        <f t="shared" si="74"/>
        <v>800.08500000000004</v>
      </c>
      <c r="N1627" s="580"/>
    </row>
    <row r="1628" spans="4:14" x14ac:dyDescent="0.25">
      <c r="D1628" s="559" t="s">
        <v>867</v>
      </c>
      <c r="E1628" s="558">
        <v>312128</v>
      </c>
      <c r="F1628" s="559">
        <v>302085</v>
      </c>
      <c r="G1628" s="558" t="s">
        <v>2202</v>
      </c>
      <c r="H1628" s="564">
        <v>40015</v>
      </c>
      <c r="I1628" s="563">
        <v>727.35</v>
      </c>
      <c r="J1628" s="563">
        <v>-585</v>
      </c>
      <c r="K1628" s="582">
        <f t="shared" si="72"/>
        <v>142.35000000000002</v>
      </c>
      <c r="L1628" s="563">
        <f t="shared" si="73"/>
        <v>156.58500000000004</v>
      </c>
      <c r="M1628" s="563">
        <f t="shared" si="74"/>
        <v>800.08500000000004</v>
      </c>
      <c r="N1628" s="580"/>
    </row>
    <row r="1629" spans="4:14" x14ac:dyDescent="0.25">
      <c r="D1629" s="559" t="s">
        <v>867</v>
      </c>
      <c r="E1629" s="558">
        <v>312129</v>
      </c>
      <c r="F1629" s="559">
        <v>300402</v>
      </c>
      <c r="G1629" s="558" t="s">
        <v>2203</v>
      </c>
      <c r="H1629" s="564">
        <v>40015</v>
      </c>
      <c r="I1629" s="563">
        <v>727.35</v>
      </c>
      <c r="J1629" s="563">
        <v>-585</v>
      </c>
      <c r="K1629" s="582">
        <f t="shared" si="72"/>
        <v>142.35000000000002</v>
      </c>
      <c r="L1629" s="563">
        <f t="shared" si="73"/>
        <v>156.58500000000004</v>
      </c>
      <c r="M1629" s="563">
        <f t="shared" si="74"/>
        <v>800.08500000000004</v>
      </c>
      <c r="N1629" s="580"/>
    </row>
    <row r="1630" spans="4:14" x14ac:dyDescent="0.25">
      <c r="D1630" s="559" t="s">
        <v>867</v>
      </c>
      <c r="E1630" s="558">
        <v>312130</v>
      </c>
      <c r="F1630" s="559">
        <v>301652</v>
      </c>
      <c r="G1630" s="558" t="s">
        <v>2203</v>
      </c>
      <c r="H1630" s="564">
        <v>40015</v>
      </c>
      <c r="I1630" s="563">
        <v>25.35</v>
      </c>
      <c r="J1630" s="563">
        <v>-25.35</v>
      </c>
      <c r="K1630" s="582">
        <f t="shared" si="72"/>
        <v>0</v>
      </c>
      <c r="L1630" s="563">
        <f t="shared" si="73"/>
        <v>0</v>
      </c>
      <c r="M1630" s="563">
        <f t="shared" si="74"/>
        <v>27.885000000000005</v>
      </c>
      <c r="N1630" s="580"/>
    </row>
    <row r="1631" spans="4:14" x14ac:dyDescent="0.25">
      <c r="D1631" s="559" t="s">
        <v>867</v>
      </c>
      <c r="E1631" s="558">
        <v>312137</v>
      </c>
      <c r="F1631" s="559">
        <v>300127</v>
      </c>
      <c r="G1631" s="558" t="s">
        <v>2203</v>
      </c>
      <c r="H1631" s="564">
        <v>40015</v>
      </c>
      <c r="I1631" s="563">
        <v>649.35</v>
      </c>
      <c r="J1631" s="563">
        <v>-585</v>
      </c>
      <c r="K1631" s="582">
        <f t="shared" si="72"/>
        <v>64.350000000000023</v>
      </c>
      <c r="L1631" s="563">
        <f t="shared" si="73"/>
        <v>70.785000000000025</v>
      </c>
      <c r="M1631" s="563">
        <f t="shared" si="74"/>
        <v>714.28500000000008</v>
      </c>
      <c r="N1631" s="580"/>
    </row>
    <row r="1632" spans="4:14" x14ac:dyDescent="0.25">
      <c r="D1632" s="559" t="s">
        <v>867</v>
      </c>
      <c r="E1632" s="558">
        <v>312142</v>
      </c>
      <c r="F1632" s="559">
        <v>301546</v>
      </c>
      <c r="G1632" s="558" t="s">
        <v>2203</v>
      </c>
      <c r="H1632" s="564">
        <v>40015</v>
      </c>
      <c r="I1632" s="563">
        <v>727.35</v>
      </c>
      <c r="J1632" s="563">
        <v>-585</v>
      </c>
      <c r="K1632" s="582">
        <f t="shared" si="72"/>
        <v>142.35000000000002</v>
      </c>
      <c r="L1632" s="563">
        <f t="shared" si="73"/>
        <v>156.58500000000004</v>
      </c>
      <c r="M1632" s="563">
        <f t="shared" si="74"/>
        <v>800.08500000000004</v>
      </c>
      <c r="N1632" s="580"/>
    </row>
    <row r="1633" spans="4:14" x14ac:dyDescent="0.25">
      <c r="D1633" s="559" t="s">
        <v>867</v>
      </c>
      <c r="E1633" s="558">
        <v>312145</v>
      </c>
      <c r="F1633" s="559">
        <v>302245</v>
      </c>
      <c r="G1633" s="558" t="s">
        <v>2203</v>
      </c>
      <c r="H1633" s="564">
        <v>40015</v>
      </c>
      <c r="I1633" s="563">
        <v>727.35</v>
      </c>
      <c r="J1633" s="563">
        <v>-585</v>
      </c>
      <c r="K1633" s="582">
        <f t="shared" si="72"/>
        <v>142.35000000000002</v>
      </c>
      <c r="L1633" s="563">
        <f t="shared" si="73"/>
        <v>156.58500000000004</v>
      </c>
      <c r="M1633" s="563">
        <f t="shared" si="74"/>
        <v>800.08500000000004</v>
      </c>
      <c r="N1633" s="580"/>
    </row>
    <row r="1634" spans="4:14" x14ac:dyDescent="0.25">
      <c r="D1634" s="559" t="s">
        <v>867</v>
      </c>
      <c r="E1634" s="558">
        <v>312146</v>
      </c>
      <c r="F1634" s="559">
        <v>300311</v>
      </c>
      <c r="G1634" s="558" t="s">
        <v>2204</v>
      </c>
      <c r="H1634" s="564">
        <v>40015</v>
      </c>
      <c r="I1634" s="563">
        <v>727.35</v>
      </c>
      <c r="J1634" s="563">
        <v>-585</v>
      </c>
      <c r="K1634" s="582">
        <f t="shared" si="72"/>
        <v>142.35000000000002</v>
      </c>
      <c r="L1634" s="563">
        <f t="shared" si="73"/>
        <v>156.58500000000004</v>
      </c>
      <c r="M1634" s="563">
        <f t="shared" si="74"/>
        <v>800.08500000000004</v>
      </c>
      <c r="N1634" s="580"/>
    </row>
    <row r="1635" spans="4:14" x14ac:dyDescent="0.25">
      <c r="D1635" s="559" t="s">
        <v>867</v>
      </c>
      <c r="E1635" s="558">
        <v>312147</v>
      </c>
      <c r="F1635" s="559">
        <v>301467</v>
      </c>
      <c r="G1635" s="558" t="s">
        <v>2204</v>
      </c>
      <c r="H1635" s="564">
        <v>40015</v>
      </c>
      <c r="I1635" s="563">
        <v>64.349999999999994</v>
      </c>
      <c r="J1635" s="563">
        <v>-64.349999999999994</v>
      </c>
      <c r="K1635" s="582">
        <f t="shared" si="72"/>
        <v>0</v>
      </c>
      <c r="L1635" s="563">
        <f t="shared" si="73"/>
        <v>0</v>
      </c>
      <c r="M1635" s="563">
        <f t="shared" si="74"/>
        <v>70.784999999999997</v>
      </c>
      <c r="N1635" s="580"/>
    </row>
    <row r="1636" spans="4:14" x14ac:dyDescent="0.25">
      <c r="D1636" s="559" t="s">
        <v>867</v>
      </c>
      <c r="E1636" s="558">
        <v>312150</v>
      </c>
      <c r="F1636" s="559">
        <v>300860</v>
      </c>
      <c r="G1636" s="558" t="s">
        <v>2204</v>
      </c>
      <c r="H1636" s="564">
        <v>40015</v>
      </c>
      <c r="I1636" s="563">
        <v>727.35</v>
      </c>
      <c r="J1636" s="563">
        <v>-585</v>
      </c>
      <c r="K1636" s="582">
        <f t="shared" si="72"/>
        <v>142.35000000000002</v>
      </c>
      <c r="L1636" s="563">
        <f t="shared" si="73"/>
        <v>156.58500000000004</v>
      </c>
      <c r="M1636" s="563">
        <f t="shared" si="74"/>
        <v>800.08500000000004</v>
      </c>
      <c r="N1636" s="580"/>
    </row>
    <row r="1637" spans="4:14" x14ac:dyDescent="0.25">
      <c r="D1637" s="559" t="s">
        <v>867</v>
      </c>
      <c r="E1637" s="558">
        <v>312152</v>
      </c>
      <c r="F1637" s="559">
        <v>301211</v>
      </c>
      <c r="G1637" s="558" t="s">
        <v>2204</v>
      </c>
      <c r="H1637" s="564">
        <v>40015</v>
      </c>
      <c r="I1637" s="563">
        <v>64.349999999999994</v>
      </c>
      <c r="J1637" s="563">
        <v>-64.349999999999994</v>
      </c>
      <c r="K1637" s="582">
        <f t="shared" si="72"/>
        <v>0</v>
      </c>
      <c r="L1637" s="563">
        <f t="shared" si="73"/>
        <v>0</v>
      </c>
      <c r="M1637" s="563">
        <f t="shared" si="74"/>
        <v>70.784999999999997</v>
      </c>
      <c r="N1637" s="580"/>
    </row>
    <row r="1638" spans="4:14" x14ac:dyDescent="0.25">
      <c r="D1638" s="559" t="s">
        <v>867</v>
      </c>
      <c r="E1638" s="558">
        <v>312154</v>
      </c>
      <c r="F1638" s="559">
        <v>301901</v>
      </c>
      <c r="G1638" s="558" t="s">
        <v>2204</v>
      </c>
      <c r="H1638" s="564">
        <v>40015</v>
      </c>
      <c r="I1638" s="563">
        <v>64.349999999999994</v>
      </c>
      <c r="J1638" s="563">
        <v>-64.349999999999994</v>
      </c>
      <c r="K1638" s="582">
        <f t="shared" si="72"/>
        <v>0</v>
      </c>
      <c r="L1638" s="563">
        <f t="shared" si="73"/>
        <v>0</v>
      </c>
      <c r="M1638" s="563">
        <f t="shared" si="74"/>
        <v>70.784999999999997</v>
      </c>
      <c r="N1638" s="580"/>
    </row>
    <row r="1639" spans="4:14" x14ac:dyDescent="0.25">
      <c r="D1639" s="559" t="s">
        <v>867</v>
      </c>
      <c r="E1639" s="558">
        <v>312156</v>
      </c>
      <c r="F1639" s="559">
        <v>301562</v>
      </c>
      <c r="G1639" s="558" t="s">
        <v>2205</v>
      </c>
      <c r="H1639" s="564">
        <v>40015</v>
      </c>
      <c r="I1639" s="563">
        <v>64.349999999999994</v>
      </c>
      <c r="J1639" s="563">
        <v>-64.349999999999994</v>
      </c>
      <c r="K1639" s="582">
        <f t="shared" si="72"/>
        <v>0</v>
      </c>
      <c r="L1639" s="563">
        <f t="shared" si="73"/>
        <v>0</v>
      </c>
      <c r="M1639" s="563">
        <f t="shared" si="74"/>
        <v>70.784999999999997</v>
      </c>
      <c r="N1639" s="580"/>
    </row>
    <row r="1640" spans="4:14" x14ac:dyDescent="0.25">
      <c r="D1640" s="559" t="s">
        <v>867</v>
      </c>
      <c r="E1640" s="558">
        <v>312166</v>
      </c>
      <c r="F1640" s="559">
        <v>301918</v>
      </c>
      <c r="G1640" s="558" t="s">
        <v>2205</v>
      </c>
      <c r="H1640" s="564">
        <v>40015</v>
      </c>
      <c r="I1640" s="563">
        <v>64.349999999999994</v>
      </c>
      <c r="J1640" s="563">
        <v>-64.349999999999994</v>
      </c>
      <c r="K1640" s="582">
        <f t="shared" si="72"/>
        <v>0</v>
      </c>
      <c r="L1640" s="563">
        <f t="shared" si="73"/>
        <v>0</v>
      </c>
      <c r="M1640" s="563">
        <f t="shared" si="74"/>
        <v>70.784999999999997</v>
      </c>
      <c r="N1640" s="580"/>
    </row>
    <row r="1641" spans="4:14" x14ac:dyDescent="0.25">
      <c r="D1641" s="559" t="s">
        <v>867</v>
      </c>
      <c r="E1641" s="558">
        <v>312168</v>
      </c>
      <c r="F1641" s="559">
        <v>300586</v>
      </c>
      <c r="G1641" s="558" t="s">
        <v>2205</v>
      </c>
      <c r="H1641" s="564">
        <v>40015</v>
      </c>
      <c r="I1641" s="563">
        <v>727.35</v>
      </c>
      <c r="J1641" s="563">
        <v>-585</v>
      </c>
      <c r="K1641" s="582">
        <f t="shared" ref="K1641:K1704" si="75">+I1641+J1641</f>
        <v>142.35000000000002</v>
      </c>
      <c r="L1641" s="563">
        <f t="shared" ref="L1641:L1704" si="76">+K1641*1.1</f>
        <v>156.58500000000004</v>
      </c>
      <c r="M1641" s="563">
        <f t="shared" ref="M1641:M1704" si="77">+I1641*1.1</f>
        <v>800.08500000000004</v>
      </c>
      <c r="N1641" s="580"/>
    </row>
    <row r="1642" spans="4:14" x14ac:dyDescent="0.25">
      <c r="D1642" s="559" t="s">
        <v>867</v>
      </c>
      <c r="E1642" s="558">
        <v>312171</v>
      </c>
      <c r="F1642" s="559">
        <v>300471</v>
      </c>
      <c r="G1642" s="558" t="s">
        <v>2205</v>
      </c>
      <c r="H1642" s="564">
        <v>40015</v>
      </c>
      <c r="I1642" s="563">
        <v>727.35</v>
      </c>
      <c r="J1642" s="563">
        <v>-585</v>
      </c>
      <c r="K1642" s="582">
        <f t="shared" si="75"/>
        <v>142.35000000000002</v>
      </c>
      <c r="L1642" s="563">
        <f t="shared" si="76"/>
        <v>156.58500000000004</v>
      </c>
      <c r="M1642" s="563">
        <f t="shared" si="77"/>
        <v>800.08500000000004</v>
      </c>
      <c r="N1642" s="580"/>
    </row>
    <row r="1643" spans="4:14" x14ac:dyDescent="0.25">
      <c r="D1643" s="559" t="s">
        <v>867</v>
      </c>
      <c r="E1643" s="558">
        <v>312172</v>
      </c>
      <c r="F1643" s="559">
        <v>300184</v>
      </c>
      <c r="G1643" s="558" t="s">
        <v>2205</v>
      </c>
      <c r="H1643" s="564">
        <v>40015</v>
      </c>
      <c r="I1643" s="563">
        <v>727.35</v>
      </c>
      <c r="J1643" s="563">
        <v>-585</v>
      </c>
      <c r="K1643" s="582">
        <f t="shared" si="75"/>
        <v>142.35000000000002</v>
      </c>
      <c r="L1643" s="563">
        <f t="shared" si="76"/>
        <v>156.58500000000004</v>
      </c>
      <c r="M1643" s="563">
        <f t="shared" si="77"/>
        <v>800.08500000000004</v>
      </c>
      <c r="N1643" s="580"/>
    </row>
    <row r="1644" spans="4:14" x14ac:dyDescent="0.25">
      <c r="D1644" s="559" t="s">
        <v>867</v>
      </c>
      <c r="E1644" s="558">
        <v>312173</v>
      </c>
      <c r="F1644" s="559">
        <v>301355</v>
      </c>
      <c r="G1644" s="558" t="s">
        <v>2206</v>
      </c>
      <c r="H1644" s="564">
        <v>40015</v>
      </c>
      <c r="I1644" s="563">
        <v>64.349999999999994</v>
      </c>
      <c r="J1644" s="563">
        <v>-64.349999999999994</v>
      </c>
      <c r="K1644" s="582">
        <f t="shared" si="75"/>
        <v>0</v>
      </c>
      <c r="L1644" s="563">
        <f t="shared" si="76"/>
        <v>0</v>
      </c>
      <c r="M1644" s="563">
        <f t="shared" si="77"/>
        <v>70.784999999999997</v>
      </c>
      <c r="N1644" s="580"/>
    </row>
    <row r="1645" spans="4:14" x14ac:dyDescent="0.25">
      <c r="D1645" s="559" t="s">
        <v>867</v>
      </c>
      <c r="E1645" s="558">
        <v>312175</v>
      </c>
      <c r="F1645" s="559">
        <v>300637</v>
      </c>
      <c r="G1645" s="558" t="s">
        <v>2206</v>
      </c>
      <c r="H1645" s="564">
        <v>40015</v>
      </c>
      <c r="I1645" s="563">
        <v>727.35</v>
      </c>
      <c r="J1645" s="563">
        <v>-585</v>
      </c>
      <c r="K1645" s="582">
        <f t="shared" si="75"/>
        <v>142.35000000000002</v>
      </c>
      <c r="L1645" s="563">
        <f t="shared" si="76"/>
        <v>156.58500000000004</v>
      </c>
      <c r="M1645" s="563">
        <f t="shared" si="77"/>
        <v>800.08500000000004</v>
      </c>
      <c r="N1645" s="580"/>
    </row>
    <row r="1646" spans="4:14" x14ac:dyDescent="0.25">
      <c r="D1646" s="559" t="s">
        <v>867</v>
      </c>
      <c r="E1646" s="558">
        <v>312177</v>
      </c>
      <c r="F1646" s="559">
        <v>301654</v>
      </c>
      <c r="G1646" s="558" t="s">
        <v>2206</v>
      </c>
      <c r="H1646" s="564">
        <v>40015</v>
      </c>
      <c r="I1646" s="563">
        <v>25.35</v>
      </c>
      <c r="J1646" s="563">
        <v>-25.35</v>
      </c>
      <c r="K1646" s="582">
        <f t="shared" si="75"/>
        <v>0</v>
      </c>
      <c r="L1646" s="563">
        <f t="shared" si="76"/>
        <v>0</v>
      </c>
      <c r="M1646" s="563">
        <f t="shared" si="77"/>
        <v>27.885000000000005</v>
      </c>
      <c r="N1646" s="580"/>
    </row>
    <row r="1647" spans="4:14" x14ac:dyDescent="0.25">
      <c r="D1647" s="559" t="s">
        <v>867</v>
      </c>
      <c r="E1647" s="558">
        <v>312179</v>
      </c>
      <c r="F1647" s="559">
        <v>301549</v>
      </c>
      <c r="G1647" s="558" t="s">
        <v>2206</v>
      </c>
      <c r="H1647" s="564">
        <v>40015</v>
      </c>
      <c r="I1647" s="563">
        <v>727.35</v>
      </c>
      <c r="J1647" s="563">
        <v>-585</v>
      </c>
      <c r="K1647" s="582">
        <f t="shared" si="75"/>
        <v>142.35000000000002</v>
      </c>
      <c r="L1647" s="563">
        <f t="shared" si="76"/>
        <v>156.58500000000004</v>
      </c>
      <c r="M1647" s="563">
        <f t="shared" si="77"/>
        <v>800.08500000000004</v>
      </c>
      <c r="N1647" s="580"/>
    </row>
    <row r="1648" spans="4:14" x14ac:dyDescent="0.25">
      <c r="D1648" s="559" t="s">
        <v>867</v>
      </c>
      <c r="E1648" s="558">
        <v>312180</v>
      </c>
      <c r="F1648" s="559">
        <v>300738</v>
      </c>
      <c r="G1648" s="558" t="s">
        <v>2206</v>
      </c>
      <c r="H1648" s="564">
        <v>40015</v>
      </c>
      <c r="I1648" s="563">
        <v>64.349999999999994</v>
      </c>
      <c r="J1648" s="563">
        <v>-64.349999999999994</v>
      </c>
      <c r="K1648" s="582">
        <f t="shared" si="75"/>
        <v>0</v>
      </c>
      <c r="L1648" s="563">
        <f t="shared" si="76"/>
        <v>0</v>
      </c>
      <c r="M1648" s="563">
        <f t="shared" si="77"/>
        <v>70.784999999999997</v>
      </c>
      <c r="N1648" s="580"/>
    </row>
    <row r="1649" spans="4:14" x14ac:dyDescent="0.25">
      <c r="D1649" s="559" t="s">
        <v>867</v>
      </c>
      <c r="E1649" s="558">
        <v>312182</v>
      </c>
      <c r="F1649" s="559">
        <v>303453</v>
      </c>
      <c r="G1649" s="558" t="s">
        <v>2207</v>
      </c>
      <c r="H1649" s="564">
        <v>40015</v>
      </c>
      <c r="I1649" s="563">
        <v>64.349999999999994</v>
      </c>
      <c r="J1649" s="563">
        <v>-64.349999999999994</v>
      </c>
      <c r="K1649" s="582">
        <f t="shared" si="75"/>
        <v>0</v>
      </c>
      <c r="L1649" s="563">
        <f t="shared" si="76"/>
        <v>0</v>
      </c>
      <c r="M1649" s="563">
        <f t="shared" si="77"/>
        <v>70.784999999999997</v>
      </c>
      <c r="N1649" s="580"/>
    </row>
    <row r="1650" spans="4:14" x14ac:dyDescent="0.25">
      <c r="D1650" s="559" t="s">
        <v>867</v>
      </c>
      <c r="E1650" s="558">
        <v>312199</v>
      </c>
      <c r="F1650" s="559">
        <v>301424</v>
      </c>
      <c r="G1650" s="558" t="s">
        <v>2207</v>
      </c>
      <c r="H1650" s="564">
        <v>40015</v>
      </c>
      <c r="I1650" s="563">
        <v>64.349999999999994</v>
      </c>
      <c r="J1650" s="563">
        <v>-64.349999999999994</v>
      </c>
      <c r="K1650" s="582">
        <f t="shared" si="75"/>
        <v>0</v>
      </c>
      <c r="L1650" s="563">
        <f t="shared" si="76"/>
        <v>0</v>
      </c>
      <c r="M1650" s="563">
        <f t="shared" si="77"/>
        <v>70.784999999999997</v>
      </c>
      <c r="N1650" s="580"/>
    </row>
    <row r="1651" spans="4:14" x14ac:dyDescent="0.25">
      <c r="D1651" s="559" t="s">
        <v>867</v>
      </c>
      <c r="E1651" s="558">
        <v>312205</v>
      </c>
      <c r="F1651" s="559">
        <v>300274</v>
      </c>
      <c r="G1651" s="558" t="s">
        <v>2207</v>
      </c>
      <c r="H1651" s="564">
        <v>40015</v>
      </c>
      <c r="I1651" s="563">
        <v>64.349999999999994</v>
      </c>
      <c r="J1651" s="563">
        <v>-64.349999999999994</v>
      </c>
      <c r="K1651" s="582">
        <f t="shared" si="75"/>
        <v>0</v>
      </c>
      <c r="L1651" s="563">
        <f t="shared" si="76"/>
        <v>0</v>
      </c>
      <c r="M1651" s="563">
        <f t="shared" si="77"/>
        <v>70.784999999999997</v>
      </c>
      <c r="N1651" s="580"/>
    </row>
    <row r="1652" spans="4:14" x14ac:dyDescent="0.25">
      <c r="D1652" s="559" t="s">
        <v>867</v>
      </c>
      <c r="E1652" s="558">
        <v>312206</v>
      </c>
      <c r="F1652" s="559">
        <v>300645</v>
      </c>
      <c r="G1652" s="558" t="s">
        <v>2207</v>
      </c>
      <c r="H1652" s="564">
        <v>40015</v>
      </c>
      <c r="I1652" s="563">
        <v>64.349999999999994</v>
      </c>
      <c r="J1652" s="563">
        <v>-64.349999999999994</v>
      </c>
      <c r="K1652" s="582">
        <f t="shared" si="75"/>
        <v>0</v>
      </c>
      <c r="L1652" s="563">
        <f t="shared" si="76"/>
        <v>0</v>
      </c>
      <c r="M1652" s="563">
        <f t="shared" si="77"/>
        <v>70.784999999999997</v>
      </c>
      <c r="N1652" s="580"/>
    </row>
    <row r="1653" spans="4:14" x14ac:dyDescent="0.25">
      <c r="D1653" s="559" t="s">
        <v>867</v>
      </c>
      <c r="E1653" s="558">
        <v>312207</v>
      </c>
      <c r="F1653" s="559">
        <v>301547</v>
      </c>
      <c r="G1653" s="558" t="s">
        <v>2207</v>
      </c>
      <c r="H1653" s="564">
        <v>40015</v>
      </c>
      <c r="I1653" s="563">
        <v>64.349999999999994</v>
      </c>
      <c r="J1653" s="563">
        <v>-64.349999999999994</v>
      </c>
      <c r="K1653" s="582">
        <f t="shared" si="75"/>
        <v>0</v>
      </c>
      <c r="L1653" s="563">
        <f t="shared" si="76"/>
        <v>0</v>
      </c>
      <c r="M1653" s="563">
        <f t="shared" si="77"/>
        <v>70.784999999999997</v>
      </c>
      <c r="N1653" s="580"/>
    </row>
    <row r="1654" spans="4:14" x14ac:dyDescent="0.25">
      <c r="D1654" s="559" t="s">
        <v>867</v>
      </c>
      <c r="E1654" s="558">
        <v>312212</v>
      </c>
      <c r="F1654" s="559">
        <v>302365</v>
      </c>
      <c r="G1654" s="558" t="s">
        <v>2208</v>
      </c>
      <c r="H1654" s="564">
        <v>40015</v>
      </c>
      <c r="I1654" s="563">
        <v>727.35</v>
      </c>
      <c r="J1654" s="563">
        <v>-585</v>
      </c>
      <c r="K1654" s="582">
        <f t="shared" si="75"/>
        <v>142.35000000000002</v>
      </c>
      <c r="L1654" s="563">
        <f t="shared" si="76"/>
        <v>156.58500000000004</v>
      </c>
      <c r="M1654" s="563">
        <f t="shared" si="77"/>
        <v>800.08500000000004</v>
      </c>
      <c r="N1654" s="580"/>
    </row>
    <row r="1655" spans="4:14" x14ac:dyDescent="0.25">
      <c r="D1655" s="559" t="s">
        <v>867</v>
      </c>
      <c r="E1655" s="558">
        <v>312213</v>
      </c>
      <c r="F1655" s="559">
        <v>302366</v>
      </c>
      <c r="G1655" s="558" t="s">
        <v>2208</v>
      </c>
      <c r="H1655" s="564">
        <v>40015</v>
      </c>
      <c r="I1655" s="563">
        <v>64.349999999999994</v>
      </c>
      <c r="J1655" s="563">
        <v>-64.349999999999994</v>
      </c>
      <c r="K1655" s="582">
        <f t="shared" si="75"/>
        <v>0</v>
      </c>
      <c r="L1655" s="563">
        <f t="shared" si="76"/>
        <v>0</v>
      </c>
      <c r="M1655" s="563">
        <f t="shared" si="77"/>
        <v>70.784999999999997</v>
      </c>
      <c r="N1655" s="580"/>
    </row>
    <row r="1656" spans="4:14" x14ac:dyDescent="0.25">
      <c r="D1656" s="559" t="s">
        <v>867</v>
      </c>
      <c r="E1656" s="558">
        <v>312214</v>
      </c>
      <c r="F1656" s="559">
        <v>302367</v>
      </c>
      <c r="G1656" s="558" t="s">
        <v>2208</v>
      </c>
      <c r="H1656" s="564">
        <v>40015</v>
      </c>
      <c r="I1656" s="563">
        <v>64.349999999999994</v>
      </c>
      <c r="J1656" s="563">
        <v>-64.349999999999994</v>
      </c>
      <c r="K1656" s="582">
        <f t="shared" si="75"/>
        <v>0</v>
      </c>
      <c r="L1656" s="563">
        <f t="shared" si="76"/>
        <v>0</v>
      </c>
      <c r="M1656" s="563">
        <f t="shared" si="77"/>
        <v>70.784999999999997</v>
      </c>
      <c r="N1656" s="580"/>
    </row>
    <row r="1657" spans="4:14" x14ac:dyDescent="0.25">
      <c r="D1657" s="559" t="s">
        <v>867</v>
      </c>
      <c r="E1657" s="558">
        <v>312215</v>
      </c>
      <c r="F1657" s="559">
        <v>302368</v>
      </c>
      <c r="G1657" s="558" t="s">
        <v>2208</v>
      </c>
      <c r="H1657" s="564">
        <v>40015</v>
      </c>
      <c r="I1657" s="563">
        <v>64.349999999999994</v>
      </c>
      <c r="J1657" s="563">
        <v>-64.349999999999994</v>
      </c>
      <c r="K1657" s="582">
        <f t="shared" si="75"/>
        <v>0</v>
      </c>
      <c r="L1657" s="563">
        <f t="shared" si="76"/>
        <v>0</v>
      </c>
      <c r="M1657" s="563">
        <f t="shared" si="77"/>
        <v>70.784999999999997</v>
      </c>
      <c r="N1657" s="580"/>
    </row>
    <row r="1658" spans="4:14" x14ac:dyDescent="0.25">
      <c r="D1658" s="559" t="s">
        <v>867</v>
      </c>
      <c r="E1658" s="558">
        <v>312216</v>
      </c>
      <c r="F1658" s="559">
        <v>302369</v>
      </c>
      <c r="G1658" s="558" t="s">
        <v>2208</v>
      </c>
      <c r="H1658" s="564">
        <v>40015</v>
      </c>
      <c r="I1658" s="563">
        <v>64.349999999999994</v>
      </c>
      <c r="J1658" s="563">
        <v>-64.349999999999994</v>
      </c>
      <c r="K1658" s="582">
        <f t="shared" si="75"/>
        <v>0</v>
      </c>
      <c r="L1658" s="563">
        <f t="shared" si="76"/>
        <v>0</v>
      </c>
      <c r="M1658" s="563">
        <f t="shared" si="77"/>
        <v>70.784999999999997</v>
      </c>
      <c r="N1658" s="580"/>
    </row>
    <row r="1659" spans="4:14" x14ac:dyDescent="0.25">
      <c r="D1659" s="559" t="s">
        <v>867</v>
      </c>
      <c r="E1659" s="558">
        <v>312220</v>
      </c>
      <c r="F1659" s="559">
        <v>303559</v>
      </c>
      <c r="G1659" s="558" t="s">
        <v>956</v>
      </c>
      <c r="H1659" s="564">
        <v>40015</v>
      </c>
      <c r="I1659" s="563">
        <v>337.35</v>
      </c>
      <c r="J1659" s="563">
        <v>-337.35</v>
      </c>
      <c r="K1659" s="582">
        <f t="shared" si="75"/>
        <v>0</v>
      </c>
      <c r="L1659" s="563">
        <f t="shared" si="76"/>
        <v>0</v>
      </c>
      <c r="M1659" s="563">
        <f t="shared" si="77"/>
        <v>371.08500000000004</v>
      </c>
      <c r="N1659" s="580"/>
    </row>
    <row r="1660" spans="4:14" x14ac:dyDescent="0.25">
      <c r="D1660" s="559" t="s">
        <v>867</v>
      </c>
      <c r="E1660" s="558">
        <v>312224</v>
      </c>
      <c r="F1660" s="559">
        <v>302372</v>
      </c>
      <c r="G1660" s="558" t="s">
        <v>956</v>
      </c>
      <c r="H1660" s="564">
        <v>40015</v>
      </c>
      <c r="I1660" s="563">
        <v>64.349999999999994</v>
      </c>
      <c r="J1660" s="563">
        <v>-64.349999999999994</v>
      </c>
      <c r="K1660" s="582">
        <f t="shared" si="75"/>
        <v>0</v>
      </c>
      <c r="L1660" s="563">
        <f t="shared" si="76"/>
        <v>0</v>
      </c>
      <c r="M1660" s="563">
        <f t="shared" si="77"/>
        <v>70.784999999999997</v>
      </c>
      <c r="N1660" s="580"/>
    </row>
    <row r="1661" spans="4:14" x14ac:dyDescent="0.25">
      <c r="D1661" s="559" t="s">
        <v>867</v>
      </c>
      <c r="E1661" s="558">
        <v>312225</v>
      </c>
      <c r="F1661" s="559">
        <v>302373</v>
      </c>
      <c r="G1661" s="558" t="s">
        <v>956</v>
      </c>
      <c r="H1661" s="564">
        <v>40015</v>
      </c>
      <c r="I1661" s="563">
        <v>64.349999999999994</v>
      </c>
      <c r="J1661" s="563">
        <v>-64.349999999999994</v>
      </c>
      <c r="K1661" s="582">
        <f t="shared" si="75"/>
        <v>0</v>
      </c>
      <c r="L1661" s="563">
        <f t="shared" si="76"/>
        <v>0</v>
      </c>
      <c r="M1661" s="563">
        <f t="shared" si="77"/>
        <v>70.784999999999997</v>
      </c>
      <c r="N1661" s="580"/>
    </row>
    <row r="1662" spans="4:14" x14ac:dyDescent="0.25">
      <c r="D1662" s="559" t="s">
        <v>867</v>
      </c>
      <c r="E1662" s="558">
        <v>312226</v>
      </c>
      <c r="F1662" s="559">
        <v>302374</v>
      </c>
      <c r="G1662" s="558" t="s">
        <v>956</v>
      </c>
      <c r="H1662" s="564">
        <v>40015</v>
      </c>
      <c r="I1662" s="563">
        <v>259.35000000000002</v>
      </c>
      <c r="J1662" s="563">
        <v>-259.35000000000002</v>
      </c>
      <c r="K1662" s="582">
        <f t="shared" si="75"/>
        <v>0</v>
      </c>
      <c r="L1662" s="563">
        <f t="shared" si="76"/>
        <v>0</v>
      </c>
      <c r="M1662" s="563">
        <f t="shared" si="77"/>
        <v>285.28500000000003</v>
      </c>
      <c r="N1662" s="580"/>
    </row>
    <row r="1663" spans="4:14" x14ac:dyDescent="0.25">
      <c r="D1663" s="559" t="s">
        <v>867</v>
      </c>
      <c r="E1663" s="558">
        <v>312236</v>
      </c>
      <c r="F1663" s="559">
        <v>302377</v>
      </c>
      <c r="G1663" s="558" t="s">
        <v>2209</v>
      </c>
      <c r="H1663" s="564">
        <v>40015</v>
      </c>
      <c r="I1663" s="563">
        <v>727.35</v>
      </c>
      <c r="J1663" s="563">
        <v>-585</v>
      </c>
      <c r="K1663" s="582">
        <f t="shared" si="75"/>
        <v>142.35000000000002</v>
      </c>
      <c r="L1663" s="563">
        <f t="shared" si="76"/>
        <v>156.58500000000004</v>
      </c>
      <c r="M1663" s="563">
        <f t="shared" si="77"/>
        <v>800.08500000000004</v>
      </c>
      <c r="N1663" s="580"/>
    </row>
    <row r="1664" spans="4:14" x14ac:dyDescent="0.25">
      <c r="D1664" s="559" t="s">
        <v>867</v>
      </c>
      <c r="E1664" s="558">
        <v>312237</v>
      </c>
      <c r="F1664" s="559">
        <v>302378</v>
      </c>
      <c r="G1664" s="558" t="s">
        <v>2209</v>
      </c>
      <c r="H1664" s="564">
        <v>40015</v>
      </c>
      <c r="I1664" s="563">
        <v>64.349999999999994</v>
      </c>
      <c r="J1664" s="563">
        <v>-64.349999999999994</v>
      </c>
      <c r="K1664" s="582">
        <f t="shared" si="75"/>
        <v>0</v>
      </c>
      <c r="L1664" s="563">
        <f t="shared" si="76"/>
        <v>0</v>
      </c>
      <c r="M1664" s="563">
        <f t="shared" si="77"/>
        <v>70.784999999999997</v>
      </c>
      <c r="N1664" s="580"/>
    </row>
    <row r="1665" spans="4:14" x14ac:dyDescent="0.25">
      <c r="D1665" s="559" t="s">
        <v>867</v>
      </c>
      <c r="E1665" s="558">
        <v>312238</v>
      </c>
      <c r="F1665" s="559">
        <v>302379</v>
      </c>
      <c r="G1665" s="558" t="s">
        <v>2209</v>
      </c>
      <c r="H1665" s="564">
        <v>40015</v>
      </c>
      <c r="I1665" s="563">
        <v>64.349999999999994</v>
      </c>
      <c r="J1665" s="563">
        <v>-64.349999999999994</v>
      </c>
      <c r="K1665" s="582">
        <f t="shared" si="75"/>
        <v>0</v>
      </c>
      <c r="L1665" s="563">
        <f t="shared" si="76"/>
        <v>0</v>
      </c>
      <c r="M1665" s="563">
        <f t="shared" si="77"/>
        <v>70.784999999999997</v>
      </c>
      <c r="N1665" s="580"/>
    </row>
    <row r="1666" spans="4:14" x14ac:dyDescent="0.25">
      <c r="D1666" s="559" t="s">
        <v>867</v>
      </c>
      <c r="E1666" s="558">
        <v>312239</v>
      </c>
      <c r="F1666" s="559">
        <v>302380</v>
      </c>
      <c r="G1666" s="558" t="s">
        <v>2209</v>
      </c>
      <c r="H1666" s="564">
        <v>40015</v>
      </c>
      <c r="I1666" s="563">
        <v>727.35</v>
      </c>
      <c r="J1666" s="563">
        <v>-585</v>
      </c>
      <c r="K1666" s="582">
        <f t="shared" si="75"/>
        <v>142.35000000000002</v>
      </c>
      <c r="L1666" s="563">
        <f t="shared" si="76"/>
        <v>156.58500000000004</v>
      </c>
      <c r="M1666" s="563">
        <f t="shared" si="77"/>
        <v>800.08500000000004</v>
      </c>
      <c r="N1666" s="580"/>
    </row>
    <row r="1667" spans="4:14" x14ac:dyDescent="0.25">
      <c r="D1667" s="559" t="s">
        <v>867</v>
      </c>
      <c r="E1667" s="558">
        <v>312240</v>
      </c>
      <c r="F1667" s="559">
        <v>302381</v>
      </c>
      <c r="G1667" s="558" t="s">
        <v>2209</v>
      </c>
      <c r="H1667" s="564">
        <v>40015</v>
      </c>
      <c r="I1667" s="563">
        <v>64.349999999999994</v>
      </c>
      <c r="J1667" s="563">
        <v>-64.349999999999994</v>
      </c>
      <c r="K1667" s="582">
        <f t="shared" si="75"/>
        <v>0</v>
      </c>
      <c r="L1667" s="563">
        <f t="shared" si="76"/>
        <v>0</v>
      </c>
      <c r="M1667" s="563">
        <f t="shared" si="77"/>
        <v>70.784999999999997</v>
      </c>
      <c r="N1667" s="580"/>
    </row>
    <row r="1668" spans="4:14" x14ac:dyDescent="0.25">
      <c r="D1668" s="559" t="s">
        <v>867</v>
      </c>
      <c r="E1668" s="558">
        <v>312241</v>
      </c>
      <c r="F1668" s="559">
        <v>302382</v>
      </c>
      <c r="G1668" s="558" t="s">
        <v>2210</v>
      </c>
      <c r="H1668" s="564">
        <v>40015</v>
      </c>
      <c r="I1668" s="563">
        <v>64.349999999999994</v>
      </c>
      <c r="J1668" s="563">
        <v>-64.349999999999994</v>
      </c>
      <c r="K1668" s="582">
        <f t="shared" si="75"/>
        <v>0</v>
      </c>
      <c r="L1668" s="563">
        <f t="shared" si="76"/>
        <v>0</v>
      </c>
      <c r="M1668" s="563">
        <f t="shared" si="77"/>
        <v>70.784999999999997</v>
      </c>
      <c r="N1668" s="580"/>
    </row>
    <row r="1669" spans="4:14" x14ac:dyDescent="0.25">
      <c r="D1669" s="559" t="s">
        <v>867</v>
      </c>
      <c r="E1669" s="558">
        <v>312244</v>
      </c>
      <c r="F1669" s="559">
        <v>302383</v>
      </c>
      <c r="G1669" s="558" t="s">
        <v>2210</v>
      </c>
      <c r="H1669" s="564">
        <v>40015</v>
      </c>
      <c r="I1669" s="563">
        <v>64.349999999999994</v>
      </c>
      <c r="J1669" s="563">
        <v>-64.349999999999994</v>
      </c>
      <c r="K1669" s="582">
        <f t="shared" si="75"/>
        <v>0</v>
      </c>
      <c r="L1669" s="563">
        <f t="shared" si="76"/>
        <v>0</v>
      </c>
      <c r="M1669" s="563">
        <f t="shared" si="77"/>
        <v>70.784999999999997</v>
      </c>
      <c r="N1669" s="580"/>
    </row>
    <row r="1670" spans="4:14" x14ac:dyDescent="0.25">
      <c r="D1670" s="559" t="s">
        <v>867</v>
      </c>
      <c r="E1670" s="558">
        <v>312245</v>
      </c>
      <c r="F1670" s="559">
        <v>302384</v>
      </c>
      <c r="G1670" s="558" t="s">
        <v>2210</v>
      </c>
      <c r="H1670" s="564">
        <v>40015</v>
      </c>
      <c r="I1670" s="563">
        <v>64.349999999999994</v>
      </c>
      <c r="J1670" s="563">
        <v>-64.349999999999994</v>
      </c>
      <c r="K1670" s="582">
        <f t="shared" si="75"/>
        <v>0</v>
      </c>
      <c r="L1670" s="563">
        <f t="shared" si="76"/>
        <v>0</v>
      </c>
      <c r="M1670" s="563">
        <f t="shared" si="77"/>
        <v>70.784999999999997</v>
      </c>
      <c r="N1670" s="580"/>
    </row>
    <row r="1671" spans="4:14" x14ac:dyDescent="0.25">
      <c r="D1671" s="559" t="s">
        <v>867</v>
      </c>
      <c r="E1671" s="558">
        <v>312246</v>
      </c>
      <c r="F1671" s="559">
        <v>302385</v>
      </c>
      <c r="G1671" s="558" t="s">
        <v>2210</v>
      </c>
      <c r="H1671" s="564">
        <v>40015</v>
      </c>
      <c r="I1671" s="563">
        <v>64.349999999999994</v>
      </c>
      <c r="J1671" s="563">
        <v>-64.349999999999994</v>
      </c>
      <c r="K1671" s="582">
        <f t="shared" si="75"/>
        <v>0</v>
      </c>
      <c r="L1671" s="563">
        <f t="shared" si="76"/>
        <v>0</v>
      </c>
      <c r="M1671" s="563">
        <f t="shared" si="77"/>
        <v>70.784999999999997</v>
      </c>
      <c r="N1671" s="580"/>
    </row>
    <row r="1672" spans="4:14" x14ac:dyDescent="0.25">
      <c r="D1672" s="559" t="s">
        <v>867</v>
      </c>
      <c r="E1672" s="558">
        <v>312247</v>
      </c>
      <c r="F1672" s="559">
        <v>302386</v>
      </c>
      <c r="G1672" s="558" t="s">
        <v>2210</v>
      </c>
      <c r="H1672" s="564">
        <v>40015</v>
      </c>
      <c r="I1672" s="563">
        <v>64.349999999999994</v>
      </c>
      <c r="J1672" s="563">
        <v>-64.349999999999994</v>
      </c>
      <c r="K1672" s="582">
        <f t="shared" si="75"/>
        <v>0</v>
      </c>
      <c r="L1672" s="563">
        <f t="shared" si="76"/>
        <v>0</v>
      </c>
      <c r="M1672" s="563">
        <f t="shared" si="77"/>
        <v>70.784999999999997</v>
      </c>
      <c r="N1672" s="580"/>
    </row>
    <row r="1673" spans="4:14" x14ac:dyDescent="0.25">
      <c r="D1673" s="559" t="s">
        <v>867</v>
      </c>
      <c r="E1673" s="558">
        <v>312248</v>
      </c>
      <c r="F1673" s="559">
        <v>302387</v>
      </c>
      <c r="G1673" s="558" t="s">
        <v>2211</v>
      </c>
      <c r="H1673" s="564">
        <v>40015</v>
      </c>
      <c r="I1673" s="563">
        <v>64.349999999999994</v>
      </c>
      <c r="J1673" s="563">
        <v>-64.349999999999994</v>
      </c>
      <c r="K1673" s="582">
        <f t="shared" si="75"/>
        <v>0</v>
      </c>
      <c r="L1673" s="563">
        <f t="shared" si="76"/>
        <v>0</v>
      </c>
      <c r="M1673" s="563">
        <f t="shared" si="77"/>
        <v>70.784999999999997</v>
      </c>
      <c r="N1673" s="580"/>
    </row>
    <row r="1674" spans="4:14" x14ac:dyDescent="0.25">
      <c r="D1674" s="559" t="s">
        <v>867</v>
      </c>
      <c r="E1674" s="558">
        <v>312249</v>
      </c>
      <c r="F1674" s="559">
        <v>302388</v>
      </c>
      <c r="G1674" s="558" t="s">
        <v>2211</v>
      </c>
      <c r="H1674" s="564">
        <v>40015</v>
      </c>
      <c r="I1674" s="563">
        <v>64.349999999999994</v>
      </c>
      <c r="J1674" s="563">
        <v>-64.349999999999994</v>
      </c>
      <c r="K1674" s="582">
        <f t="shared" si="75"/>
        <v>0</v>
      </c>
      <c r="L1674" s="563">
        <f t="shared" si="76"/>
        <v>0</v>
      </c>
      <c r="M1674" s="563">
        <f t="shared" si="77"/>
        <v>70.784999999999997</v>
      </c>
      <c r="N1674" s="580"/>
    </row>
    <row r="1675" spans="4:14" x14ac:dyDescent="0.25">
      <c r="D1675" s="559" t="s">
        <v>867</v>
      </c>
      <c r="E1675" s="558">
        <v>312250</v>
      </c>
      <c r="F1675" s="559">
        <v>302389</v>
      </c>
      <c r="G1675" s="558" t="s">
        <v>2211</v>
      </c>
      <c r="H1675" s="564">
        <v>40015</v>
      </c>
      <c r="I1675" s="563">
        <v>64.349999999999994</v>
      </c>
      <c r="J1675" s="563">
        <v>-64.349999999999994</v>
      </c>
      <c r="K1675" s="582">
        <f t="shared" si="75"/>
        <v>0</v>
      </c>
      <c r="L1675" s="563">
        <f t="shared" si="76"/>
        <v>0</v>
      </c>
      <c r="M1675" s="563">
        <f t="shared" si="77"/>
        <v>70.784999999999997</v>
      </c>
      <c r="N1675" s="580"/>
    </row>
    <row r="1676" spans="4:14" x14ac:dyDescent="0.25">
      <c r="D1676" s="559" t="s">
        <v>867</v>
      </c>
      <c r="E1676" s="558">
        <v>312251</v>
      </c>
      <c r="F1676" s="559">
        <v>302390</v>
      </c>
      <c r="G1676" s="558" t="s">
        <v>2211</v>
      </c>
      <c r="H1676" s="564">
        <v>40015</v>
      </c>
      <c r="I1676" s="563">
        <v>64.349999999999994</v>
      </c>
      <c r="J1676" s="563">
        <v>-64.349999999999994</v>
      </c>
      <c r="K1676" s="582">
        <f t="shared" si="75"/>
        <v>0</v>
      </c>
      <c r="L1676" s="563">
        <f t="shared" si="76"/>
        <v>0</v>
      </c>
      <c r="M1676" s="563">
        <f t="shared" si="77"/>
        <v>70.784999999999997</v>
      </c>
      <c r="N1676" s="580"/>
    </row>
    <row r="1677" spans="4:14" x14ac:dyDescent="0.25">
      <c r="D1677" s="559" t="s">
        <v>867</v>
      </c>
      <c r="E1677" s="558">
        <v>312252</v>
      </c>
      <c r="F1677" s="559">
        <v>302391</v>
      </c>
      <c r="G1677" s="558" t="s">
        <v>2211</v>
      </c>
      <c r="H1677" s="564">
        <v>40015</v>
      </c>
      <c r="I1677" s="563">
        <v>64.349999999999994</v>
      </c>
      <c r="J1677" s="563">
        <v>-64.349999999999994</v>
      </c>
      <c r="K1677" s="582">
        <f t="shared" si="75"/>
        <v>0</v>
      </c>
      <c r="L1677" s="563">
        <f t="shared" si="76"/>
        <v>0</v>
      </c>
      <c r="M1677" s="563">
        <f t="shared" si="77"/>
        <v>70.784999999999997</v>
      </c>
      <c r="N1677" s="580"/>
    </row>
    <row r="1678" spans="4:14" x14ac:dyDescent="0.25">
      <c r="D1678" s="559" t="s">
        <v>867</v>
      </c>
      <c r="E1678" s="558">
        <v>312253</v>
      </c>
      <c r="F1678" s="559">
        <v>302392</v>
      </c>
      <c r="G1678" s="558" t="s">
        <v>2212</v>
      </c>
      <c r="H1678" s="564">
        <v>40015</v>
      </c>
      <c r="I1678" s="563">
        <v>64.349999999999994</v>
      </c>
      <c r="J1678" s="563">
        <v>-64.349999999999994</v>
      </c>
      <c r="K1678" s="582">
        <f t="shared" si="75"/>
        <v>0</v>
      </c>
      <c r="L1678" s="563">
        <f t="shared" si="76"/>
        <v>0</v>
      </c>
      <c r="M1678" s="563">
        <f t="shared" si="77"/>
        <v>70.784999999999997</v>
      </c>
      <c r="N1678" s="580"/>
    </row>
    <row r="1679" spans="4:14" x14ac:dyDescent="0.25">
      <c r="D1679" s="559" t="s">
        <v>867</v>
      </c>
      <c r="E1679" s="558">
        <v>312254</v>
      </c>
      <c r="F1679" s="559">
        <v>302393</v>
      </c>
      <c r="G1679" s="558" t="s">
        <v>2212</v>
      </c>
      <c r="H1679" s="564">
        <v>40015</v>
      </c>
      <c r="I1679" s="563">
        <v>64.349999999999994</v>
      </c>
      <c r="J1679" s="563">
        <v>-64.349999999999994</v>
      </c>
      <c r="K1679" s="582">
        <f t="shared" si="75"/>
        <v>0</v>
      </c>
      <c r="L1679" s="563">
        <f t="shared" si="76"/>
        <v>0</v>
      </c>
      <c r="M1679" s="563">
        <f t="shared" si="77"/>
        <v>70.784999999999997</v>
      </c>
      <c r="N1679" s="580"/>
    </row>
    <row r="1680" spans="4:14" x14ac:dyDescent="0.25">
      <c r="D1680" s="559" t="s">
        <v>867</v>
      </c>
      <c r="E1680" s="558">
        <v>312255</v>
      </c>
      <c r="F1680" s="559">
        <v>302394</v>
      </c>
      <c r="G1680" s="558" t="s">
        <v>2212</v>
      </c>
      <c r="H1680" s="564">
        <v>40015</v>
      </c>
      <c r="I1680" s="563">
        <v>64.349999999999994</v>
      </c>
      <c r="J1680" s="563">
        <v>-64.349999999999994</v>
      </c>
      <c r="K1680" s="582">
        <f t="shared" si="75"/>
        <v>0</v>
      </c>
      <c r="L1680" s="563">
        <f t="shared" si="76"/>
        <v>0</v>
      </c>
      <c r="M1680" s="563">
        <f t="shared" si="77"/>
        <v>70.784999999999997</v>
      </c>
      <c r="N1680" s="580"/>
    </row>
    <row r="1681" spans="4:14" x14ac:dyDescent="0.25">
      <c r="D1681" s="559" t="s">
        <v>867</v>
      </c>
      <c r="E1681" s="558">
        <v>312256</v>
      </c>
      <c r="F1681" s="559">
        <v>302395</v>
      </c>
      <c r="G1681" s="558" t="s">
        <v>2212</v>
      </c>
      <c r="H1681" s="564">
        <v>40015</v>
      </c>
      <c r="I1681" s="563">
        <v>64.349999999999994</v>
      </c>
      <c r="J1681" s="563">
        <v>-64.349999999999994</v>
      </c>
      <c r="K1681" s="582">
        <f t="shared" si="75"/>
        <v>0</v>
      </c>
      <c r="L1681" s="563">
        <f t="shared" si="76"/>
        <v>0</v>
      </c>
      <c r="M1681" s="563">
        <f t="shared" si="77"/>
        <v>70.784999999999997</v>
      </c>
      <c r="N1681" s="580"/>
    </row>
    <row r="1682" spans="4:14" x14ac:dyDescent="0.25">
      <c r="D1682" s="559" t="s">
        <v>867</v>
      </c>
      <c r="E1682" s="558">
        <v>312257</v>
      </c>
      <c r="F1682" s="559">
        <v>302396</v>
      </c>
      <c r="G1682" s="558" t="s">
        <v>2212</v>
      </c>
      <c r="H1682" s="564">
        <v>40015</v>
      </c>
      <c r="I1682" s="563">
        <v>64.349999999999994</v>
      </c>
      <c r="J1682" s="563">
        <v>-64.349999999999994</v>
      </c>
      <c r="K1682" s="582">
        <f t="shared" si="75"/>
        <v>0</v>
      </c>
      <c r="L1682" s="563">
        <f t="shared" si="76"/>
        <v>0</v>
      </c>
      <c r="M1682" s="563">
        <f t="shared" si="77"/>
        <v>70.784999999999997</v>
      </c>
      <c r="N1682" s="580"/>
    </row>
    <row r="1683" spans="4:14" x14ac:dyDescent="0.25">
      <c r="D1683" s="559" t="s">
        <v>867</v>
      </c>
      <c r="E1683" s="558">
        <v>312258</v>
      </c>
      <c r="F1683" s="559">
        <v>302397</v>
      </c>
      <c r="G1683" s="558" t="s">
        <v>2213</v>
      </c>
      <c r="H1683" s="564">
        <v>40015</v>
      </c>
      <c r="I1683" s="563">
        <v>64.349999999999994</v>
      </c>
      <c r="J1683" s="563">
        <v>-64.349999999999994</v>
      </c>
      <c r="K1683" s="582">
        <f t="shared" si="75"/>
        <v>0</v>
      </c>
      <c r="L1683" s="563">
        <f t="shared" si="76"/>
        <v>0</v>
      </c>
      <c r="M1683" s="563">
        <f t="shared" si="77"/>
        <v>70.784999999999997</v>
      </c>
      <c r="N1683" s="580"/>
    </row>
    <row r="1684" spans="4:14" x14ac:dyDescent="0.25">
      <c r="D1684" s="559" t="s">
        <v>867</v>
      </c>
      <c r="E1684" s="558">
        <v>312259</v>
      </c>
      <c r="F1684" s="559">
        <v>302398</v>
      </c>
      <c r="G1684" s="558" t="s">
        <v>2213</v>
      </c>
      <c r="H1684" s="564">
        <v>40015</v>
      </c>
      <c r="I1684" s="563">
        <v>64.349999999999994</v>
      </c>
      <c r="J1684" s="563">
        <v>-64.349999999999994</v>
      </c>
      <c r="K1684" s="582">
        <f t="shared" si="75"/>
        <v>0</v>
      </c>
      <c r="L1684" s="563">
        <f t="shared" si="76"/>
        <v>0</v>
      </c>
      <c r="M1684" s="563">
        <f t="shared" si="77"/>
        <v>70.784999999999997</v>
      </c>
      <c r="N1684" s="580"/>
    </row>
    <row r="1685" spans="4:14" x14ac:dyDescent="0.25">
      <c r="D1685" s="559" t="s">
        <v>867</v>
      </c>
      <c r="E1685" s="558">
        <v>312261</v>
      </c>
      <c r="F1685" s="559">
        <v>302400</v>
      </c>
      <c r="G1685" s="558" t="s">
        <v>2213</v>
      </c>
      <c r="H1685" s="564">
        <v>40015</v>
      </c>
      <c r="I1685" s="563">
        <v>454.35</v>
      </c>
      <c r="J1685" s="563">
        <v>-454.35</v>
      </c>
      <c r="K1685" s="582">
        <f t="shared" si="75"/>
        <v>0</v>
      </c>
      <c r="L1685" s="563">
        <f t="shared" si="76"/>
        <v>0</v>
      </c>
      <c r="M1685" s="563">
        <f t="shared" si="77"/>
        <v>499.78500000000008</v>
      </c>
      <c r="N1685" s="580"/>
    </row>
    <row r="1686" spans="4:14" x14ac:dyDescent="0.25">
      <c r="D1686" s="559" t="s">
        <v>867</v>
      </c>
      <c r="E1686" s="558">
        <v>312262</v>
      </c>
      <c r="F1686" s="559">
        <v>302401</v>
      </c>
      <c r="G1686" s="558" t="s">
        <v>2213</v>
      </c>
      <c r="H1686" s="564">
        <v>40015</v>
      </c>
      <c r="I1686" s="563">
        <v>64.349999999999994</v>
      </c>
      <c r="J1686" s="563">
        <v>-64.349999999999994</v>
      </c>
      <c r="K1686" s="582">
        <f t="shared" si="75"/>
        <v>0</v>
      </c>
      <c r="L1686" s="563">
        <f t="shared" si="76"/>
        <v>0</v>
      </c>
      <c r="M1686" s="563">
        <f t="shared" si="77"/>
        <v>70.784999999999997</v>
      </c>
      <c r="N1686" s="580"/>
    </row>
    <row r="1687" spans="4:14" x14ac:dyDescent="0.25">
      <c r="D1687" s="559" t="s">
        <v>867</v>
      </c>
      <c r="E1687" s="558">
        <v>312263</v>
      </c>
      <c r="F1687" s="559">
        <v>302402</v>
      </c>
      <c r="G1687" s="558" t="s">
        <v>2213</v>
      </c>
      <c r="H1687" s="564">
        <v>40015</v>
      </c>
      <c r="I1687" s="563">
        <v>64.349999999999994</v>
      </c>
      <c r="J1687" s="563">
        <v>-64.349999999999994</v>
      </c>
      <c r="K1687" s="582">
        <f t="shared" si="75"/>
        <v>0</v>
      </c>
      <c r="L1687" s="563">
        <f t="shared" si="76"/>
        <v>0</v>
      </c>
      <c r="M1687" s="563">
        <f t="shared" si="77"/>
        <v>70.784999999999997</v>
      </c>
      <c r="N1687" s="580"/>
    </row>
    <row r="1688" spans="4:14" x14ac:dyDescent="0.25">
      <c r="D1688" s="559" t="s">
        <v>867</v>
      </c>
      <c r="E1688" s="558">
        <v>312264</v>
      </c>
      <c r="F1688" s="559">
        <v>302403</v>
      </c>
      <c r="G1688" s="558" t="s">
        <v>2214</v>
      </c>
      <c r="H1688" s="564">
        <v>40015</v>
      </c>
      <c r="I1688" s="563">
        <v>64.349999999999994</v>
      </c>
      <c r="J1688" s="563">
        <v>-64.349999999999994</v>
      </c>
      <c r="K1688" s="582">
        <f t="shared" si="75"/>
        <v>0</v>
      </c>
      <c r="L1688" s="563">
        <f t="shared" si="76"/>
        <v>0</v>
      </c>
      <c r="M1688" s="563">
        <f t="shared" si="77"/>
        <v>70.784999999999997</v>
      </c>
      <c r="N1688" s="580"/>
    </row>
    <row r="1689" spans="4:14" x14ac:dyDescent="0.25">
      <c r="D1689" s="559" t="s">
        <v>867</v>
      </c>
      <c r="E1689" s="558">
        <v>312265</v>
      </c>
      <c r="F1689" s="559">
        <v>302404</v>
      </c>
      <c r="G1689" s="558" t="s">
        <v>2214</v>
      </c>
      <c r="H1689" s="564">
        <v>40015</v>
      </c>
      <c r="I1689" s="563">
        <v>64.349999999999994</v>
      </c>
      <c r="J1689" s="563">
        <v>-64.349999999999994</v>
      </c>
      <c r="K1689" s="582">
        <f t="shared" si="75"/>
        <v>0</v>
      </c>
      <c r="L1689" s="563">
        <f t="shared" si="76"/>
        <v>0</v>
      </c>
      <c r="M1689" s="563">
        <f t="shared" si="77"/>
        <v>70.784999999999997</v>
      </c>
      <c r="N1689" s="580"/>
    </row>
    <row r="1690" spans="4:14" x14ac:dyDescent="0.25">
      <c r="D1690" s="559" t="s">
        <v>867</v>
      </c>
      <c r="E1690" s="558">
        <v>312266</v>
      </c>
      <c r="F1690" s="559">
        <v>302405</v>
      </c>
      <c r="G1690" s="558" t="s">
        <v>2214</v>
      </c>
      <c r="H1690" s="564">
        <v>40015</v>
      </c>
      <c r="I1690" s="563">
        <v>64.349999999999994</v>
      </c>
      <c r="J1690" s="563">
        <v>-64.349999999999994</v>
      </c>
      <c r="K1690" s="582">
        <f t="shared" si="75"/>
        <v>0</v>
      </c>
      <c r="L1690" s="563">
        <f t="shared" si="76"/>
        <v>0</v>
      </c>
      <c r="M1690" s="563">
        <f t="shared" si="77"/>
        <v>70.784999999999997</v>
      </c>
      <c r="N1690" s="580"/>
    </row>
    <row r="1691" spans="4:14" x14ac:dyDescent="0.25">
      <c r="D1691" s="559" t="s">
        <v>867</v>
      </c>
      <c r="E1691" s="558">
        <v>312267</v>
      </c>
      <c r="F1691" s="559">
        <v>302406</v>
      </c>
      <c r="G1691" s="558" t="s">
        <v>2214</v>
      </c>
      <c r="H1691" s="564">
        <v>40015</v>
      </c>
      <c r="I1691" s="563">
        <v>64.349999999999994</v>
      </c>
      <c r="J1691" s="563">
        <v>-64.349999999999994</v>
      </c>
      <c r="K1691" s="582">
        <f t="shared" si="75"/>
        <v>0</v>
      </c>
      <c r="L1691" s="563">
        <f t="shared" si="76"/>
        <v>0</v>
      </c>
      <c r="M1691" s="563">
        <f t="shared" si="77"/>
        <v>70.784999999999997</v>
      </c>
      <c r="N1691" s="580"/>
    </row>
    <row r="1692" spans="4:14" x14ac:dyDescent="0.25">
      <c r="D1692" s="559" t="s">
        <v>867</v>
      </c>
      <c r="E1692" s="558">
        <v>312268</v>
      </c>
      <c r="F1692" s="559">
        <v>302407</v>
      </c>
      <c r="G1692" s="558" t="s">
        <v>2214</v>
      </c>
      <c r="H1692" s="564">
        <v>40015</v>
      </c>
      <c r="I1692" s="563">
        <v>64.349999999999994</v>
      </c>
      <c r="J1692" s="563">
        <v>-64.349999999999994</v>
      </c>
      <c r="K1692" s="582">
        <f t="shared" si="75"/>
        <v>0</v>
      </c>
      <c r="L1692" s="563">
        <f t="shared" si="76"/>
        <v>0</v>
      </c>
      <c r="M1692" s="563">
        <f t="shared" si="77"/>
        <v>70.784999999999997</v>
      </c>
      <c r="N1692" s="580"/>
    </row>
    <row r="1693" spans="4:14" x14ac:dyDescent="0.25">
      <c r="D1693" s="559" t="s">
        <v>867</v>
      </c>
      <c r="E1693" s="558">
        <v>312269</v>
      </c>
      <c r="F1693" s="559">
        <v>302408</v>
      </c>
      <c r="G1693" s="558" t="s">
        <v>2215</v>
      </c>
      <c r="H1693" s="564">
        <v>40015</v>
      </c>
      <c r="I1693" s="563">
        <v>64.349999999999994</v>
      </c>
      <c r="J1693" s="563">
        <v>-64.349999999999994</v>
      </c>
      <c r="K1693" s="582">
        <f t="shared" si="75"/>
        <v>0</v>
      </c>
      <c r="L1693" s="563">
        <f t="shared" si="76"/>
        <v>0</v>
      </c>
      <c r="M1693" s="563">
        <f t="shared" si="77"/>
        <v>70.784999999999997</v>
      </c>
      <c r="N1693" s="580"/>
    </row>
    <row r="1694" spans="4:14" x14ac:dyDescent="0.25">
      <c r="D1694" s="559" t="s">
        <v>867</v>
      </c>
      <c r="E1694" s="558">
        <v>312270</v>
      </c>
      <c r="F1694" s="559">
        <v>302409</v>
      </c>
      <c r="G1694" s="558" t="s">
        <v>2215</v>
      </c>
      <c r="H1694" s="564">
        <v>40015</v>
      </c>
      <c r="I1694" s="563">
        <v>64.349999999999994</v>
      </c>
      <c r="J1694" s="563">
        <v>-64.349999999999994</v>
      </c>
      <c r="K1694" s="582">
        <f t="shared" si="75"/>
        <v>0</v>
      </c>
      <c r="L1694" s="563">
        <f t="shared" si="76"/>
        <v>0</v>
      </c>
      <c r="M1694" s="563">
        <f t="shared" si="77"/>
        <v>70.784999999999997</v>
      </c>
      <c r="N1694" s="580"/>
    </row>
    <row r="1695" spans="4:14" x14ac:dyDescent="0.25">
      <c r="D1695" s="559" t="s">
        <v>867</v>
      </c>
      <c r="E1695" s="558">
        <v>312271</v>
      </c>
      <c r="F1695" s="559">
        <v>302410</v>
      </c>
      <c r="G1695" s="558" t="s">
        <v>2215</v>
      </c>
      <c r="H1695" s="564">
        <v>40015</v>
      </c>
      <c r="I1695" s="563">
        <v>64.349999999999994</v>
      </c>
      <c r="J1695" s="563">
        <v>-64.349999999999994</v>
      </c>
      <c r="K1695" s="582">
        <f t="shared" si="75"/>
        <v>0</v>
      </c>
      <c r="L1695" s="563">
        <f t="shared" si="76"/>
        <v>0</v>
      </c>
      <c r="M1695" s="563">
        <f t="shared" si="77"/>
        <v>70.784999999999997</v>
      </c>
      <c r="N1695" s="580"/>
    </row>
    <row r="1696" spans="4:14" x14ac:dyDescent="0.25">
      <c r="D1696" s="559" t="s">
        <v>867</v>
      </c>
      <c r="E1696" s="558">
        <v>312272</v>
      </c>
      <c r="F1696" s="559">
        <v>302411</v>
      </c>
      <c r="G1696" s="558" t="s">
        <v>2215</v>
      </c>
      <c r="H1696" s="564">
        <v>40015</v>
      </c>
      <c r="I1696" s="563">
        <v>64.349999999999994</v>
      </c>
      <c r="J1696" s="563">
        <v>-64.349999999999994</v>
      </c>
      <c r="K1696" s="582">
        <f t="shared" si="75"/>
        <v>0</v>
      </c>
      <c r="L1696" s="563">
        <f t="shared" si="76"/>
        <v>0</v>
      </c>
      <c r="M1696" s="563">
        <f t="shared" si="77"/>
        <v>70.784999999999997</v>
      </c>
      <c r="N1696" s="580"/>
    </row>
    <row r="1697" spans="4:14" x14ac:dyDescent="0.25">
      <c r="D1697" s="559" t="s">
        <v>867</v>
      </c>
      <c r="E1697" s="558">
        <v>312273</v>
      </c>
      <c r="F1697" s="559">
        <v>302412</v>
      </c>
      <c r="G1697" s="558" t="s">
        <v>2215</v>
      </c>
      <c r="H1697" s="564">
        <v>40015</v>
      </c>
      <c r="I1697" s="563">
        <v>64.349999999999994</v>
      </c>
      <c r="J1697" s="563">
        <v>-64.349999999999994</v>
      </c>
      <c r="K1697" s="582">
        <f t="shared" si="75"/>
        <v>0</v>
      </c>
      <c r="L1697" s="563">
        <f t="shared" si="76"/>
        <v>0</v>
      </c>
      <c r="M1697" s="563">
        <f t="shared" si="77"/>
        <v>70.784999999999997</v>
      </c>
      <c r="N1697" s="580"/>
    </row>
    <row r="1698" spans="4:14" x14ac:dyDescent="0.25">
      <c r="D1698" s="559" t="s">
        <v>867</v>
      </c>
      <c r="E1698" s="558">
        <v>312274</v>
      </c>
      <c r="F1698" s="559">
        <v>302413</v>
      </c>
      <c r="G1698" s="558" t="s">
        <v>2216</v>
      </c>
      <c r="H1698" s="564">
        <v>40015</v>
      </c>
      <c r="I1698" s="563">
        <v>64.349999999999994</v>
      </c>
      <c r="J1698" s="563">
        <v>-64.349999999999994</v>
      </c>
      <c r="K1698" s="582">
        <f t="shared" si="75"/>
        <v>0</v>
      </c>
      <c r="L1698" s="563">
        <f t="shared" si="76"/>
        <v>0</v>
      </c>
      <c r="M1698" s="563">
        <f t="shared" si="77"/>
        <v>70.784999999999997</v>
      </c>
      <c r="N1698" s="580"/>
    </row>
    <row r="1699" spans="4:14" x14ac:dyDescent="0.25">
      <c r="D1699" s="559" t="s">
        <v>867</v>
      </c>
      <c r="E1699" s="558">
        <v>312275</v>
      </c>
      <c r="F1699" s="559">
        <v>302414</v>
      </c>
      <c r="G1699" s="558" t="s">
        <v>2216</v>
      </c>
      <c r="H1699" s="564">
        <v>40015</v>
      </c>
      <c r="I1699" s="563">
        <v>64.349999999999994</v>
      </c>
      <c r="J1699" s="563">
        <v>-64.349999999999994</v>
      </c>
      <c r="K1699" s="582">
        <f t="shared" si="75"/>
        <v>0</v>
      </c>
      <c r="L1699" s="563">
        <f t="shared" si="76"/>
        <v>0</v>
      </c>
      <c r="M1699" s="563">
        <f t="shared" si="77"/>
        <v>70.784999999999997</v>
      </c>
      <c r="N1699" s="580"/>
    </row>
    <row r="1700" spans="4:14" x14ac:dyDescent="0.25">
      <c r="D1700" s="559" t="s">
        <v>867</v>
      </c>
      <c r="E1700" s="558">
        <v>312276</v>
      </c>
      <c r="F1700" s="559">
        <v>302415</v>
      </c>
      <c r="G1700" s="558" t="s">
        <v>2216</v>
      </c>
      <c r="H1700" s="564">
        <v>40015</v>
      </c>
      <c r="I1700" s="563">
        <v>64.349999999999994</v>
      </c>
      <c r="J1700" s="563">
        <v>-64.349999999999994</v>
      </c>
      <c r="K1700" s="582">
        <f t="shared" si="75"/>
        <v>0</v>
      </c>
      <c r="L1700" s="563">
        <f t="shared" si="76"/>
        <v>0</v>
      </c>
      <c r="M1700" s="563">
        <f t="shared" si="77"/>
        <v>70.784999999999997</v>
      </c>
      <c r="N1700" s="580"/>
    </row>
    <row r="1701" spans="4:14" x14ac:dyDescent="0.25">
      <c r="D1701" s="559" t="s">
        <v>867</v>
      </c>
      <c r="E1701" s="558">
        <v>312277</v>
      </c>
      <c r="F1701" s="559">
        <v>302416</v>
      </c>
      <c r="G1701" s="558" t="s">
        <v>2216</v>
      </c>
      <c r="H1701" s="564">
        <v>40015</v>
      </c>
      <c r="I1701" s="563">
        <v>64.349999999999994</v>
      </c>
      <c r="J1701" s="563">
        <v>-64.349999999999994</v>
      </c>
      <c r="K1701" s="582">
        <f t="shared" si="75"/>
        <v>0</v>
      </c>
      <c r="L1701" s="563">
        <f t="shared" si="76"/>
        <v>0</v>
      </c>
      <c r="M1701" s="563">
        <f t="shared" si="77"/>
        <v>70.784999999999997</v>
      </c>
      <c r="N1701" s="580"/>
    </row>
    <row r="1702" spans="4:14" x14ac:dyDescent="0.25">
      <c r="D1702" s="559" t="s">
        <v>867</v>
      </c>
      <c r="E1702" s="558">
        <v>312278</v>
      </c>
      <c r="F1702" s="559">
        <v>302417</v>
      </c>
      <c r="G1702" s="558" t="s">
        <v>2216</v>
      </c>
      <c r="H1702" s="564">
        <v>40015</v>
      </c>
      <c r="I1702" s="563">
        <v>64.349999999999994</v>
      </c>
      <c r="J1702" s="563">
        <v>-64.349999999999994</v>
      </c>
      <c r="K1702" s="582">
        <f t="shared" si="75"/>
        <v>0</v>
      </c>
      <c r="L1702" s="563">
        <f t="shared" si="76"/>
        <v>0</v>
      </c>
      <c r="M1702" s="563">
        <f t="shared" si="77"/>
        <v>70.784999999999997</v>
      </c>
      <c r="N1702" s="580"/>
    </row>
    <row r="1703" spans="4:14" x14ac:dyDescent="0.25">
      <c r="D1703" s="559" t="s">
        <v>867</v>
      </c>
      <c r="E1703" s="558">
        <v>312279</v>
      </c>
      <c r="F1703" s="559">
        <v>302418</v>
      </c>
      <c r="G1703" s="558" t="s">
        <v>2217</v>
      </c>
      <c r="H1703" s="564">
        <v>40015</v>
      </c>
      <c r="I1703" s="563">
        <v>64.349999999999994</v>
      </c>
      <c r="J1703" s="563">
        <v>-64.349999999999994</v>
      </c>
      <c r="K1703" s="582">
        <f t="shared" si="75"/>
        <v>0</v>
      </c>
      <c r="L1703" s="563">
        <f t="shared" si="76"/>
        <v>0</v>
      </c>
      <c r="M1703" s="563">
        <f t="shared" si="77"/>
        <v>70.784999999999997</v>
      </c>
      <c r="N1703" s="580"/>
    </row>
    <row r="1704" spans="4:14" x14ac:dyDescent="0.25">
      <c r="D1704" s="559" t="s">
        <v>867</v>
      </c>
      <c r="E1704" s="558">
        <v>312280</v>
      </c>
      <c r="F1704" s="559">
        <v>302419</v>
      </c>
      <c r="G1704" s="558" t="s">
        <v>2217</v>
      </c>
      <c r="H1704" s="564">
        <v>40015</v>
      </c>
      <c r="I1704" s="563">
        <v>64.349999999999994</v>
      </c>
      <c r="J1704" s="563">
        <v>-64.349999999999994</v>
      </c>
      <c r="K1704" s="582">
        <f t="shared" si="75"/>
        <v>0</v>
      </c>
      <c r="L1704" s="563">
        <f t="shared" si="76"/>
        <v>0</v>
      </c>
      <c r="M1704" s="563">
        <f t="shared" si="77"/>
        <v>70.784999999999997</v>
      </c>
      <c r="N1704" s="580"/>
    </row>
    <row r="1705" spans="4:14" x14ac:dyDescent="0.25">
      <c r="D1705" s="559" t="s">
        <v>867</v>
      </c>
      <c r="E1705" s="558">
        <v>312282</v>
      </c>
      <c r="F1705" s="559">
        <v>302421</v>
      </c>
      <c r="G1705" s="558" t="s">
        <v>2217</v>
      </c>
      <c r="H1705" s="564">
        <v>40015</v>
      </c>
      <c r="I1705" s="563">
        <v>64.349999999999994</v>
      </c>
      <c r="J1705" s="563">
        <v>-64.349999999999994</v>
      </c>
      <c r="K1705" s="582">
        <f t="shared" ref="K1705:K1768" si="78">+I1705+J1705</f>
        <v>0</v>
      </c>
      <c r="L1705" s="563">
        <f t="shared" ref="L1705:L1768" si="79">+K1705*1.1</f>
        <v>0</v>
      </c>
      <c r="M1705" s="563">
        <f t="shared" ref="M1705:M1768" si="80">+I1705*1.1</f>
        <v>70.784999999999997</v>
      </c>
      <c r="N1705" s="580"/>
    </row>
    <row r="1706" spans="4:14" x14ac:dyDescent="0.25">
      <c r="D1706" s="559" t="s">
        <v>867</v>
      </c>
      <c r="E1706" s="558">
        <v>312283</v>
      </c>
      <c r="F1706" s="559">
        <v>302422</v>
      </c>
      <c r="G1706" s="558" t="s">
        <v>2217</v>
      </c>
      <c r="H1706" s="564">
        <v>40015</v>
      </c>
      <c r="I1706" s="563">
        <v>64.349999999999994</v>
      </c>
      <c r="J1706" s="563">
        <v>-64.349999999999994</v>
      </c>
      <c r="K1706" s="582">
        <f t="shared" si="78"/>
        <v>0</v>
      </c>
      <c r="L1706" s="563">
        <f t="shared" si="79"/>
        <v>0</v>
      </c>
      <c r="M1706" s="563">
        <f t="shared" si="80"/>
        <v>70.784999999999997</v>
      </c>
      <c r="N1706" s="580"/>
    </row>
    <row r="1707" spans="4:14" x14ac:dyDescent="0.25">
      <c r="D1707" s="559" t="s">
        <v>867</v>
      </c>
      <c r="E1707" s="558">
        <v>312284</v>
      </c>
      <c r="F1707" s="559">
        <v>302423</v>
      </c>
      <c r="G1707" s="558" t="s">
        <v>2217</v>
      </c>
      <c r="H1707" s="564">
        <v>40015</v>
      </c>
      <c r="I1707" s="563">
        <v>64.349999999999994</v>
      </c>
      <c r="J1707" s="563">
        <v>-64.349999999999994</v>
      </c>
      <c r="K1707" s="582">
        <f t="shared" si="78"/>
        <v>0</v>
      </c>
      <c r="L1707" s="563">
        <f t="shared" si="79"/>
        <v>0</v>
      </c>
      <c r="M1707" s="563">
        <f t="shared" si="80"/>
        <v>70.784999999999997</v>
      </c>
      <c r="N1707" s="580"/>
    </row>
    <row r="1708" spans="4:14" x14ac:dyDescent="0.25">
      <c r="D1708" s="559" t="s">
        <v>867</v>
      </c>
      <c r="E1708" s="558">
        <v>312285</v>
      </c>
      <c r="F1708" s="559">
        <v>302424</v>
      </c>
      <c r="G1708" s="558" t="s">
        <v>2218</v>
      </c>
      <c r="H1708" s="564">
        <v>40015</v>
      </c>
      <c r="I1708" s="563">
        <v>64.349999999999994</v>
      </c>
      <c r="J1708" s="563">
        <v>-64.349999999999994</v>
      </c>
      <c r="K1708" s="582">
        <f t="shared" si="78"/>
        <v>0</v>
      </c>
      <c r="L1708" s="563">
        <f t="shared" si="79"/>
        <v>0</v>
      </c>
      <c r="M1708" s="563">
        <f t="shared" si="80"/>
        <v>70.784999999999997</v>
      </c>
      <c r="N1708" s="580"/>
    </row>
    <row r="1709" spans="4:14" x14ac:dyDescent="0.25">
      <c r="D1709" s="559" t="s">
        <v>867</v>
      </c>
      <c r="E1709" s="558">
        <v>312286</v>
      </c>
      <c r="F1709" s="559">
        <v>302425</v>
      </c>
      <c r="G1709" s="558" t="s">
        <v>2218</v>
      </c>
      <c r="H1709" s="564">
        <v>40015</v>
      </c>
      <c r="I1709" s="563">
        <v>649.35</v>
      </c>
      <c r="J1709" s="563">
        <v>-585</v>
      </c>
      <c r="K1709" s="582">
        <f t="shared" si="78"/>
        <v>64.350000000000023</v>
      </c>
      <c r="L1709" s="563">
        <f t="shared" si="79"/>
        <v>70.785000000000025</v>
      </c>
      <c r="M1709" s="563">
        <f t="shared" si="80"/>
        <v>714.28500000000008</v>
      </c>
      <c r="N1709" s="580"/>
    </row>
    <row r="1710" spans="4:14" x14ac:dyDescent="0.25">
      <c r="D1710" s="559" t="s">
        <v>867</v>
      </c>
      <c r="E1710" s="558">
        <v>312287</v>
      </c>
      <c r="F1710" s="559">
        <v>302426</v>
      </c>
      <c r="G1710" s="558" t="s">
        <v>2218</v>
      </c>
      <c r="H1710" s="564">
        <v>40015</v>
      </c>
      <c r="I1710" s="563">
        <v>64.349999999999994</v>
      </c>
      <c r="J1710" s="563">
        <v>-64.349999999999994</v>
      </c>
      <c r="K1710" s="582">
        <f t="shared" si="78"/>
        <v>0</v>
      </c>
      <c r="L1710" s="563">
        <f t="shared" si="79"/>
        <v>0</v>
      </c>
      <c r="M1710" s="563">
        <f t="shared" si="80"/>
        <v>70.784999999999997</v>
      </c>
      <c r="N1710" s="580"/>
    </row>
    <row r="1711" spans="4:14" x14ac:dyDescent="0.25">
      <c r="D1711" s="559" t="s">
        <v>867</v>
      </c>
      <c r="E1711" s="558">
        <v>312288</v>
      </c>
      <c r="F1711" s="559">
        <v>302427</v>
      </c>
      <c r="G1711" s="558" t="s">
        <v>2218</v>
      </c>
      <c r="H1711" s="564">
        <v>40015</v>
      </c>
      <c r="I1711" s="563">
        <v>64.349999999999994</v>
      </c>
      <c r="J1711" s="563">
        <v>-64.349999999999994</v>
      </c>
      <c r="K1711" s="582">
        <f t="shared" si="78"/>
        <v>0</v>
      </c>
      <c r="L1711" s="563">
        <f t="shared" si="79"/>
        <v>0</v>
      </c>
      <c r="M1711" s="563">
        <f t="shared" si="80"/>
        <v>70.784999999999997</v>
      </c>
      <c r="N1711" s="580"/>
    </row>
    <row r="1712" spans="4:14" x14ac:dyDescent="0.25">
      <c r="D1712" s="559" t="s">
        <v>867</v>
      </c>
      <c r="E1712" s="558">
        <v>312289</v>
      </c>
      <c r="F1712" s="559">
        <v>302428</v>
      </c>
      <c r="G1712" s="558" t="s">
        <v>2218</v>
      </c>
      <c r="H1712" s="564">
        <v>40015</v>
      </c>
      <c r="I1712" s="563">
        <v>64.349999999999994</v>
      </c>
      <c r="J1712" s="563">
        <v>-64.349999999999994</v>
      </c>
      <c r="K1712" s="582">
        <f t="shared" si="78"/>
        <v>0</v>
      </c>
      <c r="L1712" s="563">
        <f t="shared" si="79"/>
        <v>0</v>
      </c>
      <c r="M1712" s="563">
        <f t="shared" si="80"/>
        <v>70.784999999999997</v>
      </c>
      <c r="N1712" s="580"/>
    </row>
    <row r="1713" spans="4:14" x14ac:dyDescent="0.25">
      <c r="D1713" s="559" t="s">
        <v>867</v>
      </c>
      <c r="E1713" s="558">
        <v>312290</v>
      </c>
      <c r="F1713" s="559">
        <v>302429</v>
      </c>
      <c r="G1713" s="558" t="s">
        <v>2219</v>
      </c>
      <c r="H1713" s="564">
        <v>40015</v>
      </c>
      <c r="I1713" s="563">
        <v>64.349999999999994</v>
      </c>
      <c r="J1713" s="563">
        <v>-64.349999999999994</v>
      </c>
      <c r="K1713" s="582">
        <f t="shared" si="78"/>
        <v>0</v>
      </c>
      <c r="L1713" s="563">
        <f t="shared" si="79"/>
        <v>0</v>
      </c>
      <c r="M1713" s="563">
        <f t="shared" si="80"/>
        <v>70.784999999999997</v>
      </c>
      <c r="N1713" s="580"/>
    </row>
    <row r="1714" spans="4:14" x14ac:dyDescent="0.25">
      <c r="D1714" s="559" t="s">
        <v>867</v>
      </c>
      <c r="E1714" s="558">
        <v>312291</v>
      </c>
      <c r="F1714" s="559">
        <v>302430</v>
      </c>
      <c r="G1714" s="558" t="s">
        <v>2219</v>
      </c>
      <c r="H1714" s="564">
        <v>40015</v>
      </c>
      <c r="I1714" s="563">
        <v>64.349999999999994</v>
      </c>
      <c r="J1714" s="563">
        <v>-64.349999999999994</v>
      </c>
      <c r="K1714" s="582">
        <f t="shared" si="78"/>
        <v>0</v>
      </c>
      <c r="L1714" s="563">
        <f t="shared" si="79"/>
        <v>0</v>
      </c>
      <c r="M1714" s="563">
        <f t="shared" si="80"/>
        <v>70.784999999999997</v>
      </c>
      <c r="N1714" s="580"/>
    </row>
    <row r="1715" spans="4:14" x14ac:dyDescent="0.25">
      <c r="D1715" s="559" t="s">
        <v>867</v>
      </c>
      <c r="E1715" s="558">
        <v>312292</v>
      </c>
      <c r="F1715" s="559">
        <v>302431</v>
      </c>
      <c r="G1715" s="558" t="s">
        <v>2219</v>
      </c>
      <c r="H1715" s="564">
        <v>40015</v>
      </c>
      <c r="I1715" s="563">
        <v>64.349999999999994</v>
      </c>
      <c r="J1715" s="563">
        <v>-64.349999999999994</v>
      </c>
      <c r="K1715" s="582">
        <f t="shared" si="78"/>
        <v>0</v>
      </c>
      <c r="L1715" s="563">
        <f t="shared" si="79"/>
        <v>0</v>
      </c>
      <c r="M1715" s="563">
        <f t="shared" si="80"/>
        <v>70.784999999999997</v>
      </c>
      <c r="N1715" s="580"/>
    </row>
    <row r="1716" spans="4:14" x14ac:dyDescent="0.25">
      <c r="D1716" s="559" t="s">
        <v>867</v>
      </c>
      <c r="E1716" s="558">
        <v>312293</v>
      </c>
      <c r="F1716" s="559">
        <v>302432</v>
      </c>
      <c r="G1716" s="558" t="s">
        <v>2219</v>
      </c>
      <c r="H1716" s="564">
        <v>40015</v>
      </c>
      <c r="I1716" s="563">
        <v>64.349999999999994</v>
      </c>
      <c r="J1716" s="563">
        <v>-64.349999999999994</v>
      </c>
      <c r="K1716" s="582">
        <f t="shared" si="78"/>
        <v>0</v>
      </c>
      <c r="L1716" s="563">
        <f t="shared" si="79"/>
        <v>0</v>
      </c>
      <c r="M1716" s="563">
        <f t="shared" si="80"/>
        <v>70.784999999999997</v>
      </c>
      <c r="N1716" s="580"/>
    </row>
    <row r="1717" spans="4:14" x14ac:dyDescent="0.25">
      <c r="D1717" s="559" t="s">
        <v>867</v>
      </c>
      <c r="E1717" s="558">
        <v>312294</v>
      </c>
      <c r="F1717" s="559">
        <v>302433</v>
      </c>
      <c r="G1717" s="558" t="s">
        <v>2219</v>
      </c>
      <c r="H1717" s="564">
        <v>40015</v>
      </c>
      <c r="I1717" s="563">
        <v>64.349999999999994</v>
      </c>
      <c r="J1717" s="563">
        <v>-64.349999999999994</v>
      </c>
      <c r="K1717" s="582">
        <f t="shared" si="78"/>
        <v>0</v>
      </c>
      <c r="L1717" s="563">
        <f t="shared" si="79"/>
        <v>0</v>
      </c>
      <c r="M1717" s="563">
        <f t="shared" si="80"/>
        <v>70.784999999999997</v>
      </c>
      <c r="N1717" s="580"/>
    </row>
    <row r="1718" spans="4:14" x14ac:dyDescent="0.25">
      <c r="D1718" s="559" t="s">
        <v>867</v>
      </c>
      <c r="E1718" s="558">
        <v>312295</v>
      </c>
      <c r="F1718" s="559">
        <v>302434</v>
      </c>
      <c r="G1718" s="558" t="s">
        <v>2220</v>
      </c>
      <c r="H1718" s="564">
        <v>40015</v>
      </c>
      <c r="I1718" s="563">
        <v>64.349999999999994</v>
      </c>
      <c r="J1718" s="563">
        <v>-64.349999999999994</v>
      </c>
      <c r="K1718" s="582">
        <f t="shared" si="78"/>
        <v>0</v>
      </c>
      <c r="L1718" s="563">
        <f t="shared" si="79"/>
        <v>0</v>
      </c>
      <c r="M1718" s="563">
        <f t="shared" si="80"/>
        <v>70.784999999999997</v>
      </c>
      <c r="N1718" s="580"/>
    </row>
    <row r="1719" spans="4:14" x14ac:dyDescent="0.25">
      <c r="D1719" s="559" t="s">
        <v>867</v>
      </c>
      <c r="E1719" s="558">
        <v>312296</v>
      </c>
      <c r="F1719" s="559">
        <v>301787</v>
      </c>
      <c r="G1719" s="558" t="s">
        <v>2220</v>
      </c>
      <c r="H1719" s="564">
        <v>40015</v>
      </c>
      <c r="I1719" s="563">
        <v>64.349999999999994</v>
      </c>
      <c r="J1719" s="563">
        <v>-64.349999999999994</v>
      </c>
      <c r="K1719" s="582">
        <f t="shared" si="78"/>
        <v>0</v>
      </c>
      <c r="L1719" s="563">
        <f t="shared" si="79"/>
        <v>0</v>
      </c>
      <c r="M1719" s="563">
        <f t="shared" si="80"/>
        <v>70.784999999999997</v>
      </c>
      <c r="N1719" s="580"/>
    </row>
    <row r="1720" spans="4:14" x14ac:dyDescent="0.25">
      <c r="D1720" s="559" t="s">
        <v>867</v>
      </c>
      <c r="E1720" s="558">
        <v>312297</v>
      </c>
      <c r="F1720" s="559">
        <v>302435</v>
      </c>
      <c r="G1720" s="558" t="s">
        <v>2220</v>
      </c>
      <c r="H1720" s="564">
        <v>40015</v>
      </c>
      <c r="I1720" s="563">
        <v>64.349999999999994</v>
      </c>
      <c r="J1720" s="563">
        <v>-64.349999999999994</v>
      </c>
      <c r="K1720" s="582">
        <f t="shared" si="78"/>
        <v>0</v>
      </c>
      <c r="L1720" s="563">
        <f t="shared" si="79"/>
        <v>0</v>
      </c>
      <c r="M1720" s="563">
        <f t="shared" si="80"/>
        <v>70.784999999999997</v>
      </c>
      <c r="N1720" s="580"/>
    </row>
    <row r="1721" spans="4:14" x14ac:dyDescent="0.25">
      <c r="D1721" s="559" t="s">
        <v>867</v>
      </c>
      <c r="E1721" s="558">
        <v>312298</v>
      </c>
      <c r="F1721" s="559">
        <v>302436</v>
      </c>
      <c r="G1721" s="558" t="s">
        <v>2220</v>
      </c>
      <c r="H1721" s="564">
        <v>40015</v>
      </c>
      <c r="I1721" s="563">
        <v>64.349999999999994</v>
      </c>
      <c r="J1721" s="563">
        <v>-64.349999999999994</v>
      </c>
      <c r="K1721" s="582">
        <f t="shared" si="78"/>
        <v>0</v>
      </c>
      <c r="L1721" s="563">
        <f t="shared" si="79"/>
        <v>0</v>
      </c>
      <c r="M1721" s="563">
        <f t="shared" si="80"/>
        <v>70.784999999999997</v>
      </c>
      <c r="N1721" s="580"/>
    </row>
    <row r="1722" spans="4:14" x14ac:dyDescent="0.25">
      <c r="D1722" s="559" t="s">
        <v>867</v>
      </c>
      <c r="E1722" s="558">
        <v>312300</v>
      </c>
      <c r="F1722" s="559">
        <v>300548</v>
      </c>
      <c r="G1722" s="558" t="s">
        <v>2220</v>
      </c>
      <c r="H1722" s="564">
        <v>40015</v>
      </c>
      <c r="I1722" s="563">
        <v>64.349999999999994</v>
      </c>
      <c r="J1722" s="563">
        <v>-64.349999999999994</v>
      </c>
      <c r="K1722" s="582">
        <f t="shared" si="78"/>
        <v>0</v>
      </c>
      <c r="L1722" s="563">
        <f t="shared" si="79"/>
        <v>0</v>
      </c>
      <c r="M1722" s="563">
        <f t="shared" si="80"/>
        <v>70.784999999999997</v>
      </c>
      <c r="N1722" s="580"/>
    </row>
    <row r="1723" spans="4:14" x14ac:dyDescent="0.25">
      <c r="D1723" s="559" t="s">
        <v>867</v>
      </c>
      <c r="E1723" s="558">
        <v>312301</v>
      </c>
      <c r="F1723" s="559">
        <v>302438</v>
      </c>
      <c r="G1723" s="558" t="s">
        <v>2221</v>
      </c>
      <c r="H1723" s="564">
        <v>40015</v>
      </c>
      <c r="I1723" s="563">
        <v>64.349999999999994</v>
      </c>
      <c r="J1723" s="563">
        <v>-64.349999999999994</v>
      </c>
      <c r="K1723" s="582">
        <f t="shared" si="78"/>
        <v>0</v>
      </c>
      <c r="L1723" s="563">
        <f t="shared" si="79"/>
        <v>0</v>
      </c>
      <c r="M1723" s="563">
        <f t="shared" si="80"/>
        <v>70.784999999999997</v>
      </c>
      <c r="N1723" s="580"/>
    </row>
    <row r="1724" spans="4:14" x14ac:dyDescent="0.25">
      <c r="D1724" s="559" t="s">
        <v>867</v>
      </c>
      <c r="E1724" s="558">
        <v>312302</v>
      </c>
      <c r="F1724" s="559">
        <v>302439</v>
      </c>
      <c r="G1724" s="558" t="s">
        <v>2221</v>
      </c>
      <c r="H1724" s="564">
        <v>40015</v>
      </c>
      <c r="I1724" s="563">
        <v>64.349999999999994</v>
      </c>
      <c r="J1724" s="563">
        <v>-64.349999999999994</v>
      </c>
      <c r="K1724" s="582">
        <f t="shared" si="78"/>
        <v>0</v>
      </c>
      <c r="L1724" s="563">
        <f t="shared" si="79"/>
        <v>0</v>
      </c>
      <c r="M1724" s="563">
        <f t="shared" si="80"/>
        <v>70.784999999999997</v>
      </c>
      <c r="N1724" s="580"/>
    </row>
    <row r="1725" spans="4:14" x14ac:dyDescent="0.25">
      <c r="D1725" s="559" t="s">
        <v>867</v>
      </c>
      <c r="E1725" s="558">
        <v>312303</v>
      </c>
      <c r="F1725" s="559">
        <v>302440</v>
      </c>
      <c r="G1725" s="558" t="s">
        <v>2221</v>
      </c>
      <c r="H1725" s="564">
        <v>40015</v>
      </c>
      <c r="I1725" s="563">
        <v>64.349999999999994</v>
      </c>
      <c r="J1725" s="563">
        <v>-64.349999999999994</v>
      </c>
      <c r="K1725" s="582">
        <f t="shared" si="78"/>
        <v>0</v>
      </c>
      <c r="L1725" s="563">
        <f t="shared" si="79"/>
        <v>0</v>
      </c>
      <c r="M1725" s="563">
        <f t="shared" si="80"/>
        <v>70.784999999999997</v>
      </c>
      <c r="N1725" s="580"/>
    </row>
    <row r="1726" spans="4:14" x14ac:dyDescent="0.25">
      <c r="D1726" s="559" t="s">
        <v>867</v>
      </c>
      <c r="E1726" s="558">
        <v>312304</v>
      </c>
      <c r="F1726" s="559">
        <v>302441</v>
      </c>
      <c r="G1726" s="558" t="s">
        <v>2221</v>
      </c>
      <c r="H1726" s="564">
        <v>40015</v>
      </c>
      <c r="I1726" s="563">
        <v>64.349999999999994</v>
      </c>
      <c r="J1726" s="563">
        <v>-64.349999999999994</v>
      </c>
      <c r="K1726" s="582">
        <f t="shared" si="78"/>
        <v>0</v>
      </c>
      <c r="L1726" s="563">
        <f t="shared" si="79"/>
        <v>0</v>
      </c>
      <c r="M1726" s="563">
        <f t="shared" si="80"/>
        <v>70.784999999999997</v>
      </c>
      <c r="N1726" s="580"/>
    </row>
    <row r="1727" spans="4:14" x14ac:dyDescent="0.25">
      <c r="D1727" s="559" t="s">
        <v>867</v>
      </c>
      <c r="E1727" s="558">
        <v>312305</v>
      </c>
      <c r="F1727" s="559">
        <v>302442</v>
      </c>
      <c r="G1727" s="558" t="s">
        <v>2221</v>
      </c>
      <c r="H1727" s="564">
        <v>40015</v>
      </c>
      <c r="I1727" s="563">
        <v>64.349999999999994</v>
      </c>
      <c r="J1727" s="563">
        <v>-64.349999999999994</v>
      </c>
      <c r="K1727" s="582">
        <f t="shared" si="78"/>
        <v>0</v>
      </c>
      <c r="L1727" s="563">
        <f t="shared" si="79"/>
        <v>0</v>
      </c>
      <c r="M1727" s="563">
        <f t="shared" si="80"/>
        <v>70.784999999999997</v>
      </c>
      <c r="N1727" s="580"/>
    </row>
    <row r="1728" spans="4:14" x14ac:dyDescent="0.25">
      <c r="D1728" s="559" t="s">
        <v>867</v>
      </c>
      <c r="E1728" s="558">
        <v>312306</v>
      </c>
      <c r="F1728" s="559">
        <v>302443</v>
      </c>
      <c r="G1728" s="558" t="s">
        <v>2222</v>
      </c>
      <c r="H1728" s="564">
        <v>40015</v>
      </c>
      <c r="I1728" s="563">
        <v>727.35</v>
      </c>
      <c r="J1728" s="563">
        <v>-585</v>
      </c>
      <c r="K1728" s="582">
        <f t="shared" si="78"/>
        <v>142.35000000000002</v>
      </c>
      <c r="L1728" s="563">
        <f t="shared" si="79"/>
        <v>156.58500000000004</v>
      </c>
      <c r="M1728" s="563">
        <f t="shared" si="80"/>
        <v>800.08500000000004</v>
      </c>
      <c r="N1728" s="580"/>
    </row>
    <row r="1729" spans="4:14" x14ac:dyDescent="0.25">
      <c r="D1729" s="559" t="s">
        <v>867</v>
      </c>
      <c r="E1729" s="558">
        <v>312308</v>
      </c>
      <c r="F1729" s="559">
        <v>302445</v>
      </c>
      <c r="G1729" s="558" t="s">
        <v>2222</v>
      </c>
      <c r="H1729" s="564">
        <v>40015</v>
      </c>
      <c r="I1729" s="563">
        <v>64.349999999999994</v>
      </c>
      <c r="J1729" s="563">
        <v>-64.349999999999994</v>
      </c>
      <c r="K1729" s="582">
        <f t="shared" si="78"/>
        <v>0</v>
      </c>
      <c r="L1729" s="563">
        <f t="shared" si="79"/>
        <v>0</v>
      </c>
      <c r="M1729" s="563">
        <f t="shared" si="80"/>
        <v>70.784999999999997</v>
      </c>
      <c r="N1729" s="580"/>
    </row>
    <row r="1730" spans="4:14" x14ac:dyDescent="0.25">
      <c r="D1730" s="559" t="s">
        <v>867</v>
      </c>
      <c r="E1730" s="558">
        <v>312309</v>
      </c>
      <c r="F1730" s="559">
        <v>300334</v>
      </c>
      <c r="G1730" s="558" t="s">
        <v>2222</v>
      </c>
      <c r="H1730" s="564">
        <v>40015</v>
      </c>
      <c r="I1730" s="563">
        <v>64.349999999999994</v>
      </c>
      <c r="J1730" s="563">
        <v>-64.349999999999994</v>
      </c>
      <c r="K1730" s="582">
        <f t="shared" si="78"/>
        <v>0</v>
      </c>
      <c r="L1730" s="563">
        <f t="shared" si="79"/>
        <v>0</v>
      </c>
      <c r="M1730" s="563">
        <f t="shared" si="80"/>
        <v>70.784999999999997</v>
      </c>
      <c r="N1730" s="580"/>
    </row>
    <row r="1731" spans="4:14" x14ac:dyDescent="0.25">
      <c r="D1731" s="559" t="s">
        <v>867</v>
      </c>
      <c r="E1731" s="558">
        <v>312310</v>
      </c>
      <c r="F1731" s="559">
        <v>302446</v>
      </c>
      <c r="G1731" s="558" t="s">
        <v>2222</v>
      </c>
      <c r="H1731" s="564">
        <v>40015</v>
      </c>
      <c r="I1731" s="563">
        <v>64.349999999999994</v>
      </c>
      <c r="J1731" s="563">
        <v>-64.349999999999994</v>
      </c>
      <c r="K1731" s="582">
        <f t="shared" si="78"/>
        <v>0</v>
      </c>
      <c r="L1731" s="563">
        <f t="shared" si="79"/>
        <v>0</v>
      </c>
      <c r="M1731" s="563">
        <f t="shared" si="80"/>
        <v>70.784999999999997</v>
      </c>
      <c r="N1731" s="580"/>
    </row>
    <row r="1732" spans="4:14" x14ac:dyDescent="0.25">
      <c r="D1732" s="559" t="s">
        <v>867</v>
      </c>
      <c r="E1732" s="558">
        <v>312311</v>
      </c>
      <c r="F1732" s="559">
        <v>302447</v>
      </c>
      <c r="G1732" s="558" t="s">
        <v>2222</v>
      </c>
      <c r="H1732" s="564">
        <v>40015</v>
      </c>
      <c r="I1732" s="563">
        <v>64.349999999999994</v>
      </c>
      <c r="J1732" s="563">
        <v>-64.349999999999994</v>
      </c>
      <c r="K1732" s="582">
        <f t="shared" si="78"/>
        <v>0</v>
      </c>
      <c r="L1732" s="563">
        <f t="shared" si="79"/>
        <v>0</v>
      </c>
      <c r="M1732" s="563">
        <f t="shared" si="80"/>
        <v>70.784999999999997</v>
      </c>
      <c r="N1732" s="580"/>
    </row>
    <row r="1733" spans="4:14" x14ac:dyDescent="0.25">
      <c r="D1733" s="559" t="s">
        <v>867</v>
      </c>
      <c r="E1733" s="558">
        <v>312312</v>
      </c>
      <c r="F1733" s="559">
        <v>302448</v>
      </c>
      <c r="G1733" s="558" t="s">
        <v>2223</v>
      </c>
      <c r="H1733" s="564">
        <v>40015</v>
      </c>
      <c r="I1733" s="563">
        <v>64.349999999999994</v>
      </c>
      <c r="J1733" s="563">
        <v>-64.349999999999994</v>
      </c>
      <c r="K1733" s="582">
        <f t="shared" si="78"/>
        <v>0</v>
      </c>
      <c r="L1733" s="563">
        <f t="shared" si="79"/>
        <v>0</v>
      </c>
      <c r="M1733" s="563">
        <f t="shared" si="80"/>
        <v>70.784999999999997</v>
      </c>
      <c r="N1733" s="580"/>
    </row>
    <row r="1734" spans="4:14" x14ac:dyDescent="0.25">
      <c r="D1734" s="559" t="s">
        <v>867</v>
      </c>
      <c r="E1734" s="558">
        <v>312313</v>
      </c>
      <c r="F1734" s="559">
        <v>302449</v>
      </c>
      <c r="G1734" s="558" t="s">
        <v>2223</v>
      </c>
      <c r="H1734" s="564">
        <v>40015</v>
      </c>
      <c r="I1734" s="563">
        <v>64.349999999999994</v>
      </c>
      <c r="J1734" s="563">
        <v>-64.349999999999994</v>
      </c>
      <c r="K1734" s="582">
        <f t="shared" si="78"/>
        <v>0</v>
      </c>
      <c r="L1734" s="563">
        <f t="shared" si="79"/>
        <v>0</v>
      </c>
      <c r="M1734" s="563">
        <f t="shared" si="80"/>
        <v>70.784999999999997</v>
      </c>
      <c r="N1734" s="580"/>
    </row>
    <row r="1735" spans="4:14" x14ac:dyDescent="0.25">
      <c r="D1735" s="559" t="s">
        <v>867</v>
      </c>
      <c r="E1735" s="558">
        <v>312314</v>
      </c>
      <c r="F1735" s="559">
        <v>302450</v>
      </c>
      <c r="G1735" s="558" t="s">
        <v>2223</v>
      </c>
      <c r="H1735" s="564">
        <v>40015</v>
      </c>
      <c r="I1735" s="563">
        <v>64.349999999999994</v>
      </c>
      <c r="J1735" s="563">
        <v>-64.349999999999994</v>
      </c>
      <c r="K1735" s="582">
        <f t="shared" si="78"/>
        <v>0</v>
      </c>
      <c r="L1735" s="563">
        <f t="shared" si="79"/>
        <v>0</v>
      </c>
      <c r="M1735" s="563">
        <f t="shared" si="80"/>
        <v>70.784999999999997</v>
      </c>
      <c r="N1735" s="580"/>
    </row>
    <row r="1736" spans="4:14" x14ac:dyDescent="0.25">
      <c r="D1736" s="559" t="s">
        <v>867</v>
      </c>
      <c r="E1736" s="558">
        <v>312315</v>
      </c>
      <c r="F1736" s="559">
        <v>302451</v>
      </c>
      <c r="G1736" s="558" t="s">
        <v>2223</v>
      </c>
      <c r="H1736" s="564">
        <v>40015</v>
      </c>
      <c r="I1736" s="563">
        <v>64.349999999999994</v>
      </c>
      <c r="J1736" s="563">
        <v>-64.349999999999994</v>
      </c>
      <c r="K1736" s="582">
        <f t="shared" si="78"/>
        <v>0</v>
      </c>
      <c r="L1736" s="563">
        <f t="shared" si="79"/>
        <v>0</v>
      </c>
      <c r="M1736" s="563">
        <f t="shared" si="80"/>
        <v>70.784999999999997</v>
      </c>
      <c r="N1736" s="580"/>
    </row>
    <row r="1737" spans="4:14" x14ac:dyDescent="0.25">
      <c r="D1737" s="559" t="s">
        <v>867</v>
      </c>
      <c r="E1737" s="558">
        <v>312316</v>
      </c>
      <c r="F1737" s="559">
        <v>302452</v>
      </c>
      <c r="G1737" s="558" t="s">
        <v>2223</v>
      </c>
      <c r="H1737" s="564">
        <v>40015</v>
      </c>
      <c r="I1737" s="563">
        <v>64.349999999999994</v>
      </c>
      <c r="J1737" s="563">
        <v>-64.349999999999994</v>
      </c>
      <c r="K1737" s="582">
        <f t="shared" si="78"/>
        <v>0</v>
      </c>
      <c r="L1737" s="563">
        <f t="shared" si="79"/>
        <v>0</v>
      </c>
      <c r="M1737" s="563">
        <f t="shared" si="80"/>
        <v>70.784999999999997</v>
      </c>
      <c r="N1737" s="580"/>
    </row>
    <row r="1738" spans="4:14" x14ac:dyDescent="0.25">
      <c r="D1738" s="559" t="s">
        <v>867</v>
      </c>
      <c r="E1738" s="558">
        <v>312317</v>
      </c>
      <c r="F1738" s="559">
        <v>302453</v>
      </c>
      <c r="G1738" s="558" t="s">
        <v>2224</v>
      </c>
      <c r="H1738" s="564">
        <v>40015</v>
      </c>
      <c r="I1738" s="563">
        <v>64.349999999999994</v>
      </c>
      <c r="J1738" s="563">
        <v>-64.349999999999994</v>
      </c>
      <c r="K1738" s="582">
        <f t="shared" si="78"/>
        <v>0</v>
      </c>
      <c r="L1738" s="563">
        <f t="shared" si="79"/>
        <v>0</v>
      </c>
      <c r="M1738" s="563">
        <f t="shared" si="80"/>
        <v>70.784999999999997</v>
      </c>
      <c r="N1738" s="580"/>
    </row>
    <row r="1739" spans="4:14" x14ac:dyDescent="0.25">
      <c r="D1739" s="559" t="s">
        <v>867</v>
      </c>
      <c r="E1739" s="558">
        <v>312318</v>
      </c>
      <c r="F1739" s="559">
        <v>302454</v>
      </c>
      <c r="G1739" s="558" t="s">
        <v>2224</v>
      </c>
      <c r="H1739" s="564">
        <v>40015</v>
      </c>
      <c r="I1739" s="563">
        <v>64.349999999999994</v>
      </c>
      <c r="J1739" s="563">
        <v>-64.349999999999994</v>
      </c>
      <c r="K1739" s="582">
        <f t="shared" si="78"/>
        <v>0</v>
      </c>
      <c r="L1739" s="563">
        <f t="shared" si="79"/>
        <v>0</v>
      </c>
      <c r="M1739" s="563">
        <f t="shared" si="80"/>
        <v>70.784999999999997</v>
      </c>
      <c r="N1739" s="580"/>
    </row>
    <row r="1740" spans="4:14" x14ac:dyDescent="0.25">
      <c r="D1740" s="559" t="s">
        <v>867</v>
      </c>
      <c r="E1740" s="558">
        <v>312319</v>
      </c>
      <c r="F1740" s="559">
        <v>302455</v>
      </c>
      <c r="G1740" s="558" t="s">
        <v>2224</v>
      </c>
      <c r="H1740" s="564">
        <v>40015</v>
      </c>
      <c r="I1740" s="563">
        <v>64.349999999999994</v>
      </c>
      <c r="J1740" s="563">
        <v>-64.349999999999994</v>
      </c>
      <c r="K1740" s="582">
        <f t="shared" si="78"/>
        <v>0</v>
      </c>
      <c r="L1740" s="563">
        <f t="shared" si="79"/>
        <v>0</v>
      </c>
      <c r="M1740" s="563">
        <f t="shared" si="80"/>
        <v>70.784999999999997</v>
      </c>
      <c r="N1740" s="580"/>
    </row>
    <row r="1741" spans="4:14" x14ac:dyDescent="0.25">
      <c r="D1741" s="559" t="s">
        <v>867</v>
      </c>
      <c r="E1741" s="558">
        <v>312320</v>
      </c>
      <c r="F1741" s="559">
        <v>302456</v>
      </c>
      <c r="G1741" s="558" t="s">
        <v>2224</v>
      </c>
      <c r="H1741" s="564">
        <v>40015</v>
      </c>
      <c r="I1741" s="563">
        <v>64.349999999999994</v>
      </c>
      <c r="J1741" s="563">
        <v>-64.349999999999994</v>
      </c>
      <c r="K1741" s="582">
        <f t="shared" si="78"/>
        <v>0</v>
      </c>
      <c r="L1741" s="563">
        <f t="shared" si="79"/>
        <v>0</v>
      </c>
      <c r="M1741" s="563">
        <f t="shared" si="80"/>
        <v>70.784999999999997</v>
      </c>
      <c r="N1741" s="580"/>
    </row>
    <row r="1742" spans="4:14" x14ac:dyDescent="0.25">
      <c r="D1742" s="559" t="s">
        <v>867</v>
      </c>
      <c r="E1742" s="558">
        <v>312321</v>
      </c>
      <c r="F1742" s="559">
        <v>302457</v>
      </c>
      <c r="G1742" s="558" t="s">
        <v>2224</v>
      </c>
      <c r="H1742" s="564">
        <v>40015</v>
      </c>
      <c r="I1742" s="563">
        <v>64.349999999999994</v>
      </c>
      <c r="J1742" s="563">
        <v>-64.349999999999994</v>
      </c>
      <c r="K1742" s="582">
        <f t="shared" si="78"/>
        <v>0</v>
      </c>
      <c r="L1742" s="563">
        <f t="shared" si="79"/>
        <v>0</v>
      </c>
      <c r="M1742" s="563">
        <f t="shared" si="80"/>
        <v>70.784999999999997</v>
      </c>
      <c r="N1742" s="580"/>
    </row>
    <row r="1743" spans="4:14" x14ac:dyDescent="0.25">
      <c r="D1743" s="559" t="s">
        <v>867</v>
      </c>
      <c r="E1743" s="558">
        <v>312322</v>
      </c>
      <c r="F1743" s="559">
        <v>302458</v>
      </c>
      <c r="G1743" s="558" t="s">
        <v>2225</v>
      </c>
      <c r="H1743" s="564">
        <v>40015</v>
      </c>
      <c r="I1743" s="563">
        <v>64.349999999999994</v>
      </c>
      <c r="J1743" s="563">
        <v>-64.349999999999994</v>
      </c>
      <c r="K1743" s="582">
        <f t="shared" si="78"/>
        <v>0</v>
      </c>
      <c r="L1743" s="563">
        <f t="shared" si="79"/>
        <v>0</v>
      </c>
      <c r="M1743" s="563">
        <f t="shared" si="80"/>
        <v>70.784999999999997</v>
      </c>
      <c r="N1743" s="580"/>
    </row>
    <row r="1744" spans="4:14" x14ac:dyDescent="0.25">
      <c r="D1744" s="559" t="s">
        <v>867</v>
      </c>
      <c r="E1744" s="558">
        <v>312323</v>
      </c>
      <c r="F1744" s="559">
        <v>302459</v>
      </c>
      <c r="G1744" s="558" t="s">
        <v>2225</v>
      </c>
      <c r="H1744" s="564">
        <v>40015</v>
      </c>
      <c r="I1744" s="563">
        <v>64.349999999999994</v>
      </c>
      <c r="J1744" s="563">
        <v>-64.349999999999994</v>
      </c>
      <c r="K1744" s="582">
        <f t="shared" si="78"/>
        <v>0</v>
      </c>
      <c r="L1744" s="563">
        <f t="shared" si="79"/>
        <v>0</v>
      </c>
      <c r="M1744" s="563">
        <f t="shared" si="80"/>
        <v>70.784999999999997</v>
      </c>
      <c r="N1744" s="580"/>
    </row>
    <row r="1745" spans="4:16" x14ac:dyDescent="0.25">
      <c r="D1745" s="559" t="s">
        <v>867</v>
      </c>
      <c r="E1745" s="558">
        <v>312324</v>
      </c>
      <c r="F1745" s="559">
        <v>302460</v>
      </c>
      <c r="G1745" s="558" t="s">
        <v>2225</v>
      </c>
      <c r="H1745" s="564">
        <v>40015</v>
      </c>
      <c r="I1745" s="563">
        <v>64.349999999999994</v>
      </c>
      <c r="J1745" s="563">
        <v>-64.349999999999994</v>
      </c>
      <c r="K1745" s="582">
        <f t="shared" si="78"/>
        <v>0</v>
      </c>
      <c r="L1745" s="563">
        <f t="shared" si="79"/>
        <v>0</v>
      </c>
      <c r="M1745" s="563">
        <f t="shared" si="80"/>
        <v>70.784999999999997</v>
      </c>
      <c r="N1745" s="580"/>
    </row>
    <row r="1746" spans="4:16" x14ac:dyDescent="0.25">
      <c r="D1746" s="559" t="s">
        <v>867</v>
      </c>
      <c r="E1746" s="558">
        <v>312325</v>
      </c>
      <c r="F1746" s="559">
        <v>302461</v>
      </c>
      <c r="G1746" s="558" t="s">
        <v>2225</v>
      </c>
      <c r="H1746" s="564">
        <v>40015</v>
      </c>
      <c r="I1746" s="563">
        <v>25.35</v>
      </c>
      <c r="J1746" s="563">
        <v>-25.35</v>
      </c>
      <c r="K1746" s="582">
        <f t="shared" si="78"/>
        <v>0</v>
      </c>
      <c r="L1746" s="563">
        <f t="shared" si="79"/>
        <v>0</v>
      </c>
      <c r="M1746" s="563">
        <f t="shared" si="80"/>
        <v>27.885000000000005</v>
      </c>
      <c r="N1746" s="580"/>
    </row>
    <row r="1747" spans="4:16" x14ac:dyDescent="0.25">
      <c r="D1747" s="559" t="s">
        <v>867</v>
      </c>
      <c r="E1747" s="558">
        <v>312328</v>
      </c>
      <c r="F1747" s="559">
        <v>302464</v>
      </c>
      <c r="G1747" s="558" t="s">
        <v>2225</v>
      </c>
      <c r="H1747" s="564">
        <v>40015</v>
      </c>
      <c r="I1747" s="563">
        <v>64.349999999999994</v>
      </c>
      <c r="J1747" s="563">
        <v>-64.349999999999994</v>
      </c>
      <c r="K1747" s="582">
        <f t="shared" si="78"/>
        <v>0</v>
      </c>
      <c r="L1747" s="563">
        <f t="shared" si="79"/>
        <v>0</v>
      </c>
      <c r="M1747" s="563">
        <f t="shared" si="80"/>
        <v>70.784999999999997</v>
      </c>
      <c r="N1747" s="580"/>
    </row>
    <row r="1748" spans="4:16" x14ac:dyDescent="0.25">
      <c r="D1748" s="559" t="s">
        <v>867</v>
      </c>
      <c r="E1748" s="558">
        <v>312329</v>
      </c>
      <c r="F1748" s="559">
        <v>302465</v>
      </c>
      <c r="G1748" s="558" t="s">
        <v>4840</v>
      </c>
      <c r="H1748" s="564">
        <v>40015</v>
      </c>
      <c r="I1748" s="563">
        <v>64.349999999999994</v>
      </c>
      <c r="J1748" s="563">
        <v>-64.349999999999994</v>
      </c>
      <c r="K1748" s="582">
        <f t="shared" si="78"/>
        <v>0</v>
      </c>
      <c r="L1748" s="563">
        <f t="shared" si="79"/>
        <v>0</v>
      </c>
      <c r="M1748" s="563">
        <f t="shared" si="80"/>
        <v>70.784999999999997</v>
      </c>
      <c r="N1748" s="580"/>
    </row>
    <row r="1749" spans="4:16" x14ac:dyDescent="0.25">
      <c r="D1749" s="559" t="s">
        <v>867</v>
      </c>
      <c r="E1749" s="558">
        <v>312330</v>
      </c>
      <c r="F1749" s="559">
        <v>302466</v>
      </c>
      <c r="G1749" s="558" t="s">
        <v>4840</v>
      </c>
      <c r="H1749" s="564">
        <v>40015</v>
      </c>
      <c r="I1749" s="563">
        <v>64.349999999999994</v>
      </c>
      <c r="J1749" s="563">
        <v>-64.349999999999994</v>
      </c>
      <c r="K1749" s="582">
        <f t="shared" si="78"/>
        <v>0</v>
      </c>
      <c r="L1749" s="563">
        <f t="shared" si="79"/>
        <v>0</v>
      </c>
      <c r="M1749" s="563">
        <f t="shared" si="80"/>
        <v>70.784999999999997</v>
      </c>
      <c r="N1749" s="580"/>
    </row>
    <row r="1750" spans="4:16" x14ac:dyDescent="0.25">
      <c r="D1750" s="559" t="s">
        <v>867</v>
      </c>
      <c r="E1750" s="558">
        <v>312331</v>
      </c>
      <c r="F1750" s="559">
        <v>301369</v>
      </c>
      <c r="G1750" s="558" t="s">
        <v>4840</v>
      </c>
      <c r="H1750" s="564">
        <v>40015</v>
      </c>
      <c r="I1750" s="563">
        <v>688.35</v>
      </c>
      <c r="J1750" s="563">
        <v>-585</v>
      </c>
      <c r="K1750" s="563">
        <f t="shared" si="78"/>
        <v>103.35000000000002</v>
      </c>
      <c r="L1750" s="563">
        <f t="shared" si="79"/>
        <v>113.68500000000003</v>
      </c>
      <c r="M1750" s="563">
        <f t="shared" si="80"/>
        <v>757.18500000000006</v>
      </c>
      <c r="N1750" s="580"/>
      <c r="O1750" s="558"/>
      <c r="P1750" s="564"/>
    </row>
    <row r="1751" spans="4:16" x14ac:dyDescent="0.25">
      <c r="D1751" s="559" t="s">
        <v>867</v>
      </c>
      <c r="E1751" s="558">
        <v>312332</v>
      </c>
      <c r="F1751" s="559">
        <v>302467</v>
      </c>
      <c r="G1751" s="558" t="s">
        <v>4840</v>
      </c>
      <c r="H1751" s="564">
        <v>40015</v>
      </c>
      <c r="I1751" s="563">
        <v>64.349999999999994</v>
      </c>
      <c r="J1751" s="563">
        <v>-64.349999999999994</v>
      </c>
      <c r="K1751" s="582">
        <f t="shared" si="78"/>
        <v>0</v>
      </c>
      <c r="L1751" s="563">
        <f t="shared" si="79"/>
        <v>0</v>
      </c>
      <c r="M1751" s="563">
        <f t="shared" si="80"/>
        <v>70.784999999999997</v>
      </c>
      <c r="N1751" s="580"/>
    </row>
    <row r="1752" spans="4:16" x14ac:dyDescent="0.25">
      <c r="D1752" s="559" t="s">
        <v>867</v>
      </c>
      <c r="E1752" s="558">
        <v>312333</v>
      </c>
      <c r="F1752" s="559">
        <v>302468</v>
      </c>
      <c r="G1752" s="558" t="s">
        <v>4840</v>
      </c>
      <c r="H1752" s="564">
        <v>40015</v>
      </c>
      <c r="I1752" s="563">
        <v>64.349999999999994</v>
      </c>
      <c r="J1752" s="563">
        <v>-64.349999999999994</v>
      </c>
      <c r="K1752" s="582">
        <f t="shared" si="78"/>
        <v>0</v>
      </c>
      <c r="L1752" s="563">
        <f t="shared" si="79"/>
        <v>0</v>
      </c>
      <c r="M1752" s="563">
        <f t="shared" si="80"/>
        <v>70.784999999999997</v>
      </c>
      <c r="N1752" s="580"/>
    </row>
    <row r="1753" spans="4:16" x14ac:dyDescent="0.25">
      <c r="D1753" s="559" t="s">
        <v>867</v>
      </c>
      <c r="E1753" s="558">
        <v>312334</v>
      </c>
      <c r="F1753" s="559">
        <v>302469</v>
      </c>
      <c r="G1753" s="558" t="s">
        <v>2226</v>
      </c>
      <c r="H1753" s="564">
        <v>40015</v>
      </c>
      <c r="I1753" s="563">
        <v>64.349999999999994</v>
      </c>
      <c r="J1753" s="563">
        <v>-64.349999999999994</v>
      </c>
      <c r="K1753" s="582">
        <f t="shared" si="78"/>
        <v>0</v>
      </c>
      <c r="L1753" s="563">
        <f t="shared" si="79"/>
        <v>0</v>
      </c>
      <c r="M1753" s="563">
        <f t="shared" si="80"/>
        <v>70.784999999999997</v>
      </c>
      <c r="N1753" s="580"/>
    </row>
    <row r="1754" spans="4:16" x14ac:dyDescent="0.25">
      <c r="D1754" s="559" t="s">
        <v>867</v>
      </c>
      <c r="E1754" s="558">
        <v>312335</v>
      </c>
      <c r="F1754" s="559">
        <v>302470</v>
      </c>
      <c r="G1754" s="558" t="s">
        <v>2226</v>
      </c>
      <c r="H1754" s="564">
        <v>40015</v>
      </c>
      <c r="I1754" s="563">
        <v>64.349999999999994</v>
      </c>
      <c r="J1754" s="563">
        <v>-64.349999999999994</v>
      </c>
      <c r="K1754" s="582">
        <f t="shared" si="78"/>
        <v>0</v>
      </c>
      <c r="L1754" s="563">
        <f t="shared" si="79"/>
        <v>0</v>
      </c>
      <c r="M1754" s="563">
        <f t="shared" si="80"/>
        <v>70.784999999999997</v>
      </c>
      <c r="N1754" s="580"/>
    </row>
    <row r="1755" spans="4:16" x14ac:dyDescent="0.25">
      <c r="D1755" s="559" t="s">
        <v>867</v>
      </c>
      <c r="E1755" s="558">
        <v>312336</v>
      </c>
      <c r="F1755" s="559">
        <v>302471</v>
      </c>
      <c r="G1755" s="558" t="s">
        <v>2226</v>
      </c>
      <c r="H1755" s="564">
        <v>40015</v>
      </c>
      <c r="I1755" s="563">
        <v>649.35</v>
      </c>
      <c r="J1755" s="563">
        <v>-585</v>
      </c>
      <c r="K1755" s="582">
        <f t="shared" si="78"/>
        <v>64.350000000000023</v>
      </c>
      <c r="L1755" s="563">
        <f t="shared" si="79"/>
        <v>70.785000000000025</v>
      </c>
      <c r="M1755" s="563">
        <f t="shared" si="80"/>
        <v>714.28500000000008</v>
      </c>
      <c r="N1755" s="580"/>
    </row>
    <row r="1756" spans="4:16" x14ac:dyDescent="0.25">
      <c r="D1756" s="559" t="s">
        <v>867</v>
      </c>
      <c r="E1756" s="558">
        <v>312337</v>
      </c>
      <c r="F1756" s="559">
        <v>302472</v>
      </c>
      <c r="G1756" s="558" t="s">
        <v>2226</v>
      </c>
      <c r="H1756" s="564">
        <v>40015</v>
      </c>
      <c r="I1756" s="563">
        <v>727.35</v>
      </c>
      <c r="J1756" s="563">
        <v>-585</v>
      </c>
      <c r="K1756" s="582">
        <f t="shared" si="78"/>
        <v>142.35000000000002</v>
      </c>
      <c r="L1756" s="563">
        <f t="shared" si="79"/>
        <v>156.58500000000004</v>
      </c>
      <c r="M1756" s="563">
        <f t="shared" si="80"/>
        <v>800.08500000000004</v>
      </c>
      <c r="N1756" s="580"/>
    </row>
    <row r="1757" spans="4:16" x14ac:dyDescent="0.25">
      <c r="D1757" s="559" t="s">
        <v>867</v>
      </c>
      <c r="E1757" s="558">
        <v>312338</v>
      </c>
      <c r="F1757" s="559">
        <v>302473</v>
      </c>
      <c r="G1757" s="558" t="s">
        <v>2226</v>
      </c>
      <c r="H1757" s="564">
        <v>40015</v>
      </c>
      <c r="I1757" s="563">
        <v>805.35</v>
      </c>
      <c r="J1757" s="563">
        <v>-585</v>
      </c>
      <c r="K1757" s="582">
        <f t="shared" si="78"/>
        <v>220.35000000000002</v>
      </c>
      <c r="L1757" s="563">
        <f t="shared" si="79"/>
        <v>242.38500000000005</v>
      </c>
      <c r="M1757" s="563">
        <f t="shared" si="80"/>
        <v>885.8850000000001</v>
      </c>
      <c r="N1757" s="580"/>
    </row>
    <row r="1758" spans="4:16" x14ac:dyDescent="0.25">
      <c r="D1758" s="559" t="s">
        <v>867</v>
      </c>
      <c r="E1758" s="558">
        <v>312339</v>
      </c>
      <c r="F1758" s="559">
        <v>302474</v>
      </c>
      <c r="G1758" s="558" t="s">
        <v>2227</v>
      </c>
      <c r="H1758" s="564">
        <v>40015</v>
      </c>
      <c r="I1758" s="563">
        <v>688.35</v>
      </c>
      <c r="J1758" s="563">
        <v>-585</v>
      </c>
      <c r="K1758" s="582">
        <f t="shared" si="78"/>
        <v>103.35000000000002</v>
      </c>
      <c r="L1758" s="563">
        <f t="shared" si="79"/>
        <v>113.68500000000003</v>
      </c>
      <c r="M1758" s="563">
        <f t="shared" si="80"/>
        <v>757.18500000000006</v>
      </c>
      <c r="N1758" s="580"/>
    </row>
    <row r="1759" spans="4:16" x14ac:dyDescent="0.25">
      <c r="D1759" s="559" t="s">
        <v>867</v>
      </c>
      <c r="E1759" s="558">
        <v>312340</v>
      </c>
      <c r="F1759" s="559">
        <v>302475</v>
      </c>
      <c r="G1759" s="558" t="s">
        <v>2227</v>
      </c>
      <c r="H1759" s="564">
        <v>40015</v>
      </c>
      <c r="I1759" s="563">
        <v>64.349999999999994</v>
      </c>
      <c r="J1759" s="563">
        <v>-64.349999999999994</v>
      </c>
      <c r="K1759" s="582">
        <f t="shared" si="78"/>
        <v>0</v>
      </c>
      <c r="L1759" s="563">
        <f t="shared" si="79"/>
        <v>0</v>
      </c>
      <c r="M1759" s="563">
        <f t="shared" si="80"/>
        <v>70.784999999999997</v>
      </c>
      <c r="N1759" s="580"/>
    </row>
    <row r="1760" spans="4:16" x14ac:dyDescent="0.25">
      <c r="D1760" s="559" t="s">
        <v>867</v>
      </c>
      <c r="E1760" s="558">
        <v>312341</v>
      </c>
      <c r="F1760" s="559">
        <v>302476</v>
      </c>
      <c r="G1760" s="558" t="s">
        <v>2227</v>
      </c>
      <c r="H1760" s="564">
        <v>40015</v>
      </c>
      <c r="I1760" s="563">
        <v>727.35</v>
      </c>
      <c r="J1760" s="563">
        <v>-585</v>
      </c>
      <c r="K1760" s="582">
        <f t="shared" si="78"/>
        <v>142.35000000000002</v>
      </c>
      <c r="L1760" s="563">
        <f t="shared" si="79"/>
        <v>156.58500000000004</v>
      </c>
      <c r="M1760" s="563">
        <f t="shared" si="80"/>
        <v>800.08500000000004</v>
      </c>
      <c r="N1760" s="580"/>
    </row>
    <row r="1761" spans="4:14" x14ac:dyDescent="0.25">
      <c r="D1761" s="559" t="s">
        <v>867</v>
      </c>
      <c r="E1761" s="558">
        <v>312342</v>
      </c>
      <c r="F1761" s="559">
        <v>302477</v>
      </c>
      <c r="G1761" s="558" t="s">
        <v>2227</v>
      </c>
      <c r="H1761" s="564">
        <v>40015</v>
      </c>
      <c r="I1761" s="563">
        <v>64.349999999999994</v>
      </c>
      <c r="J1761" s="563">
        <v>-64.349999999999994</v>
      </c>
      <c r="K1761" s="582">
        <f t="shared" si="78"/>
        <v>0</v>
      </c>
      <c r="L1761" s="563">
        <f t="shared" si="79"/>
        <v>0</v>
      </c>
      <c r="M1761" s="563">
        <f t="shared" si="80"/>
        <v>70.784999999999997</v>
      </c>
      <c r="N1761" s="580"/>
    </row>
    <row r="1762" spans="4:14" x14ac:dyDescent="0.25">
      <c r="D1762" s="559" t="s">
        <v>867</v>
      </c>
      <c r="E1762" s="558">
        <v>312343</v>
      </c>
      <c r="F1762" s="559">
        <v>302478</v>
      </c>
      <c r="G1762" s="558" t="s">
        <v>2227</v>
      </c>
      <c r="H1762" s="564">
        <v>40015</v>
      </c>
      <c r="I1762" s="563">
        <v>64.349999999999994</v>
      </c>
      <c r="J1762" s="563">
        <v>-64.349999999999994</v>
      </c>
      <c r="K1762" s="582">
        <f t="shared" si="78"/>
        <v>0</v>
      </c>
      <c r="L1762" s="563">
        <f t="shared" si="79"/>
        <v>0</v>
      </c>
      <c r="M1762" s="563">
        <f t="shared" si="80"/>
        <v>70.784999999999997</v>
      </c>
      <c r="N1762" s="580"/>
    </row>
    <row r="1763" spans="4:14" x14ac:dyDescent="0.25">
      <c r="D1763" s="559" t="s">
        <v>867</v>
      </c>
      <c r="E1763" s="558">
        <v>312344</v>
      </c>
      <c r="F1763" s="559">
        <v>302479</v>
      </c>
      <c r="G1763" s="558" t="s">
        <v>2228</v>
      </c>
      <c r="H1763" s="564">
        <v>40015</v>
      </c>
      <c r="I1763" s="563">
        <v>64.349999999999994</v>
      </c>
      <c r="J1763" s="563">
        <v>-64.349999999999994</v>
      </c>
      <c r="K1763" s="582">
        <f t="shared" si="78"/>
        <v>0</v>
      </c>
      <c r="L1763" s="563">
        <f t="shared" si="79"/>
        <v>0</v>
      </c>
      <c r="M1763" s="563">
        <f t="shared" si="80"/>
        <v>70.784999999999997</v>
      </c>
      <c r="N1763" s="580"/>
    </row>
    <row r="1764" spans="4:14" x14ac:dyDescent="0.25">
      <c r="D1764" s="559" t="s">
        <v>867</v>
      </c>
      <c r="E1764" s="558">
        <v>312345</v>
      </c>
      <c r="F1764" s="559">
        <v>302480</v>
      </c>
      <c r="G1764" s="558" t="s">
        <v>2228</v>
      </c>
      <c r="H1764" s="564">
        <v>40015</v>
      </c>
      <c r="I1764" s="563">
        <v>64.349999999999994</v>
      </c>
      <c r="J1764" s="563">
        <v>-64.349999999999994</v>
      </c>
      <c r="K1764" s="582">
        <f t="shared" si="78"/>
        <v>0</v>
      </c>
      <c r="L1764" s="563">
        <f t="shared" si="79"/>
        <v>0</v>
      </c>
      <c r="M1764" s="563">
        <f t="shared" si="80"/>
        <v>70.784999999999997</v>
      </c>
      <c r="N1764" s="580"/>
    </row>
    <row r="1765" spans="4:14" x14ac:dyDescent="0.25">
      <c r="D1765" s="559" t="s">
        <v>867</v>
      </c>
      <c r="E1765" s="558">
        <v>312346</v>
      </c>
      <c r="F1765" s="559">
        <v>302481</v>
      </c>
      <c r="G1765" s="558" t="s">
        <v>2228</v>
      </c>
      <c r="H1765" s="564">
        <v>40015</v>
      </c>
      <c r="I1765" s="563">
        <v>64.349999999999994</v>
      </c>
      <c r="J1765" s="563">
        <v>-64.349999999999994</v>
      </c>
      <c r="K1765" s="582">
        <f t="shared" si="78"/>
        <v>0</v>
      </c>
      <c r="L1765" s="563">
        <f t="shared" si="79"/>
        <v>0</v>
      </c>
      <c r="M1765" s="563">
        <f t="shared" si="80"/>
        <v>70.784999999999997</v>
      </c>
      <c r="N1765" s="580"/>
    </row>
    <row r="1766" spans="4:14" x14ac:dyDescent="0.25">
      <c r="D1766" s="559" t="s">
        <v>867</v>
      </c>
      <c r="E1766" s="558">
        <v>312347</v>
      </c>
      <c r="F1766" s="559">
        <v>302482</v>
      </c>
      <c r="G1766" s="558" t="s">
        <v>2228</v>
      </c>
      <c r="H1766" s="564">
        <v>40015</v>
      </c>
      <c r="I1766" s="563">
        <v>64.349999999999994</v>
      </c>
      <c r="J1766" s="563">
        <v>-64.349999999999994</v>
      </c>
      <c r="K1766" s="582">
        <f t="shared" si="78"/>
        <v>0</v>
      </c>
      <c r="L1766" s="563">
        <f t="shared" si="79"/>
        <v>0</v>
      </c>
      <c r="M1766" s="563">
        <f t="shared" si="80"/>
        <v>70.784999999999997</v>
      </c>
      <c r="N1766" s="580"/>
    </row>
    <row r="1767" spans="4:14" x14ac:dyDescent="0.25">
      <c r="D1767" s="559" t="s">
        <v>867</v>
      </c>
      <c r="E1767" s="558">
        <v>312348</v>
      </c>
      <c r="F1767" s="559">
        <v>302483</v>
      </c>
      <c r="G1767" s="558" t="s">
        <v>2228</v>
      </c>
      <c r="H1767" s="564">
        <v>40015</v>
      </c>
      <c r="I1767" s="563">
        <v>649.35</v>
      </c>
      <c r="J1767" s="563">
        <v>-585</v>
      </c>
      <c r="K1767" s="582">
        <f t="shared" si="78"/>
        <v>64.350000000000023</v>
      </c>
      <c r="L1767" s="563">
        <f t="shared" si="79"/>
        <v>70.785000000000025</v>
      </c>
      <c r="M1767" s="563">
        <f t="shared" si="80"/>
        <v>714.28500000000008</v>
      </c>
      <c r="N1767" s="580"/>
    </row>
    <row r="1768" spans="4:14" x14ac:dyDescent="0.25">
      <c r="D1768" s="559" t="s">
        <v>867</v>
      </c>
      <c r="E1768" s="558">
        <v>312349</v>
      </c>
      <c r="F1768" s="559">
        <v>302484</v>
      </c>
      <c r="G1768" s="558" t="s">
        <v>2229</v>
      </c>
      <c r="H1768" s="564">
        <v>40015</v>
      </c>
      <c r="I1768" s="563">
        <v>64.349999999999994</v>
      </c>
      <c r="J1768" s="563">
        <v>-64.349999999999994</v>
      </c>
      <c r="K1768" s="582">
        <f t="shared" si="78"/>
        <v>0</v>
      </c>
      <c r="L1768" s="563">
        <f t="shared" si="79"/>
        <v>0</v>
      </c>
      <c r="M1768" s="563">
        <f t="shared" si="80"/>
        <v>70.784999999999997</v>
      </c>
      <c r="N1768" s="580"/>
    </row>
    <row r="1769" spans="4:14" x14ac:dyDescent="0.25">
      <c r="D1769" s="559" t="s">
        <v>867</v>
      </c>
      <c r="E1769" s="558">
        <v>312350</v>
      </c>
      <c r="F1769" s="559">
        <v>302485</v>
      </c>
      <c r="G1769" s="558" t="s">
        <v>2229</v>
      </c>
      <c r="H1769" s="564">
        <v>40015</v>
      </c>
      <c r="I1769" s="563">
        <v>64.349999999999994</v>
      </c>
      <c r="J1769" s="563">
        <v>-64.349999999999994</v>
      </c>
      <c r="K1769" s="582">
        <f t="shared" ref="K1769:K1832" si="81">+I1769+J1769</f>
        <v>0</v>
      </c>
      <c r="L1769" s="563">
        <f t="shared" ref="L1769:L1832" si="82">+K1769*1.1</f>
        <v>0</v>
      </c>
      <c r="M1769" s="563">
        <f t="shared" ref="M1769:M1832" si="83">+I1769*1.1</f>
        <v>70.784999999999997</v>
      </c>
      <c r="N1769" s="580"/>
    </row>
    <row r="1770" spans="4:14" x14ac:dyDescent="0.25">
      <c r="D1770" s="559" t="s">
        <v>867</v>
      </c>
      <c r="E1770" s="558">
        <v>312351</v>
      </c>
      <c r="F1770" s="559">
        <v>302486</v>
      </c>
      <c r="G1770" s="558" t="s">
        <v>2229</v>
      </c>
      <c r="H1770" s="564">
        <v>40015</v>
      </c>
      <c r="I1770" s="563">
        <v>64.349999999999994</v>
      </c>
      <c r="J1770" s="563">
        <v>-64.349999999999994</v>
      </c>
      <c r="K1770" s="582">
        <f t="shared" si="81"/>
        <v>0</v>
      </c>
      <c r="L1770" s="563">
        <f t="shared" si="82"/>
        <v>0</v>
      </c>
      <c r="M1770" s="563">
        <f t="shared" si="83"/>
        <v>70.784999999999997</v>
      </c>
      <c r="N1770" s="580"/>
    </row>
    <row r="1771" spans="4:14" x14ac:dyDescent="0.25">
      <c r="D1771" s="559" t="s">
        <v>867</v>
      </c>
      <c r="E1771" s="558">
        <v>312353</v>
      </c>
      <c r="F1771" s="559">
        <v>302487</v>
      </c>
      <c r="G1771" s="558" t="s">
        <v>2229</v>
      </c>
      <c r="H1771" s="564">
        <v>40015</v>
      </c>
      <c r="I1771" s="563">
        <v>64.349999999999994</v>
      </c>
      <c r="J1771" s="563">
        <v>-64.349999999999994</v>
      </c>
      <c r="K1771" s="582">
        <f t="shared" si="81"/>
        <v>0</v>
      </c>
      <c r="L1771" s="563">
        <f t="shared" si="82"/>
        <v>0</v>
      </c>
      <c r="M1771" s="563">
        <f t="shared" si="83"/>
        <v>70.784999999999997</v>
      </c>
      <c r="N1771" s="580"/>
    </row>
    <row r="1772" spans="4:14" x14ac:dyDescent="0.25">
      <c r="D1772" s="559" t="s">
        <v>867</v>
      </c>
      <c r="E1772" s="558">
        <v>312354</v>
      </c>
      <c r="F1772" s="559">
        <v>302488</v>
      </c>
      <c r="G1772" s="558" t="s">
        <v>2229</v>
      </c>
      <c r="H1772" s="564">
        <v>40015</v>
      </c>
      <c r="I1772" s="563">
        <v>64.349999999999994</v>
      </c>
      <c r="J1772" s="563">
        <v>-64.349999999999994</v>
      </c>
      <c r="K1772" s="582">
        <f t="shared" si="81"/>
        <v>0</v>
      </c>
      <c r="L1772" s="563">
        <f t="shared" si="82"/>
        <v>0</v>
      </c>
      <c r="M1772" s="563">
        <f t="shared" si="83"/>
        <v>70.784999999999997</v>
      </c>
      <c r="N1772" s="580"/>
    </row>
    <row r="1773" spans="4:14" x14ac:dyDescent="0.25">
      <c r="D1773" s="559" t="s">
        <v>867</v>
      </c>
      <c r="E1773" s="558">
        <v>312355</v>
      </c>
      <c r="F1773" s="559">
        <v>302489</v>
      </c>
      <c r="G1773" s="558" t="s">
        <v>2230</v>
      </c>
      <c r="H1773" s="564">
        <v>40015</v>
      </c>
      <c r="I1773" s="563">
        <v>649.35</v>
      </c>
      <c r="J1773" s="563">
        <v>-585</v>
      </c>
      <c r="K1773" s="582">
        <f t="shared" si="81"/>
        <v>64.350000000000023</v>
      </c>
      <c r="L1773" s="563">
        <f t="shared" si="82"/>
        <v>70.785000000000025</v>
      </c>
      <c r="M1773" s="563">
        <f t="shared" si="83"/>
        <v>714.28500000000008</v>
      </c>
      <c r="N1773" s="580"/>
    </row>
    <row r="1774" spans="4:14" x14ac:dyDescent="0.25">
      <c r="D1774" s="559" t="s">
        <v>867</v>
      </c>
      <c r="E1774" s="558">
        <v>312356</v>
      </c>
      <c r="F1774" s="559">
        <v>302490</v>
      </c>
      <c r="G1774" s="558" t="s">
        <v>2230</v>
      </c>
      <c r="H1774" s="564">
        <v>40015</v>
      </c>
      <c r="I1774" s="563">
        <v>64.349999999999994</v>
      </c>
      <c r="J1774" s="563">
        <v>-64.349999999999994</v>
      </c>
      <c r="K1774" s="582">
        <f t="shared" si="81"/>
        <v>0</v>
      </c>
      <c r="L1774" s="563">
        <f t="shared" si="82"/>
        <v>0</v>
      </c>
      <c r="M1774" s="563">
        <f t="shared" si="83"/>
        <v>70.784999999999997</v>
      </c>
      <c r="N1774" s="580"/>
    </row>
    <row r="1775" spans="4:14" x14ac:dyDescent="0.25">
      <c r="D1775" s="559" t="s">
        <v>867</v>
      </c>
      <c r="E1775" s="558">
        <v>312357</v>
      </c>
      <c r="F1775" s="559">
        <v>301652</v>
      </c>
      <c r="G1775" s="558" t="s">
        <v>2230</v>
      </c>
      <c r="H1775" s="564">
        <v>40015</v>
      </c>
      <c r="I1775" s="563">
        <v>64.349999999999994</v>
      </c>
      <c r="J1775" s="563">
        <v>-64.349999999999994</v>
      </c>
      <c r="K1775" s="582">
        <f t="shared" si="81"/>
        <v>0</v>
      </c>
      <c r="L1775" s="563">
        <f t="shared" si="82"/>
        <v>0</v>
      </c>
      <c r="M1775" s="563">
        <f t="shared" si="83"/>
        <v>70.784999999999997</v>
      </c>
      <c r="N1775" s="580"/>
    </row>
    <row r="1776" spans="4:14" x14ac:dyDescent="0.25">
      <c r="D1776" s="559" t="s">
        <v>867</v>
      </c>
      <c r="E1776" s="558">
        <v>312358</v>
      </c>
      <c r="F1776" s="559">
        <v>302491</v>
      </c>
      <c r="G1776" s="558" t="s">
        <v>2230</v>
      </c>
      <c r="H1776" s="564">
        <v>40015</v>
      </c>
      <c r="I1776" s="563">
        <v>64.349999999999994</v>
      </c>
      <c r="J1776" s="563">
        <v>-64.349999999999994</v>
      </c>
      <c r="K1776" s="582">
        <f t="shared" si="81"/>
        <v>0</v>
      </c>
      <c r="L1776" s="563">
        <f t="shared" si="82"/>
        <v>0</v>
      </c>
      <c r="M1776" s="563">
        <f t="shared" si="83"/>
        <v>70.784999999999997</v>
      </c>
      <c r="N1776" s="580"/>
    </row>
    <row r="1777" spans="4:14" x14ac:dyDescent="0.25">
      <c r="D1777" s="559" t="s">
        <v>867</v>
      </c>
      <c r="E1777" s="558">
        <v>312359</v>
      </c>
      <c r="F1777" s="559">
        <v>302492</v>
      </c>
      <c r="G1777" s="558" t="s">
        <v>2230</v>
      </c>
      <c r="H1777" s="564">
        <v>40015</v>
      </c>
      <c r="I1777" s="563">
        <v>649.35</v>
      </c>
      <c r="J1777" s="563">
        <v>-585</v>
      </c>
      <c r="K1777" s="582">
        <f t="shared" si="81"/>
        <v>64.350000000000023</v>
      </c>
      <c r="L1777" s="563">
        <f t="shared" si="82"/>
        <v>70.785000000000025</v>
      </c>
      <c r="M1777" s="563">
        <f t="shared" si="83"/>
        <v>714.28500000000008</v>
      </c>
      <c r="N1777" s="580"/>
    </row>
    <row r="1778" spans="4:14" x14ac:dyDescent="0.25">
      <c r="D1778" s="559" t="s">
        <v>867</v>
      </c>
      <c r="E1778" s="558">
        <v>312360</v>
      </c>
      <c r="F1778" s="559">
        <v>302493</v>
      </c>
      <c r="G1778" s="558" t="s">
        <v>2231</v>
      </c>
      <c r="H1778" s="564">
        <v>40015</v>
      </c>
      <c r="I1778" s="563">
        <v>64.349999999999994</v>
      </c>
      <c r="J1778" s="563">
        <v>-64.349999999999994</v>
      </c>
      <c r="K1778" s="582">
        <f t="shared" si="81"/>
        <v>0</v>
      </c>
      <c r="L1778" s="563">
        <f t="shared" si="82"/>
        <v>0</v>
      </c>
      <c r="M1778" s="563">
        <f t="shared" si="83"/>
        <v>70.784999999999997</v>
      </c>
      <c r="N1778" s="580"/>
    </row>
    <row r="1779" spans="4:14" x14ac:dyDescent="0.25">
      <c r="D1779" s="559" t="s">
        <v>867</v>
      </c>
      <c r="E1779" s="558">
        <v>312361</v>
      </c>
      <c r="F1779" s="559">
        <v>302494</v>
      </c>
      <c r="G1779" s="558" t="s">
        <v>2231</v>
      </c>
      <c r="H1779" s="564">
        <v>40015</v>
      </c>
      <c r="I1779" s="563">
        <v>64.349999999999994</v>
      </c>
      <c r="J1779" s="563">
        <v>-64.349999999999994</v>
      </c>
      <c r="K1779" s="582">
        <f t="shared" si="81"/>
        <v>0</v>
      </c>
      <c r="L1779" s="563">
        <f t="shared" si="82"/>
        <v>0</v>
      </c>
      <c r="M1779" s="563">
        <f t="shared" si="83"/>
        <v>70.784999999999997</v>
      </c>
      <c r="N1779" s="580"/>
    </row>
    <row r="1780" spans="4:14" x14ac:dyDescent="0.25">
      <c r="D1780" s="559" t="s">
        <v>867</v>
      </c>
      <c r="E1780" s="558">
        <v>312362</v>
      </c>
      <c r="F1780" s="559">
        <v>302495</v>
      </c>
      <c r="G1780" s="558" t="s">
        <v>2231</v>
      </c>
      <c r="H1780" s="564">
        <v>40015</v>
      </c>
      <c r="I1780" s="563">
        <v>64.349999999999994</v>
      </c>
      <c r="J1780" s="563">
        <v>-64.349999999999994</v>
      </c>
      <c r="K1780" s="582">
        <f t="shared" si="81"/>
        <v>0</v>
      </c>
      <c r="L1780" s="563">
        <f t="shared" si="82"/>
        <v>0</v>
      </c>
      <c r="M1780" s="563">
        <f t="shared" si="83"/>
        <v>70.784999999999997</v>
      </c>
      <c r="N1780" s="580"/>
    </row>
    <row r="1781" spans="4:14" x14ac:dyDescent="0.25">
      <c r="D1781" s="559" t="s">
        <v>867</v>
      </c>
      <c r="E1781" s="558">
        <v>312363</v>
      </c>
      <c r="F1781" s="559">
        <v>302496</v>
      </c>
      <c r="G1781" s="558" t="s">
        <v>2231</v>
      </c>
      <c r="H1781" s="564">
        <v>40015</v>
      </c>
      <c r="I1781" s="563">
        <v>64.349999999999994</v>
      </c>
      <c r="J1781" s="563">
        <v>-64.349999999999994</v>
      </c>
      <c r="K1781" s="582">
        <f t="shared" si="81"/>
        <v>0</v>
      </c>
      <c r="L1781" s="563">
        <f t="shared" si="82"/>
        <v>0</v>
      </c>
      <c r="M1781" s="563">
        <f t="shared" si="83"/>
        <v>70.784999999999997</v>
      </c>
      <c r="N1781" s="580"/>
    </row>
    <row r="1782" spans="4:14" x14ac:dyDescent="0.25">
      <c r="D1782" s="559" t="s">
        <v>867</v>
      </c>
      <c r="E1782" s="558">
        <v>312364</v>
      </c>
      <c r="F1782" s="559">
        <v>302497</v>
      </c>
      <c r="G1782" s="558" t="s">
        <v>2231</v>
      </c>
      <c r="H1782" s="564">
        <v>40015</v>
      </c>
      <c r="I1782" s="563">
        <v>649.35</v>
      </c>
      <c r="J1782" s="563">
        <v>-585</v>
      </c>
      <c r="K1782" s="582">
        <f t="shared" si="81"/>
        <v>64.350000000000023</v>
      </c>
      <c r="L1782" s="563">
        <f t="shared" si="82"/>
        <v>70.785000000000025</v>
      </c>
      <c r="M1782" s="563">
        <f t="shared" si="83"/>
        <v>714.28500000000008</v>
      </c>
      <c r="N1782" s="580"/>
    </row>
    <row r="1783" spans="4:14" x14ac:dyDescent="0.25">
      <c r="D1783" s="559" t="s">
        <v>867</v>
      </c>
      <c r="E1783" s="558">
        <v>312365</v>
      </c>
      <c r="F1783" s="559">
        <v>302498</v>
      </c>
      <c r="G1783" s="558" t="s">
        <v>2232</v>
      </c>
      <c r="H1783" s="564">
        <v>40015</v>
      </c>
      <c r="I1783" s="563">
        <v>64.349999999999994</v>
      </c>
      <c r="J1783" s="563">
        <v>-64.349999999999994</v>
      </c>
      <c r="K1783" s="582">
        <f t="shared" si="81"/>
        <v>0</v>
      </c>
      <c r="L1783" s="563">
        <f t="shared" si="82"/>
        <v>0</v>
      </c>
      <c r="M1783" s="563">
        <f t="shared" si="83"/>
        <v>70.784999999999997</v>
      </c>
      <c r="N1783" s="580"/>
    </row>
    <row r="1784" spans="4:14" x14ac:dyDescent="0.25">
      <c r="D1784" s="559" t="s">
        <v>867</v>
      </c>
      <c r="E1784" s="558">
        <v>312366</v>
      </c>
      <c r="F1784" s="559">
        <v>302499</v>
      </c>
      <c r="G1784" s="558" t="s">
        <v>2232</v>
      </c>
      <c r="H1784" s="564">
        <v>40015</v>
      </c>
      <c r="I1784" s="563">
        <v>64.349999999999994</v>
      </c>
      <c r="J1784" s="563">
        <v>-64.349999999999994</v>
      </c>
      <c r="K1784" s="582">
        <f t="shared" si="81"/>
        <v>0</v>
      </c>
      <c r="L1784" s="563">
        <f t="shared" si="82"/>
        <v>0</v>
      </c>
      <c r="M1784" s="563">
        <f t="shared" si="83"/>
        <v>70.784999999999997</v>
      </c>
      <c r="N1784" s="580"/>
    </row>
    <row r="1785" spans="4:14" x14ac:dyDescent="0.25">
      <c r="D1785" s="559" t="s">
        <v>867</v>
      </c>
      <c r="E1785" s="558">
        <v>312367</v>
      </c>
      <c r="F1785" s="559">
        <v>302500</v>
      </c>
      <c r="G1785" s="558" t="s">
        <v>2232</v>
      </c>
      <c r="H1785" s="564">
        <v>40015</v>
      </c>
      <c r="I1785" s="563">
        <v>64.349999999999994</v>
      </c>
      <c r="J1785" s="563">
        <v>-64.349999999999994</v>
      </c>
      <c r="K1785" s="582">
        <f t="shared" si="81"/>
        <v>0</v>
      </c>
      <c r="L1785" s="563">
        <f t="shared" si="82"/>
        <v>0</v>
      </c>
      <c r="M1785" s="563">
        <f t="shared" si="83"/>
        <v>70.784999999999997</v>
      </c>
      <c r="N1785" s="580"/>
    </row>
    <row r="1786" spans="4:14" x14ac:dyDescent="0.25">
      <c r="D1786" s="559" t="s">
        <v>867</v>
      </c>
      <c r="E1786" s="558">
        <v>312368</v>
      </c>
      <c r="F1786" s="559">
        <v>302501</v>
      </c>
      <c r="G1786" s="558" t="s">
        <v>2232</v>
      </c>
      <c r="H1786" s="564">
        <v>40015</v>
      </c>
      <c r="I1786" s="563">
        <v>493.35</v>
      </c>
      <c r="J1786" s="563">
        <v>-493.35</v>
      </c>
      <c r="K1786" s="582">
        <f t="shared" si="81"/>
        <v>0</v>
      </c>
      <c r="L1786" s="563">
        <f t="shared" si="82"/>
        <v>0</v>
      </c>
      <c r="M1786" s="563">
        <f t="shared" si="83"/>
        <v>542.68500000000006</v>
      </c>
      <c r="N1786" s="580"/>
    </row>
    <row r="1787" spans="4:14" x14ac:dyDescent="0.25">
      <c r="D1787" s="559" t="s">
        <v>867</v>
      </c>
      <c r="E1787" s="558">
        <v>312369</v>
      </c>
      <c r="F1787" s="559">
        <v>302502</v>
      </c>
      <c r="G1787" s="558" t="s">
        <v>2232</v>
      </c>
      <c r="H1787" s="564">
        <v>40015</v>
      </c>
      <c r="I1787" s="563">
        <v>727.35</v>
      </c>
      <c r="J1787" s="563">
        <v>-585</v>
      </c>
      <c r="K1787" s="582">
        <f t="shared" si="81"/>
        <v>142.35000000000002</v>
      </c>
      <c r="L1787" s="563">
        <f t="shared" si="82"/>
        <v>156.58500000000004</v>
      </c>
      <c r="M1787" s="563">
        <f t="shared" si="83"/>
        <v>800.08500000000004</v>
      </c>
      <c r="N1787" s="580"/>
    </row>
    <row r="1788" spans="4:14" x14ac:dyDescent="0.25">
      <c r="D1788" s="559" t="s">
        <v>867</v>
      </c>
      <c r="E1788" s="558">
        <v>312370</v>
      </c>
      <c r="F1788" s="559">
        <v>302503</v>
      </c>
      <c r="G1788" s="558" t="s">
        <v>2233</v>
      </c>
      <c r="H1788" s="564">
        <v>40015</v>
      </c>
      <c r="I1788" s="563">
        <v>649.35</v>
      </c>
      <c r="J1788" s="563">
        <v>-585</v>
      </c>
      <c r="K1788" s="582">
        <f t="shared" si="81"/>
        <v>64.350000000000023</v>
      </c>
      <c r="L1788" s="563">
        <f t="shared" si="82"/>
        <v>70.785000000000025</v>
      </c>
      <c r="M1788" s="563">
        <f t="shared" si="83"/>
        <v>714.28500000000008</v>
      </c>
      <c r="N1788" s="580"/>
    </row>
    <row r="1789" spans="4:14" x14ac:dyDescent="0.25">
      <c r="D1789" s="559" t="s">
        <v>867</v>
      </c>
      <c r="E1789" s="558">
        <v>312371</v>
      </c>
      <c r="F1789" s="559">
        <v>302504</v>
      </c>
      <c r="G1789" s="558" t="s">
        <v>2233</v>
      </c>
      <c r="H1789" s="564">
        <v>40015</v>
      </c>
      <c r="I1789" s="563">
        <v>64.349999999999994</v>
      </c>
      <c r="J1789" s="563">
        <v>-64.349999999999994</v>
      </c>
      <c r="K1789" s="582">
        <f t="shared" si="81"/>
        <v>0</v>
      </c>
      <c r="L1789" s="563">
        <f t="shared" si="82"/>
        <v>0</v>
      </c>
      <c r="M1789" s="563">
        <f t="shared" si="83"/>
        <v>70.784999999999997</v>
      </c>
      <c r="N1789" s="580"/>
    </row>
    <row r="1790" spans="4:14" x14ac:dyDescent="0.25">
      <c r="D1790" s="559" t="s">
        <v>867</v>
      </c>
      <c r="E1790" s="558">
        <v>312372</v>
      </c>
      <c r="F1790" s="559">
        <v>302505</v>
      </c>
      <c r="G1790" s="558" t="s">
        <v>2233</v>
      </c>
      <c r="H1790" s="564">
        <v>40015</v>
      </c>
      <c r="I1790" s="563">
        <v>64.349999999999994</v>
      </c>
      <c r="J1790" s="563">
        <v>-64.349999999999994</v>
      </c>
      <c r="K1790" s="582">
        <f t="shared" si="81"/>
        <v>0</v>
      </c>
      <c r="L1790" s="563">
        <f t="shared" si="82"/>
        <v>0</v>
      </c>
      <c r="M1790" s="563">
        <f t="shared" si="83"/>
        <v>70.784999999999997</v>
      </c>
      <c r="N1790" s="580"/>
    </row>
    <row r="1791" spans="4:14" x14ac:dyDescent="0.25">
      <c r="D1791" s="559" t="s">
        <v>867</v>
      </c>
      <c r="E1791" s="558">
        <v>312373</v>
      </c>
      <c r="F1791" s="559">
        <v>302506</v>
      </c>
      <c r="G1791" s="558" t="s">
        <v>2233</v>
      </c>
      <c r="H1791" s="564">
        <v>40015</v>
      </c>
      <c r="I1791" s="563">
        <v>64.349999999999994</v>
      </c>
      <c r="J1791" s="563">
        <v>-64.349999999999994</v>
      </c>
      <c r="K1791" s="582">
        <f t="shared" si="81"/>
        <v>0</v>
      </c>
      <c r="L1791" s="563">
        <f t="shared" si="82"/>
        <v>0</v>
      </c>
      <c r="M1791" s="563">
        <f t="shared" si="83"/>
        <v>70.784999999999997</v>
      </c>
      <c r="N1791" s="580"/>
    </row>
    <row r="1792" spans="4:14" x14ac:dyDescent="0.25">
      <c r="D1792" s="559" t="s">
        <v>867</v>
      </c>
      <c r="E1792" s="558">
        <v>312374</v>
      </c>
      <c r="F1792" s="559">
        <v>302507</v>
      </c>
      <c r="G1792" s="558" t="s">
        <v>2233</v>
      </c>
      <c r="H1792" s="564">
        <v>40015</v>
      </c>
      <c r="I1792" s="563">
        <v>64.349999999999994</v>
      </c>
      <c r="J1792" s="563">
        <v>-64.349999999999994</v>
      </c>
      <c r="K1792" s="582">
        <f t="shared" si="81"/>
        <v>0</v>
      </c>
      <c r="L1792" s="563">
        <f t="shared" si="82"/>
        <v>0</v>
      </c>
      <c r="M1792" s="563">
        <f t="shared" si="83"/>
        <v>70.784999999999997</v>
      </c>
      <c r="N1792" s="580"/>
    </row>
    <row r="1793" spans="4:14" x14ac:dyDescent="0.25">
      <c r="D1793" s="559" t="s">
        <v>867</v>
      </c>
      <c r="E1793" s="558">
        <v>312375</v>
      </c>
      <c r="F1793" s="559">
        <v>302508</v>
      </c>
      <c r="G1793" s="558" t="s">
        <v>2234</v>
      </c>
      <c r="H1793" s="564">
        <v>40015</v>
      </c>
      <c r="I1793" s="563">
        <v>64.349999999999994</v>
      </c>
      <c r="J1793" s="563">
        <v>-64.349999999999994</v>
      </c>
      <c r="K1793" s="582">
        <f t="shared" si="81"/>
        <v>0</v>
      </c>
      <c r="L1793" s="563">
        <f t="shared" si="82"/>
        <v>0</v>
      </c>
      <c r="M1793" s="563">
        <f t="shared" si="83"/>
        <v>70.784999999999997</v>
      </c>
      <c r="N1793" s="580"/>
    </row>
    <row r="1794" spans="4:14" x14ac:dyDescent="0.25">
      <c r="D1794" s="559" t="s">
        <v>867</v>
      </c>
      <c r="E1794" s="558">
        <v>312376</v>
      </c>
      <c r="F1794" s="559">
        <v>302509</v>
      </c>
      <c r="G1794" s="558" t="s">
        <v>2234</v>
      </c>
      <c r="H1794" s="564">
        <v>40015</v>
      </c>
      <c r="I1794" s="563">
        <v>64.349999999999994</v>
      </c>
      <c r="J1794" s="563">
        <v>-64.349999999999994</v>
      </c>
      <c r="K1794" s="582">
        <f t="shared" si="81"/>
        <v>0</v>
      </c>
      <c r="L1794" s="563">
        <f t="shared" si="82"/>
        <v>0</v>
      </c>
      <c r="M1794" s="563">
        <f t="shared" si="83"/>
        <v>70.784999999999997</v>
      </c>
      <c r="N1794" s="580"/>
    </row>
    <row r="1795" spans="4:14" x14ac:dyDescent="0.25">
      <c r="D1795" s="559" t="s">
        <v>867</v>
      </c>
      <c r="E1795" s="558">
        <v>312377</v>
      </c>
      <c r="F1795" s="559">
        <v>302510</v>
      </c>
      <c r="G1795" s="558" t="s">
        <v>2234</v>
      </c>
      <c r="H1795" s="564">
        <v>40015</v>
      </c>
      <c r="I1795" s="563">
        <v>727.35</v>
      </c>
      <c r="J1795" s="563">
        <v>-585</v>
      </c>
      <c r="K1795" s="582">
        <f t="shared" si="81"/>
        <v>142.35000000000002</v>
      </c>
      <c r="L1795" s="563">
        <f t="shared" si="82"/>
        <v>156.58500000000004</v>
      </c>
      <c r="M1795" s="563">
        <f t="shared" si="83"/>
        <v>800.08500000000004</v>
      </c>
      <c r="N1795" s="580"/>
    </row>
    <row r="1796" spans="4:14" x14ac:dyDescent="0.25">
      <c r="D1796" s="559" t="s">
        <v>867</v>
      </c>
      <c r="E1796" s="558">
        <v>312378</v>
      </c>
      <c r="F1796" s="559">
        <v>302511</v>
      </c>
      <c r="G1796" s="558" t="s">
        <v>2234</v>
      </c>
      <c r="H1796" s="564">
        <v>40015</v>
      </c>
      <c r="I1796" s="563">
        <v>64.349999999999994</v>
      </c>
      <c r="J1796" s="563">
        <v>-64.349999999999994</v>
      </c>
      <c r="K1796" s="582">
        <f t="shared" si="81"/>
        <v>0</v>
      </c>
      <c r="L1796" s="563">
        <f t="shared" si="82"/>
        <v>0</v>
      </c>
      <c r="M1796" s="563">
        <f t="shared" si="83"/>
        <v>70.784999999999997</v>
      </c>
      <c r="N1796" s="580"/>
    </row>
    <row r="1797" spans="4:14" x14ac:dyDescent="0.25">
      <c r="D1797" s="559" t="s">
        <v>867</v>
      </c>
      <c r="E1797" s="558">
        <v>312380</v>
      </c>
      <c r="F1797" s="559">
        <v>302512</v>
      </c>
      <c r="G1797" s="558" t="s">
        <v>2234</v>
      </c>
      <c r="H1797" s="564">
        <v>40015</v>
      </c>
      <c r="I1797" s="563">
        <v>64.349999999999994</v>
      </c>
      <c r="J1797" s="563">
        <v>-64.349999999999994</v>
      </c>
      <c r="K1797" s="582">
        <f t="shared" si="81"/>
        <v>0</v>
      </c>
      <c r="L1797" s="563">
        <f t="shared" si="82"/>
        <v>0</v>
      </c>
      <c r="M1797" s="563">
        <f t="shared" si="83"/>
        <v>70.784999999999997</v>
      </c>
      <c r="N1797" s="580"/>
    </row>
    <row r="1798" spans="4:14" x14ac:dyDescent="0.25">
      <c r="D1798" s="559" t="s">
        <v>867</v>
      </c>
      <c r="E1798" s="558">
        <v>312381</v>
      </c>
      <c r="F1798" s="559">
        <v>302513</v>
      </c>
      <c r="G1798" s="558" t="s">
        <v>2235</v>
      </c>
      <c r="H1798" s="564">
        <v>40015</v>
      </c>
      <c r="I1798" s="563">
        <v>64.349999999999994</v>
      </c>
      <c r="J1798" s="563">
        <v>-64.349999999999994</v>
      </c>
      <c r="K1798" s="582">
        <f t="shared" si="81"/>
        <v>0</v>
      </c>
      <c r="L1798" s="563">
        <f t="shared" si="82"/>
        <v>0</v>
      </c>
      <c r="M1798" s="563">
        <f t="shared" si="83"/>
        <v>70.784999999999997</v>
      </c>
      <c r="N1798" s="580"/>
    </row>
    <row r="1799" spans="4:14" x14ac:dyDescent="0.25">
      <c r="D1799" s="559" t="s">
        <v>867</v>
      </c>
      <c r="E1799" s="558">
        <v>312382</v>
      </c>
      <c r="F1799" s="559">
        <v>302514</v>
      </c>
      <c r="G1799" s="558" t="s">
        <v>2235</v>
      </c>
      <c r="H1799" s="564">
        <v>40015</v>
      </c>
      <c r="I1799" s="563">
        <v>727.35</v>
      </c>
      <c r="J1799" s="563">
        <v>-585</v>
      </c>
      <c r="K1799" s="582">
        <f t="shared" si="81"/>
        <v>142.35000000000002</v>
      </c>
      <c r="L1799" s="563">
        <f t="shared" si="82"/>
        <v>156.58500000000004</v>
      </c>
      <c r="M1799" s="563">
        <f t="shared" si="83"/>
        <v>800.08500000000004</v>
      </c>
      <c r="N1799" s="580"/>
    </row>
    <row r="1800" spans="4:14" x14ac:dyDescent="0.25">
      <c r="D1800" s="559" t="s">
        <v>867</v>
      </c>
      <c r="E1800" s="558">
        <v>312383</v>
      </c>
      <c r="F1800" s="559">
        <v>302515</v>
      </c>
      <c r="G1800" s="558" t="s">
        <v>2235</v>
      </c>
      <c r="H1800" s="564">
        <v>40015</v>
      </c>
      <c r="I1800" s="563">
        <v>25.35</v>
      </c>
      <c r="J1800" s="563">
        <v>-25.35</v>
      </c>
      <c r="K1800" s="582">
        <f t="shared" si="81"/>
        <v>0</v>
      </c>
      <c r="L1800" s="563">
        <f t="shared" si="82"/>
        <v>0</v>
      </c>
      <c r="M1800" s="563">
        <f t="shared" si="83"/>
        <v>27.885000000000005</v>
      </c>
      <c r="N1800" s="580"/>
    </row>
    <row r="1801" spans="4:14" x14ac:dyDescent="0.25">
      <c r="D1801" s="559" t="s">
        <v>867</v>
      </c>
      <c r="E1801" s="558">
        <v>312384</v>
      </c>
      <c r="F1801" s="559">
        <v>302516</v>
      </c>
      <c r="G1801" s="558" t="s">
        <v>2235</v>
      </c>
      <c r="H1801" s="564">
        <v>40015</v>
      </c>
      <c r="I1801" s="563">
        <v>64.349999999999994</v>
      </c>
      <c r="J1801" s="563">
        <v>-64.349999999999994</v>
      </c>
      <c r="K1801" s="582">
        <f t="shared" si="81"/>
        <v>0</v>
      </c>
      <c r="L1801" s="563">
        <f t="shared" si="82"/>
        <v>0</v>
      </c>
      <c r="M1801" s="563">
        <f t="shared" si="83"/>
        <v>70.784999999999997</v>
      </c>
      <c r="N1801" s="580"/>
    </row>
    <row r="1802" spans="4:14" x14ac:dyDescent="0.25">
      <c r="D1802" s="559" t="s">
        <v>867</v>
      </c>
      <c r="E1802" s="558">
        <v>312385</v>
      </c>
      <c r="F1802" s="559">
        <v>302517</v>
      </c>
      <c r="G1802" s="558" t="s">
        <v>2235</v>
      </c>
      <c r="H1802" s="564">
        <v>40015</v>
      </c>
      <c r="I1802" s="563">
        <v>64.349999999999994</v>
      </c>
      <c r="J1802" s="563">
        <v>-64.349999999999994</v>
      </c>
      <c r="K1802" s="582">
        <f t="shared" si="81"/>
        <v>0</v>
      </c>
      <c r="L1802" s="563">
        <f t="shared" si="82"/>
        <v>0</v>
      </c>
      <c r="M1802" s="563">
        <f t="shared" si="83"/>
        <v>70.784999999999997</v>
      </c>
      <c r="N1802" s="580"/>
    </row>
    <row r="1803" spans="4:14" x14ac:dyDescent="0.25">
      <c r="D1803" s="559" t="s">
        <v>867</v>
      </c>
      <c r="E1803" s="558">
        <v>312386</v>
      </c>
      <c r="F1803" s="559">
        <v>302518</v>
      </c>
      <c r="G1803" s="558" t="s">
        <v>2236</v>
      </c>
      <c r="H1803" s="564">
        <v>40015</v>
      </c>
      <c r="I1803" s="563">
        <v>64.349999999999994</v>
      </c>
      <c r="J1803" s="563">
        <v>-64.349999999999994</v>
      </c>
      <c r="K1803" s="582">
        <f t="shared" si="81"/>
        <v>0</v>
      </c>
      <c r="L1803" s="563">
        <f t="shared" si="82"/>
        <v>0</v>
      </c>
      <c r="M1803" s="563">
        <f t="shared" si="83"/>
        <v>70.784999999999997</v>
      </c>
      <c r="N1803" s="580"/>
    </row>
    <row r="1804" spans="4:14" x14ac:dyDescent="0.25">
      <c r="D1804" s="559" t="s">
        <v>867</v>
      </c>
      <c r="E1804" s="558">
        <v>312387</v>
      </c>
      <c r="F1804" s="559">
        <v>302519</v>
      </c>
      <c r="G1804" s="558" t="s">
        <v>2236</v>
      </c>
      <c r="H1804" s="564">
        <v>40015</v>
      </c>
      <c r="I1804" s="563">
        <v>64.349999999999994</v>
      </c>
      <c r="J1804" s="563">
        <v>-64.349999999999994</v>
      </c>
      <c r="K1804" s="582">
        <f t="shared" si="81"/>
        <v>0</v>
      </c>
      <c r="L1804" s="563">
        <f t="shared" si="82"/>
        <v>0</v>
      </c>
      <c r="M1804" s="563">
        <f t="shared" si="83"/>
        <v>70.784999999999997</v>
      </c>
      <c r="N1804" s="580"/>
    </row>
    <row r="1805" spans="4:14" x14ac:dyDescent="0.25">
      <c r="D1805" s="559" t="s">
        <v>867</v>
      </c>
      <c r="E1805" s="558">
        <v>312388</v>
      </c>
      <c r="F1805" s="559">
        <v>302520</v>
      </c>
      <c r="G1805" s="558" t="s">
        <v>2236</v>
      </c>
      <c r="H1805" s="564">
        <v>40015</v>
      </c>
      <c r="I1805" s="563">
        <v>64.349999999999994</v>
      </c>
      <c r="J1805" s="563">
        <v>-64.349999999999994</v>
      </c>
      <c r="K1805" s="582">
        <f t="shared" si="81"/>
        <v>0</v>
      </c>
      <c r="L1805" s="563">
        <f t="shared" si="82"/>
        <v>0</v>
      </c>
      <c r="M1805" s="563">
        <f t="shared" si="83"/>
        <v>70.784999999999997</v>
      </c>
      <c r="N1805" s="580"/>
    </row>
    <row r="1806" spans="4:14" x14ac:dyDescent="0.25">
      <c r="D1806" s="559" t="s">
        <v>867</v>
      </c>
      <c r="E1806" s="558">
        <v>312389</v>
      </c>
      <c r="F1806" s="559">
        <v>302521</v>
      </c>
      <c r="G1806" s="558" t="s">
        <v>2236</v>
      </c>
      <c r="H1806" s="564">
        <v>40015</v>
      </c>
      <c r="I1806" s="563">
        <v>64.349999999999994</v>
      </c>
      <c r="J1806" s="563">
        <v>-64.349999999999994</v>
      </c>
      <c r="K1806" s="582">
        <f t="shared" si="81"/>
        <v>0</v>
      </c>
      <c r="L1806" s="563">
        <f t="shared" si="82"/>
        <v>0</v>
      </c>
      <c r="M1806" s="563">
        <f t="shared" si="83"/>
        <v>70.784999999999997</v>
      </c>
      <c r="N1806" s="580"/>
    </row>
    <row r="1807" spans="4:14" x14ac:dyDescent="0.25">
      <c r="D1807" s="559" t="s">
        <v>867</v>
      </c>
      <c r="E1807" s="558">
        <v>312390</v>
      </c>
      <c r="F1807" s="559">
        <v>302522</v>
      </c>
      <c r="G1807" s="558" t="s">
        <v>2236</v>
      </c>
      <c r="H1807" s="564">
        <v>40015</v>
      </c>
      <c r="I1807" s="563">
        <v>64.349999999999994</v>
      </c>
      <c r="J1807" s="563">
        <v>-64.349999999999994</v>
      </c>
      <c r="K1807" s="582">
        <f t="shared" si="81"/>
        <v>0</v>
      </c>
      <c r="L1807" s="563">
        <f t="shared" si="82"/>
        <v>0</v>
      </c>
      <c r="M1807" s="563">
        <f t="shared" si="83"/>
        <v>70.784999999999997</v>
      </c>
      <c r="N1807" s="580"/>
    </row>
    <row r="1808" spans="4:14" x14ac:dyDescent="0.25">
      <c r="D1808" s="559" t="s">
        <v>867</v>
      </c>
      <c r="E1808" s="558">
        <v>312391</v>
      </c>
      <c r="F1808" s="559">
        <v>302523</v>
      </c>
      <c r="G1808" s="558" t="s">
        <v>2237</v>
      </c>
      <c r="H1808" s="564">
        <v>40015</v>
      </c>
      <c r="I1808" s="563">
        <v>64.349999999999994</v>
      </c>
      <c r="J1808" s="563">
        <v>-64.349999999999994</v>
      </c>
      <c r="K1808" s="582">
        <f t="shared" si="81"/>
        <v>0</v>
      </c>
      <c r="L1808" s="563">
        <f t="shared" si="82"/>
        <v>0</v>
      </c>
      <c r="M1808" s="563">
        <f t="shared" si="83"/>
        <v>70.784999999999997</v>
      </c>
      <c r="N1808" s="580"/>
    </row>
    <row r="1809" spans="4:14" x14ac:dyDescent="0.25">
      <c r="D1809" s="559" t="s">
        <v>867</v>
      </c>
      <c r="E1809" s="558">
        <v>312392</v>
      </c>
      <c r="F1809" s="559">
        <v>302524</v>
      </c>
      <c r="G1809" s="558" t="s">
        <v>2237</v>
      </c>
      <c r="H1809" s="564">
        <v>40015</v>
      </c>
      <c r="I1809" s="563">
        <v>64.349999999999994</v>
      </c>
      <c r="J1809" s="563">
        <v>-64.349999999999994</v>
      </c>
      <c r="K1809" s="582">
        <f t="shared" si="81"/>
        <v>0</v>
      </c>
      <c r="L1809" s="563">
        <f t="shared" si="82"/>
        <v>0</v>
      </c>
      <c r="M1809" s="563">
        <f t="shared" si="83"/>
        <v>70.784999999999997</v>
      </c>
      <c r="N1809" s="580"/>
    </row>
    <row r="1810" spans="4:14" x14ac:dyDescent="0.25">
      <c r="D1810" s="559" t="s">
        <v>867</v>
      </c>
      <c r="E1810" s="558">
        <v>312393</v>
      </c>
      <c r="F1810" s="559">
        <v>302525</v>
      </c>
      <c r="G1810" s="558" t="s">
        <v>2237</v>
      </c>
      <c r="H1810" s="564">
        <v>40015</v>
      </c>
      <c r="I1810" s="563">
        <v>64.349999999999994</v>
      </c>
      <c r="J1810" s="563">
        <v>-64.349999999999994</v>
      </c>
      <c r="K1810" s="582">
        <f t="shared" si="81"/>
        <v>0</v>
      </c>
      <c r="L1810" s="563">
        <f t="shared" si="82"/>
        <v>0</v>
      </c>
      <c r="M1810" s="563">
        <f t="shared" si="83"/>
        <v>70.784999999999997</v>
      </c>
      <c r="N1810" s="580"/>
    </row>
    <row r="1811" spans="4:14" x14ac:dyDescent="0.25">
      <c r="D1811" s="559" t="s">
        <v>867</v>
      </c>
      <c r="E1811" s="558">
        <v>312394</v>
      </c>
      <c r="F1811" s="559">
        <v>302526</v>
      </c>
      <c r="G1811" s="558" t="s">
        <v>2237</v>
      </c>
      <c r="H1811" s="564">
        <v>40015</v>
      </c>
      <c r="I1811" s="563">
        <v>649.35</v>
      </c>
      <c r="J1811" s="563">
        <v>-585</v>
      </c>
      <c r="K1811" s="582">
        <f t="shared" si="81"/>
        <v>64.350000000000023</v>
      </c>
      <c r="L1811" s="563">
        <f t="shared" si="82"/>
        <v>70.785000000000025</v>
      </c>
      <c r="M1811" s="563">
        <f t="shared" si="83"/>
        <v>714.28500000000008</v>
      </c>
      <c r="N1811" s="580"/>
    </row>
    <row r="1812" spans="4:14" x14ac:dyDescent="0.25">
      <c r="D1812" s="559" t="s">
        <v>867</v>
      </c>
      <c r="E1812" s="558">
        <v>312395</v>
      </c>
      <c r="F1812" s="559">
        <v>302527</v>
      </c>
      <c r="G1812" s="558" t="s">
        <v>2237</v>
      </c>
      <c r="H1812" s="564">
        <v>40015</v>
      </c>
      <c r="I1812" s="563">
        <v>64.349999999999994</v>
      </c>
      <c r="J1812" s="563">
        <v>-64.349999999999994</v>
      </c>
      <c r="K1812" s="582">
        <f t="shared" si="81"/>
        <v>0</v>
      </c>
      <c r="L1812" s="563">
        <f t="shared" si="82"/>
        <v>0</v>
      </c>
      <c r="M1812" s="563">
        <f t="shared" si="83"/>
        <v>70.784999999999997</v>
      </c>
      <c r="N1812" s="580"/>
    </row>
    <row r="1813" spans="4:14" x14ac:dyDescent="0.25">
      <c r="D1813" s="559" t="s">
        <v>867</v>
      </c>
      <c r="E1813" s="558">
        <v>312396</v>
      </c>
      <c r="F1813" s="559">
        <v>302528</v>
      </c>
      <c r="G1813" s="558" t="s">
        <v>2238</v>
      </c>
      <c r="H1813" s="564">
        <v>40015</v>
      </c>
      <c r="I1813" s="563">
        <v>64.349999999999994</v>
      </c>
      <c r="J1813" s="563">
        <v>-64.349999999999994</v>
      </c>
      <c r="K1813" s="582">
        <f t="shared" si="81"/>
        <v>0</v>
      </c>
      <c r="L1813" s="563">
        <f t="shared" si="82"/>
        <v>0</v>
      </c>
      <c r="M1813" s="563">
        <f t="shared" si="83"/>
        <v>70.784999999999997</v>
      </c>
      <c r="N1813" s="580"/>
    </row>
    <row r="1814" spans="4:14" x14ac:dyDescent="0.25">
      <c r="D1814" s="559" t="s">
        <v>867</v>
      </c>
      <c r="E1814" s="558">
        <v>312397</v>
      </c>
      <c r="F1814" s="559">
        <v>302529</v>
      </c>
      <c r="G1814" s="558" t="s">
        <v>2238</v>
      </c>
      <c r="H1814" s="564">
        <v>40015</v>
      </c>
      <c r="I1814" s="563">
        <v>64.349999999999994</v>
      </c>
      <c r="J1814" s="563">
        <v>-64.349999999999994</v>
      </c>
      <c r="K1814" s="582">
        <f t="shared" si="81"/>
        <v>0</v>
      </c>
      <c r="L1814" s="563">
        <f t="shared" si="82"/>
        <v>0</v>
      </c>
      <c r="M1814" s="563">
        <f t="shared" si="83"/>
        <v>70.784999999999997</v>
      </c>
      <c r="N1814" s="580"/>
    </row>
    <row r="1815" spans="4:14" x14ac:dyDescent="0.25">
      <c r="D1815" s="559" t="s">
        <v>867</v>
      </c>
      <c r="E1815" s="558">
        <v>312398</v>
      </c>
      <c r="F1815" s="559">
        <v>302530</v>
      </c>
      <c r="G1815" s="558" t="s">
        <v>2238</v>
      </c>
      <c r="H1815" s="564">
        <v>40015</v>
      </c>
      <c r="I1815" s="563">
        <v>64.349999999999994</v>
      </c>
      <c r="J1815" s="563">
        <v>-64.349999999999994</v>
      </c>
      <c r="K1815" s="582">
        <f t="shared" si="81"/>
        <v>0</v>
      </c>
      <c r="L1815" s="563">
        <f t="shared" si="82"/>
        <v>0</v>
      </c>
      <c r="M1815" s="563">
        <f t="shared" si="83"/>
        <v>70.784999999999997</v>
      </c>
      <c r="N1815" s="580"/>
    </row>
    <row r="1816" spans="4:14" x14ac:dyDescent="0.25">
      <c r="D1816" s="559" t="s">
        <v>867</v>
      </c>
      <c r="E1816" s="558">
        <v>312399</v>
      </c>
      <c r="F1816" s="559">
        <v>302531</v>
      </c>
      <c r="G1816" s="558" t="s">
        <v>2238</v>
      </c>
      <c r="H1816" s="564">
        <v>40015</v>
      </c>
      <c r="I1816" s="563">
        <v>64.349999999999994</v>
      </c>
      <c r="J1816" s="563">
        <v>-64.349999999999994</v>
      </c>
      <c r="K1816" s="582">
        <f t="shared" si="81"/>
        <v>0</v>
      </c>
      <c r="L1816" s="563">
        <f t="shared" si="82"/>
        <v>0</v>
      </c>
      <c r="M1816" s="563">
        <f t="shared" si="83"/>
        <v>70.784999999999997</v>
      </c>
      <c r="N1816" s="580"/>
    </row>
    <row r="1817" spans="4:14" x14ac:dyDescent="0.25">
      <c r="D1817" s="559" t="s">
        <v>867</v>
      </c>
      <c r="E1817" s="558">
        <v>312400</v>
      </c>
      <c r="F1817" s="559">
        <v>302532</v>
      </c>
      <c r="G1817" s="558" t="s">
        <v>2238</v>
      </c>
      <c r="H1817" s="564">
        <v>40015</v>
      </c>
      <c r="I1817" s="563">
        <v>64.349999999999994</v>
      </c>
      <c r="J1817" s="563">
        <v>-64.349999999999994</v>
      </c>
      <c r="K1817" s="582">
        <f t="shared" si="81"/>
        <v>0</v>
      </c>
      <c r="L1817" s="563">
        <f t="shared" si="82"/>
        <v>0</v>
      </c>
      <c r="M1817" s="563">
        <f t="shared" si="83"/>
        <v>70.784999999999997</v>
      </c>
      <c r="N1817" s="580"/>
    </row>
    <row r="1818" spans="4:14" x14ac:dyDescent="0.25">
      <c r="D1818" s="559" t="s">
        <v>867</v>
      </c>
      <c r="E1818" s="558">
        <v>312401</v>
      </c>
      <c r="F1818" s="559">
        <v>302533</v>
      </c>
      <c r="G1818" s="558" t="s">
        <v>2239</v>
      </c>
      <c r="H1818" s="564">
        <v>40015</v>
      </c>
      <c r="I1818" s="563">
        <v>64.349999999999994</v>
      </c>
      <c r="J1818" s="563">
        <v>-64.349999999999994</v>
      </c>
      <c r="K1818" s="582">
        <f t="shared" si="81"/>
        <v>0</v>
      </c>
      <c r="L1818" s="563">
        <f t="shared" si="82"/>
        <v>0</v>
      </c>
      <c r="M1818" s="563">
        <f t="shared" si="83"/>
        <v>70.784999999999997</v>
      </c>
      <c r="N1818" s="580"/>
    </row>
    <row r="1819" spans="4:14" x14ac:dyDescent="0.25">
      <c r="D1819" s="559" t="s">
        <v>867</v>
      </c>
      <c r="E1819" s="558">
        <v>312402</v>
      </c>
      <c r="F1819" s="559">
        <v>302243</v>
      </c>
      <c r="G1819" s="558" t="s">
        <v>2239</v>
      </c>
      <c r="H1819" s="564">
        <v>40015</v>
      </c>
      <c r="I1819" s="563">
        <v>64.349999999999994</v>
      </c>
      <c r="J1819" s="563">
        <v>-64.349999999999994</v>
      </c>
      <c r="K1819" s="582">
        <f t="shared" si="81"/>
        <v>0</v>
      </c>
      <c r="L1819" s="563">
        <f t="shared" si="82"/>
        <v>0</v>
      </c>
      <c r="M1819" s="563">
        <f t="shared" si="83"/>
        <v>70.784999999999997</v>
      </c>
      <c r="N1819" s="580"/>
    </row>
    <row r="1820" spans="4:14" x14ac:dyDescent="0.25">
      <c r="D1820" s="559" t="s">
        <v>867</v>
      </c>
      <c r="E1820" s="558">
        <v>312403</v>
      </c>
      <c r="F1820" s="559">
        <v>302534</v>
      </c>
      <c r="G1820" s="558" t="s">
        <v>2239</v>
      </c>
      <c r="H1820" s="564">
        <v>40015</v>
      </c>
      <c r="I1820" s="563">
        <v>64.349999999999994</v>
      </c>
      <c r="J1820" s="563">
        <v>-64.349999999999994</v>
      </c>
      <c r="K1820" s="582">
        <f t="shared" si="81"/>
        <v>0</v>
      </c>
      <c r="L1820" s="563">
        <f t="shared" si="82"/>
        <v>0</v>
      </c>
      <c r="M1820" s="563">
        <f t="shared" si="83"/>
        <v>70.784999999999997</v>
      </c>
      <c r="N1820" s="580"/>
    </row>
    <row r="1821" spans="4:14" x14ac:dyDescent="0.25">
      <c r="D1821" s="559" t="s">
        <v>867</v>
      </c>
      <c r="E1821" s="558">
        <v>312404</v>
      </c>
      <c r="F1821" s="559">
        <v>302535</v>
      </c>
      <c r="G1821" s="558" t="s">
        <v>2239</v>
      </c>
      <c r="H1821" s="564">
        <v>40015</v>
      </c>
      <c r="I1821" s="563">
        <v>64.349999999999994</v>
      </c>
      <c r="J1821" s="563">
        <v>-64.349999999999994</v>
      </c>
      <c r="K1821" s="582">
        <f t="shared" si="81"/>
        <v>0</v>
      </c>
      <c r="L1821" s="563">
        <f t="shared" si="82"/>
        <v>0</v>
      </c>
      <c r="M1821" s="563">
        <f t="shared" si="83"/>
        <v>70.784999999999997</v>
      </c>
      <c r="N1821" s="580"/>
    </row>
    <row r="1822" spans="4:14" x14ac:dyDescent="0.25">
      <c r="D1822" s="559" t="s">
        <v>867</v>
      </c>
      <c r="E1822" s="558">
        <v>312405</v>
      </c>
      <c r="F1822" s="559">
        <v>302536</v>
      </c>
      <c r="G1822" s="558" t="s">
        <v>2239</v>
      </c>
      <c r="H1822" s="564">
        <v>40015</v>
      </c>
      <c r="I1822" s="563">
        <v>64.349999999999994</v>
      </c>
      <c r="J1822" s="563">
        <v>-64.349999999999994</v>
      </c>
      <c r="K1822" s="582">
        <f t="shared" si="81"/>
        <v>0</v>
      </c>
      <c r="L1822" s="563">
        <f t="shared" si="82"/>
        <v>0</v>
      </c>
      <c r="M1822" s="563">
        <f t="shared" si="83"/>
        <v>70.784999999999997</v>
      </c>
      <c r="N1822" s="580"/>
    </row>
    <row r="1823" spans="4:14" x14ac:dyDescent="0.25">
      <c r="D1823" s="559" t="s">
        <v>867</v>
      </c>
      <c r="E1823" s="558">
        <v>312406</v>
      </c>
      <c r="F1823" s="559">
        <v>302537</v>
      </c>
      <c r="G1823" s="558" t="s">
        <v>2240</v>
      </c>
      <c r="H1823" s="564">
        <v>40015</v>
      </c>
      <c r="I1823" s="563">
        <v>649.35</v>
      </c>
      <c r="J1823" s="563">
        <v>-585</v>
      </c>
      <c r="K1823" s="582">
        <f t="shared" si="81"/>
        <v>64.350000000000023</v>
      </c>
      <c r="L1823" s="563">
        <f t="shared" si="82"/>
        <v>70.785000000000025</v>
      </c>
      <c r="M1823" s="563">
        <f t="shared" si="83"/>
        <v>714.28500000000008</v>
      </c>
      <c r="N1823" s="580"/>
    </row>
    <row r="1824" spans="4:14" x14ac:dyDescent="0.25">
      <c r="D1824" s="559" t="s">
        <v>867</v>
      </c>
      <c r="E1824" s="558">
        <v>312407</v>
      </c>
      <c r="F1824" s="559">
        <v>302538</v>
      </c>
      <c r="G1824" s="558" t="s">
        <v>2240</v>
      </c>
      <c r="H1824" s="564">
        <v>40015</v>
      </c>
      <c r="I1824" s="563">
        <v>64.349999999999994</v>
      </c>
      <c r="J1824" s="563">
        <v>-64.349999999999994</v>
      </c>
      <c r="K1824" s="582">
        <f t="shared" si="81"/>
        <v>0</v>
      </c>
      <c r="L1824" s="563">
        <f t="shared" si="82"/>
        <v>0</v>
      </c>
      <c r="M1824" s="563">
        <f t="shared" si="83"/>
        <v>70.784999999999997</v>
      </c>
      <c r="N1824" s="580"/>
    </row>
    <row r="1825" spans="4:14" x14ac:dyDescent="0.25">
      <c r="D1825" s="559" t="s">
        <v>867</v>
      </c>
      <c r="E1825" s="558">
        <v>312408</v>
      </c>
      <c r="F1825" s="559">
        <v>302539</v>
      </c>
      <c r="G1825" s="558" t="s">
        <v>2240</v>
      </c>
      <c r="H1825" s="564">
        <v>40015</v>
      </c>
      <c r="I1825" s="563">
        <v>64.349999999999994</v>
      </c>
      <c r="J1825" s="563">
        <v>-64.349999999999994</v>
      </c>
      <c r="K1825" s="582">
        <f t="shared" si="81"/>
        <v>0</v>
      </c>
      <c r="L1825" s="563">
        <f t="shared" si="82"/>
        <v>0</v>
      </c>
      <c r="M1825" s="563">
        <f t="shared" si="83"/>
        <v>70.784999999999997</v>
      </c>
      <c r="N1825" s="580"/>
    </row>
    <row r="1826" spans="4:14" x14ac:dyDescent="0.25">
      <c r="D1826" s="559" t="s">
        <v>867</v>
      </c>
      <c r="E1826" s="558">
        <v>312409</v>
      </c>
      <c r="F1826" s="559">
        <v>302540</v>
      </c>
      <c r="G1826" s="558" t="s">
        <v>2240</v>
      </c>
      <c r="H1826" s="564">
        <v>40015</v>
      </c>
      <c r="I1826" s="563">
        <v>64.349999999999994</v>
      </c>
      <c r="J1826" s="563">
        <v>-64.349999999999994</v>
      </c>
      <c r="K1826" s="582">
        <f t="shared" si="81"/>
        <v>0</v>
      </c>
      <c r="L1826" s="563">
        <f t="shared" si="82"/>
        <v>0</v>
      </c>
      <c r="M1826" s="563">
        <f t="shared" si="83"/>
        <v>70.784999999999997</v>
      </c>
      <c r="N1826" s="580"/>
    </row>
    <row r="1827" spans="4:14" x14ac:dyDescent="0.25">
      <c r="D1827" s="559" t="s">
        <v>867</v>
      </c>
      <c r="E1827" s="558">
        <v>312410</v>
      </c>
      <c r="F1827" s="559">
        <v>302541</v>
      </c>
      <c r="G1827" s="558" t="s">
        <v>2240</v>
      </c>
      <c r="H1827" s="564">
        <v>40015</v>
      </c>
      <c r="I1827" s="563">
        <v>64.349999999999994</v>
      </c>
      <c r="J1827" s="563">
        <v>-64.349999999999994</v>
      </c>
      <c r="K1827" s="582">
        <f t="shared" si="81"/>
        <v>0</v>
      </c>
      <c r="L1827" s="563">
        <f t="shared" si="82"/>
        <v>0</v>
      </c>
      <c r="M1827" s="563">
        <f t="shared" si="83"/>
        <v>70.784999999999997</v>
      </c>
      <c r="N1827" s="580"/>
    </row>
    <row r="1828" spans="4:14" x14ac:dyDescent="0.25">
      <c r="D1828" s="559" t="s">
        <v>867</v>
      </c>
      <c r="E1828" s="558">
        <v>312411</v>
      </c>
      <c r="F1828" s="559">
        <v>302542</v>
      </c>
      <c r="G1828" s="558" t="s">
        <v>2241</v>
      </c>
      <c r="H1828" s="564">
        <v>40015</v>
      </c>
      <c r="I1828" s="563">
        <v>649.35</v>
      </c>
      <c r="J1828" s="563">
        <v>-585</v>
      </c>
      <c r="K1828" s="582">
        <f t="shared" si="81"/>
        <v>64.350000000000023</v>
      </c>
      <c r="L1828" s="563">
        <f t="shared" si="82"/>
        <v>70.785000000000025</v>
      </c>
      <c r="M1828" s="563">
        <f t="shared" si="83"/>
        <v>714.28500000000008</v>
      </c>
      <c r="N1828" s="580"/>
    </row>
    <row r="1829" spans="4:14" x14ac:dyDescent="0.25">
      <c r="D1829" s="559" t="s">
        <v>867</v>
      </c>
      <c r="E1829" s="558">
        <v>312412</v>
      </c>
      <c r="F1829" s="559">
        <v>302543</v>
      </c>
      <c r="G1829" s="558" t="s">
        <v>2241</v>
      </c>
      <c r="H1829" s="564">
        <v>40015</v>
      </c>
      <c r="I1829" s="563">
        <v>64.349999999999994</v>
      </c>
      <c r="J1829" s="563">
        <v>-64.349999999999994</v>
      </c>
      <c r="K1829" s="582">
        <f t="shared" si="81"/>
        <v>0</v>
      </c>
      <c r="L1829" s="563">
        <f t="shared" si="82"/>
        <v>0</v>
      </c>
      <c r="M1829" s="563">
        <f t="shared" si="83"/>
        <v>70.784999999999997</v>
      </c>
      <c r="N1829" s="580"/>
    </row>
    <row r="1830" spans="4:14" x14ac:dyDescent="0.25">
      <c r="D1830" s="559" t="s">
        <v>867</v>
      </c>
      <c r="E1830" s="558">
        <v>312413</v>
      </c>
      <c r="F1830" s="559">
        <v>302544</v>
      </c>
      <c r="G1830" s="558" t="s">
        <v>2241</v>
      </c>
      <c r="H1830" s="564">
        <v>40015</v>
      </c>
      <c r="I1830" s="563">
        <v>64.349999999999994</v>
      </c>
      <c r="J1830" s="563">
        <v>-64.349999999999994</v>
      </c>
      <c r="K1830" s="582">
        <f t="shared" si="81"/>
        <v>0</v>
      </c>
      <c r="L1830" s="563">
        <f t="shared" si="82"/>
        <v>0</v>
      </c>
      <c r="M1830" s="563">
        <f t="shared" si="83"/>
        <v>70.784999999999997</v>
      </c>
      <c r="N1830" s="580"/>
    </row>
    <row r="1831" spans="4:14" x14ac:dyDescent="0.25">
      <c r="D1831" s="559" t="s">
        <v>867</v>
      </c>
      <c r="E1831" s="558">
        <v>312414</v>
      </c>
      <c r="F1831" s="559">
        <v>302545</v>
      </c>
      <c r="G1831" s="558" t="s">
        <v>2241</v>
      </c>
      <c r="H1831" s="564">
        <v>40015</v>
      </c>
      <c r="I1831" s="563">
        <v>727.35</v>
      </c>
      <c r="J1831" s="563">
        <v>-585</v>
      </c>
      <c r="K1831" s="582">
        <f t="shared" si="81"/>
        <v>142.35000000000002</v>
      </c>
      <c r="L1831" s="563">
        <f t="shared" si="82"/>
        <v>156.58500000000004</v>
      </c>
      <c r="M1831" s="563">
        <f t="shared" si="83"/>
        <v>800.08500000000004</v>
      </c>
      <c r="N1831" s="580"/>
    </row>
    <row r="1832" spans="4:14" x14ac:dyDescent="0.25">
      <c r="D1832" s="559" t="s">
        <v>867</v>
      </c>
      <c r="E1832" s="558">
        <v>312415</v>
      </c>
      <c r="F1832" s="559">
        <v>302546</v>
      </c>
      <c r="G1832" s="558" t="s">
        <v>2241</v>
      </c>
      <c r="H1832" s="564">
        <v>40015</v>
      </c>
      <c r="I1832" s="563">
        <v>64.349999999999994</v>
      </c>
      <c r="J1832" s="563">
        <v>-64.349999999999994</v>
      </c>
      <c r="K1832" s="582">
        <f t="shared" si="81"/>
        <v>0</v>
      </c>
      <c r="L1832" s="563">
        <f t="shared" si="82"/>
        <v>0</v>
      </c>
      <c r="M1832" s="563">
        <f t="shared" si="83"/>
        <v>70.784999999999997</v>
      </c>
      <c r="N1832" s="580"/>
    </row>
    <row r="1833" spans="4:14" x14ac:dyDescent="0.25">
      <c r="D1833" s="559" t="s">
        <v>867</v>
      </c>
      <c r="E1833" s="558">
        <v>312416</v>
      </c>
      <c r="F1833" s="559">
        <v>302547</v>
      </c>
      <c r="G1833" s="558" t="s">
        <v>2242</v>
      </c>
      <c r="H1833" s="564">
        <v>40015</v>
      </c>
      <c r="I1833" s="563">
        <v>64.349999999999994</v>
      </c>
      <c r="J1833" s="563">
        <v>-64.349999999999994</v>
      </c>
      <c r="K1833" s="582">
        <f t="shared" ref="K1833:K1896" si="84">+I1833+J1833</f>
        <v>0</v>
      </c>
      <c r="L1833" s="563">
        <f t="shared" ref="L1833:L1896" si="85">+K1833*1.1</f>
        <v>0</v>
      </c>
      <c r="M1833" s="563">
        <f t="shared" ref="M1833:M1896" si="86">+I1833*1.1</f>
        <v>70.784999999999997</v>
      </c>
      <c r="N1833" s="580"/>
    </row>
    <row r="1834" spans="4:14" x14ac:dyDescent="0.25">
      <c r="D1834" s="559" t="s">
        <v>867</v>
      </c>
      <c r="E1834" s="558">
        <v>312417</v>
      </c>
      <c r="F1834" s="559">
        <v>302548</v>
      </c>
      <c r="G1834" s="558" t="s">
        <v>2242</v>
      </c>
      <c r="H1834" s="564">
        <v>40015</v>
      </c>
      <c r="I1834" s="563">
        <v>64.349999999999994</v>
      </c>
      <c r="J1834" s="563">
        <v>-64.349999999999994</v>
      </c>
      <c r="K1834" s="582">
        <f t="shared" si="84"/>
        <v>0</v>
      </c>
      <c r="L1834" s="563">
        <f t="shared" si="85"/>
        <v>0</v>
      </c>
      <c r="M1834" s="563">
        <f t="shared" si="86"/>
        <v>70.784999999999997</v>
      </c>
      <c r="N1834" s="580"/>
    </row>
    <row r="1835" spans="4:14" x14ac:dyDescent="0.25">
      <c r="D1835" s="559" t="s">
        <v>867</v>
      </c>
      <c r="E1835" s="558">
        <v>312418</v>
      </c>
      <c r="F1835" s="559">
        <v>302549</v>
      </c>
      <c r="G1835" s="558" t="s">
        <v>2242</v>
      </c>
      <c r="H1835" s="564">
        <v>40015</v>
      </c>
      <c r="I1835" s="563">
        <v>64.349999999999994</v>
      </c>
      <c r="J1835" s="563">
        <v>-64.349999999999994</v>
      </c>
      <c r="K1835" s="582">
        <f t="shared" si="84"/>
        <v>0</v>
      </c>
      <c r="L1835" s="563">
        <f t="shared" si="85"/>
        <v>0</v>
      </c>
      <c r="M1835" s="563">
        <f t="shared" si="86"/>
        <v>70.784999999999997</v>
      </c>
      <c r="N1835" s="580"/>
    </row>
    <row r="1836" spans="4:14" x14ac:dyDescent="0.25">
      <c r="D1836" s="559" t="s">
        <v>867</v>
      </c>
      <c r="E1836" s="558">
        <v>312419</v>
      </c>
      <c r="F1836" s="559">
        <v>302550</v>
      </c>
      <c r="G1836" s="558" t="s">
        <v>2242</v>
      </c>
      <c r="H1836" s="564">
        <v>40015</v>
      </c>
      <c r="I1836" s="563">
        <v>64.349999999999994</v>
      </c>
      <c r="J1836" s="563">
        <v>-64.349999999999994</v>
      </c>
      <c r="K1836" s="582">
        <f t="shared" si="84"/>
        <v>0</v>
      </c>
      <c r="L1836" s="563">
        <f t="shared" si="85"/>
        <v>0</v>
      </c>
      <c r="M1836" s="563">
        <f t="shared" si="86"/>
        <v>70.784999999999997</v>
      </c>
      <c r="N1836" s="580"/>
    </row>
    <row r="1837" spans="4:14" x14ac:dyDescent="0.25">
      <c r="D1837" s="559" t="s">
        <v>867</v>
      </c>
      <c r="E1837" s="558">
        <v>312420</v>
      </c>
      <c r="F1837" s="559">
        <v>302551</v>
      </c>
      <c r="G1837" s="558" t="s">
        <v>2242</v>
      </c>
      <c r="H1837" s="564">
        <v>40015</v>
      </c>
      <c r="I1837" s="563">
        <v>64.349999999999994</v>
      </c>
      <c r="J1837" s="563">
        <v>-64.349999999999994</v>
      </c>
      <c r="K1837" s="582">
        <f t="shared" si="84"/>
        <v>0</v>
      </c>
      <c r="L1837" s="563">
        <f t="shared" si="85"/>
        <v>0</v>
      </c>
      <c r="M1837" s="563">
        <f t="shared" si="86"/>
        <v>70.784999999999997</v>
      </c>
      <c r="N1837" s="580"/>
    </row>
    <row r="1838" spans="4:14" x14ac:dyDescent="0.25">
      <c r="D1838" s="559" t="s">
        <v>867</v>
      </c>
      <c r="E1838" s="558">
        <v>312421</v>
      </c>
      <c r="F1838" s="559">
        <v>300716</v>
      </c>
      <c r="G1838" s="558" t="s">
        <v>2243</v>
      </c>
      <c r="H1838" s="564">
        <v>40015</v>
      </c>
      <c r="I1838" s="563">
        <v>64.349999999999994</v>
      </c>
      <c r="J1838" s="563">
        <v>-64.349999999999994</v>
      </c>
      <c r="K1838" s="582">
        <f t="shared" si="84"/>
        <v>0</v>
      </c>
      <c r="L1838" s="563">
        <f t="shared" si="85"/>
        <v>0</v>
      </c>
      <c r="M1838" s="563">
        <f t="shared" si="86"/>
        <v>70.784999999999997</v>
      </c>
      <c r="N1838" s="580"/>
    </row>
    <row r="1839" spans="4:14" x14ac:dyDescent="0.25">
      <c r="D1839" s="559" t="s">
        <v>867</v>
      </c>
      <c r="E1839" s="558">
        <v>312422</v>
      </c>
      <c r="F1839" s="559">
        <v>302552</v>
      </c>
      <c r="G1839" s="558" t="s">
        <v>2243</v>
      </c>
      <c r="H1839" s="564">
        <v>40015</v>
      </c>
      <c r="I1839" s="563">
        <v>64.349999999999994</v>
      </c>
      <c r="J1839" s="563">
        <v>-64.349999999999994</v>
      </c>
      <c r="K1839" s="582">
        <f t="shared" si="84"/>
        <v>0</v>
      </c>
      <c r="L1839" s="563">
        <f t="shared" si="85"/>
        <v>0</v>
      </c>
      <c r="M1839" s="563">
        <f t="shared" si="86"/>
        <v>70.784999999999997</v>
      </c>
      <c r="N1839" s="580"/>
    </row>
    <row r="1840" spans="4:14" x14ac:dyDescent="0.25">
      <c r="D1840" s="559" t="s">
        <v>867</v>
      </c>
      <c r="E1840" s="558">
        <v>312423</v>
      </c>
      <c r="F1840" s="559">
        <v>302553</v>
      </c>
      <c r="G1840" s="558" t="s">
        <v>2243</v>
      </c>
      <c r="H1840" s="564">
        <v>40015</v>
      </c>
      <c r="I1840" s="563">
        <v>64.349999999999994</v>
      </c>
      <c r="J1840" s="563">
        <v>-64.349999999999994</v>
      </c>
      <c r="K1840" s="582">
        <f t="shared" si="84"/>
        <v>0</v>
      </c>
      <c r="L1840" s="563">
        <f t="shared" si="85"/>
        <v>0</v>
      </c>
      <c r="M1840" s="563">
        <f t="shared" si="86"/>
        <v>70.784999999999997</v>
      </c>
      <c r="N1840" s="580"/>
    </row>
    <row r="1841" spans="4:14" x14ac:dyDescent="0.25">
      <c r="D1841" s="559" t="s">
        <v>867</v>
      </c>
      <c r="E1841" s="558">
        <v>312424</v>
      </c>
      <c r="F1841" s="559">
        <v>302554</v>
      </c>
      <c r="G1841" s="558" t="s">
        <v>2243</v>
      </c>
      <c r="H1841" s="564">
        <v>40015</v>
      </c>
      <c r="I1841" s="563">
        <v>64.349999999999994</v>
      </c>
      <c r="J1841" s="563">
        <v>-64.349999999999994</v>
      </c>
      <c r="K1841" s="582">
        <f t="shared" si="84"/>
        <v>0</v>
      </c>
      <c r="L1841" s="563">
        <f t="shared" si="85"/>
        <v>0</v>
      </c>
      <c r="M1841" s="563">
        <f t="shared" si="86"/>
        <v>70.784999999999997</v>
      </c>
      <c r="N1841" s="580"/>
    </row>
    <row r="1842" spans="4:14" x14ac:dyDescent="0.25">
      <c r="D1842" s="559" t="s">
        <v>867</v>
      </c>
      <c r="E1842" s="558">
        <v>312425</v>
      </c>
      <c r="F1842" s="559">
        <v>302555</v>
      </c>
      <c r="G1842" s="558" t="s">
        <v>2243</v>
      </c>
      <c r="H1842" s="564">
        <v>40015</v>
      </c>
      <c r="I1842" s="563">
        <v>64.349999999999994</v>
      </c>
      <c r="J1842" s="563">
        <v>-64.349999999999994</v>
      </c>
      <c r="K1842" s="582">
        <f t="shared" si="84"/>
        <v>0</v>
      </c>
      <c r="L1842" s="563">
        <f t="shared" si="85"/>
        <v>0</v>
      </c>
      <c r="M1842" s="563">
        <f t="shared" si="86"/>
        <v>70.784999999999997</v>
      </c>
      <c r="N1842" s="580"/>
    </row>
    <row r="1843" spans="4:14" x14ac:dyDescent="0.25">
      <c r="D1843" s="559" t="s">
        <v>867</v>
      </c>
      <c r="E1843" s="558">
        <v>312426</v>
      </c>
      <c r="F1843" s="559">
        <v>302556</v>
      </c>
      <c r="G1843" s="558" t="s">
        <v>2244</v>
      </c>
      <c r="H1843" s="564">
        <v>40015</v>
      </c>
      <c r="I1843" s="563">
        <v>64.349999999999994</v>
      </c>
      <c r="J1843" s="563">
        <v>-64.349999999999994</v>
      </c>
      <c r="K1843" s="582">
        <f t="shared" si="84"/>
        <v>0</v>
      </c>
      <c r="L1843" s="563">
        <f t="shared" si="85"/>
        <v>0</v>
      </c>
      <c r="M1843" s="563">
        <f t="shared" si="86"/>
        <v>70.784999999999997</v>
      </c>
      <c r="N1843" s="580"/>
    </row>
    <row r="1844" spans="4:14" x14ac:dyDescent="0.25">
      <c r="D1844" s="559" t="s">
        <v>867</v>
      </c>
      <c r="E1844" s="558">
        <v>312427</v>
      </c>
      <c r="F1844" s="559">
        <v>302557</v>
      </c>
      <c r="G1844" s="558" t="s">
        <v>2244</v>
      </c>
      <c r="H1844" s="564">
        <v>40015</v>
      </c>
      <c r="I1844" s="563">
        <v>64.349999999999994</v>
      </c>
      <c r="J1844" s="563">
        <v>-64.349999999999994</v>
      </c>
      <c r="K1844" s="582">
        <f t="shared" si="84"/>
        <v>0</v>
      </c>
      <c r="L1844" s="563">
        <f t="shared" si="85"/>
        <v>0</v>
      </c>
      <c r="M1844" s="563">
        <f t="shared" si="86"/>
        <v>70.784999999999997</v>
      </c>
      <c r="N1844" s="580"/>
    </row>
    <row r="1845" spans="4:14" x14ac:dyDescent="0.25">
      <c r="D1845" s="559" t="s">
        <v>867</v>
      </c>
      <c r="E1845" s="558">
        <v>312428</v>
      </c>
      <c r="F1845" s="559">
        <v>302558</v>
      </c>
      <c r="G1845" s="558" t="s">
        <v>2244</v>
      </c>
      <c r="H1845" s="564">
        <v>40015</v>
      </c>
      <c r="I1845" s="563">
        <v>64.349999999999994</v>
      </c>
      <c r="J1845" s="563">
        <v>-64.349999999999994</v>
      </c>
      <c r="K1845" s="582">
        <f t="shared" si="84"/>
        <v>0</v>
      </c>
      <c r="L1845" s="563">
        <f t="shared" si="85"/>
        <v>0</v>
      </c>
      <c r="M1845" s="563">
        <f t="shared" si="86"/>
        <v>70.784999999999997</v>
      </c>
      <c r="N1845" s="580"/>
    </row>
    <row r="1846" spans="4:14" x14ac:dyDescent="0.25">
      <c r="D1846" s="559" t="s">
        <v>867</v>
      </c>
      <c r="E1846" s="558">
        <v>312429</v>
      </c>
      <c r="F1846" s="559">
        <v>302559</v>
      </c>
      <c r="G1846" s="558" t="s">
        <v>2244</v>
      </c>
      <c r="H1846" s="564">
        <v>40015</v>
      </c>
      <c r="I1846" s="563">
        <v>64.349999999999994</v>
      </c>
      <c r="J1846" s="563">
        <v>-64.349999999999994</v>
      </c>
      <c r="K1846" s="582">
        <f t="shared" si="84"/>
        <v>0</v>
      </c>
      <c r="L1846" s="563">
        <f t="shared" si="85"/>
        <v>0</v>
      </c>
      <c r="M1846" s="563">
        <f t="shared" si="86"/>
        <v>70.784999999999997</v>
      </c>
      <c r="N1846" s="580"/>
    </row>
    <row r="1847" spans="4:14" x14ac:dyDescent="0.25">
      <c r="D1847" s="559" t="s">
        <v>867</v>
      </c>
      <c r="E1847" s="558">
        <v>312430</v>
      </c>
      <c r="F1847" s="559">
        <v>302560</v>
      </c>
      <c r="G1847" s="558" t="s">
        <v>2244</v>
      </c>
      <c r="H1847" s="564">
        <v>40015</v>
      </c>
      <c r="I1847" s="563">
        <v>64.349999999999994</v>
      </c>
      <c r="J1847" s="563">
        <v>-64.349999999999994</v>
      </c>
      <c r="K1847" s="582">
        <f t="shared" si="84"/>
        <v>0</v>
      </c>
      <c r="L1847" s="563">
        <f t="shared" si="85"/>
        <v>0</v>
      </c>
      <c r="M1847" s="563">
        <f t="shared" si="86"/>
        <v>70.784999999999997</v>
      </c>
      <c r="N1847" s="580"/>
    </row>
    <row r="1848" spans="4:14" x14ac:dyDescent="0.25">
      <c r="D1848" s="559" t="s">
        <v>867</v>
      </c>
      <c r="E1848" s="558">
        <v>312431</v>
      </c>
      <c r="F1848" s="559">
        <v>302561</v>
      </c>
      <c r="G1848" s="558" t="s">
        <v>2245</v>
      </c>
      <c r="H1848" s="564">
        <v>40015</v>
      </c>
      <c r="I1848" s="563">
        <v>64.349999999999994</v>
      </c>
      <c r="J1848" s="563">
        <v>-64.349999999999994</v>
      </c>
      <c r="K1848" s="582">
        <f t="shared" si="84"/>
        <v>0</v>
      </c>
      <c r="L1848" s="563">
        <f t="shared" si="85"/>
        <v>0</v>
      </c>
      <c r="M1848" s="563">
        <f t="shared" si="86"/>
        <v>70.784999999999997</v>
      </c>
      <c r="N1848" s="580"/>
    </row>
    <row r="1849" spans="4:14" x14ac:dyDescent="0.25">
      <c r="D1849" s="559" t="s">
        <v>867</v>
      </c>
      <c r="E1849" s="558">
        <v>312433</v>
      </c>
      <c r="F1849" s="559">
        <v>302562</v>
      </c>
      <c r="G1849" s="558" t="s">
        <v>2245</v>
      </c>
      <c r="H1849" s="564">
        <v>40015</v>
      </c>
      <c r="I1849" s="563">
        <v>64.349999999999994</v>
      </c>
      <c r="J1849" s="563">
        <v>-64.349999999999994</v>
      </c>
      <c r="K1849" s="582">
        <f t="shared" si="84"/>
        <v>0</v>
      </c>
      <c r="L1849" s="563">
        <f t="shared" si="85"/>
        <v>0</v>
      </c>
      <c r="M1849" s="563">
        <f t="shared" si="86"/>
        <v>70.784999999999997</v>
      </c>
      <c r="N1849" s="580"/>
    </row>
    <row r="1850" spans="4:14" x14ac:dyDescent="0.25">
      <c r="D1850" s="559" t="s">
        <v>867</v>
      </c>
      <c r="E1850" s="558">
        <v>312434</v>
      </c>
      <c r="F1850" s="559">
        <v>302563</v>
      </c>
      <c r="G1850" s="558" t="s">
        <v>2245</v>
      </c>
      <c r="H1850" s="564">
        <v>40015</v>
      </c>
      <c r="I1850" s="563">
        <v>64.349999999999994</v>
      </c>
      <c r="J1850" s="563">
        <v>-64.349999999999994</v>
      </c>
      <c r="K1850" s="582">
        <f t="shared" si="84"/>
        <v>0</v>
      </c>
      <c r="L1850" s="563">
        <f t="shared" si="85"/>
        <v>0</v>
      </c>
      <c r="M1850" s="563">
        <f t="shared" si="86"/>
        <v>70.784999999999997</v>
      </c>
      <c r="N1850" s="580"/>
    </row>
    <row r="1851" spans="4:14" x14ac:dyDescent="0.25">
      <c r="D1851" s="559" t="s">
        <v>867</v>
      </c>
      <c r="E1851" s="558">
        <v>312435</v>
      </c>
      <c r="F1851" s="559">
        <v>302564</v>
      </c>
      <c r="G1851" s="558" t="s">
        <v>2245</v>
      </c>
      <c r="H1851" s="564">
        <v>40015</v>
      </c>
      <c r="I1851" s="563">
        <v>64.349999999999994</v>
      </c>
      <c r="J1851" s="563">
        <v>-64.349999999999994</v>
      </c>
      <c r="K1851" s="582">
        <f t="shared" si="84"/>
        <v>0</v>
      </c>
      <c r="L1851" s="563">
        <f t="shared" si="85"/>
        <v>0</v>
      </c>
      <c r="M1851" s="563">
        <f t="shared" si="86"/>
        <v>70.784999999999997</v>
      </c>
      <c r="N1851" s="580"/>
    </row>
    <row r="1852" spans="4:14" x14ac:dyDescent="0.25">
      <c r="D1852" s="559" t="s">
        <v>867</v>
      </c>
      <c r="E1852" s="558">
        <v>312436</v>
      </c>
      <c r="F1852" s="559">
        <v>302565</v>
      </c>
      <c r="G1852" s="558" t="s">
        <v>2245</v>
      </c>
      <c r="H1852" s="564">
        <v>40015</v>
      </c>
      <c r="I1852" s="563">
        <v>64.349999999999994</v>
      </c>
      <c r="J1852" s="563">
        <v>-64.349999999999994</v>
      </c>
      <c r="K1852" s="582">
        <f t="shared" si="84"/>
        <v>0</v>
      </c>
      <c r="L1852" s="563">
        <f t="shared" si="85"/>
        <v>0</v>
      </c>
      <c r="M1852" s="563">
        <f t="shared" si="86"/>
        <v>70.784999999999997</v>
      </c>
      <c r="N1852" s="580"/>
    </row>
    <row r="1853" spans="4:14" x14ac:dyDescent="0.25">
      <c r="D1853" s="559" t="s">
        <v>867</v>
      </c>
      <c r="E1853" s="558">
        <v>312437</v>
      </c>
      <c r="F1853" s="559">
        <v>302566</v>
      </c>
      <c r="G1853" s="558" t="s">
        <v>2246</v>
      </c>
      <c r="H1853" s="564">
        <v>40015</v>
      </c>
      <c r="I1853" s="563">
        <v>64.349999999999994</v>
      </c>
      <c r="J1853" s="563">
        <v>-64.349999999999994</v>
      </c>
      <c r="K1853" s="582">
        <f t="shared" si="84"/>
        <v>0</v>
      </c>
      <c r="L1853" s="563">
        <f t="shared" si="85"/>
        <v>0</v>
      </c>
      <c r="M1853" s="563">
        <f t="shared" si="86"/>
        <v>70.784999999999997</v>
      </c>
      <c r="N1853" s="580"/>
    </row>
    <row r="1854" spans="4:14" x14ac:dyDescent="0.25">
      <c r="D1854" s="559" t="s">
        <v>867</v>
      </c>
      <c r="E1854" s="558">
        <v>312438</v>
      </c>
      <c r="F1854" s="559">
        <v>302567</v>
      </c>
      <c r="G1854" s="558" t="s">
        <v>2246</v>
      </c>
      <c r="H1854" s="564">
        <v>40015</v>
      </c>
      <c r="I1854" s="563">
        <v>64.349999999999994</v>
      </c>
      <c r="J1854" s="563">
        <v>-64.349999999999994</v>
      </c>
      <c r="K1854" s="582">
        <f t="shared" si="84"/>
        <v>0</v>
      </c>
      <c r="L1854" s="563">
        <f t="shared" si="85"/>
        <v>0</v>
      </c>
      <c r="M1854" s="563">
        <f t="shared" si="86"/>
        <v>70.784999999999997</v>
      </c>
      <c r="N1854" s="580"/>
    </row>
    <row r="1855" spans="4:14" x14ac:dyDescent="0.25">
      <c r="D1855" s="559" t="s">
        <v>867</v>
      </c>
      <c r="E1855" s="558">
        <v>312439</v>
      </c>
      <c r="F1855" s="559">
        <v>302568</v>
      </c>
      <c r="G1855" s="558" t="s">
        <v>2246</v>
      </c>
      <c r="H1855" s="564">
        <v>40015</v>
      </c>
      <c r="I1855" s="563">
        <v>64.349999999999994</v>
      </c>
      <c r="J1855" s="563">
        <v>-64.349999999999994</v>
      </c>
      <c r="K1855" s="582">
        <f t="shared" si="84"/>
        <v>0</v>
      </c>
      <c r="L1855" s="563">
        <f t="shared" si="85"/>
        <v>0</v>
      </c>
      <c r="M1855" s="563">
        <f t="shared" si="86"/>
        <v>70.784999999999997</v>
      </c>
      <c r="N1855" s="580"/>
    </row>
    <row r="1856" spans="4:14" x14ac:dyDescent="0.25">
      <c r="D1856" s="559" t="s">
        <v>867</v>
      </c>
      <c r="E1856" s="558">
        <v>312440</v>
      </c>
      <c r="F1856" s="559">
        <v>302569</v>
      </c>
      <c r="G1856" s="558" t="s">
        <v>2246</v>
      </c>
      <c r="H1856" s="564">
        <v>40015</v>
      </c>
      <c r="I1856" s="563">
        <v>64.349999999999994</v>
      </c>
      <c r="J1856" s="563">
        <v>-64.349999999999994</v>
      </c>
      <c r="K1856" s="582">
        <f t="shared" si="84"/>
        <v>0</v>
      </c>
      <c r="L1856" s="563">
        <f t="shared" si="85"/>
        <v>0</v>
      </c>
      <c r="M1856" s="563">
        <f t="shared" si="86"/>
        <v>70.784999999999997</v>
      </c>
      <c r="N1856" s="580"/>
    </row>
    <row r="1857" spans="4:14" x14ac:dyDescent="0.25">
      <c r="D1857" s="559" t="s">
        <v>867</v>
      </c>
      <c r="E1857" s="558">
        <v>312441</v>
      </c>
      <c r="F1857" s="559">
        <v>302570</v>
      </c>
      <c r="G1857" s="558" t="s">
        <v>2246</v>
      </c>
      <c r="H1857" s="564">
        <v>40015</v>
      </c>
      <c r="I1857" s="563">
        <v>64.349999999999994</v>
      </c>
      <c r="J1857" s="563">
        <v>-64.349999999999994</v>
      </c>
      <c r="K1857" s="582">
        <f t="shared" si="84"/>
        <v>0</v>
      </c>
      <c r="L1857" s="563">
        <f t="shared" si="85"/>
        <v>0</v>
      </c>
      <c r="M1857" s="563">
        <f t="shared" si="86"/>
        <v>70.784999999999997</v>
      </c>
      <c r="N1857" s="580"/>
    </row>
    <row r="1858" spans="4:14" x14ac:dyDescent="0.25">
      <c r="D1858" s="559" t="s">
        <v>867</v>
      </c>
      <c r="E1858" s="558">
        <v>312442</v>
      </c>
      <c r="F1858" s="559">
        <v>302571</v>
      </c>
      <c r="G1858" s="558" t="s">
        <v>2247</v>
      </c>
      <c r="H1858" s="564">
        <v>40015</v>
      </c>
      <c r="I1858" s="563">
        <v>25.35</v>
      </c>
      <c r="J1858" s="563">
        <v>-25.35</v>
      </c>
      <c r="K1858" s="582">
        <f t="shared" si="84"/>
        <v>0</v>
      </c>
      <c r="L1858" s="563">
        <f t="shared" si="85"/>
        <v>0</v>
      </c>
      <c r="M1858" s="563">
        <f t="shared" si="86"/>
        <v>27.885000000000005</v>
      </c>
      <c r="N1858" s="580"/>
    </row>
    <row r="1859" spans="4:14" x14ac:dyDescent="0.25">
      <c r="D1859" s="559" t="s">
        <v>867</v>
      </c>
      <c r="E1859" s="558">
        <v>312443</v>
      </c>
      <c r="F1859" s="559">
        <v>302572</v>
      </c>
      <c r="G1859" s="558" t="s">
        <v>2247</v>
      </c>
      <c r="H1859" s="564">
        <v>40015</v>
      </c>
      <c r="I1859" s="563">
        <v>64.349999999999994</v>
      </c>
      <c r="J1859" s="563">
        <v>-64.349999999999994</v>
      </c>
      <c r="K1859" s="582">
        <f t="shared" si="84"/>
        <v>0</v>
      </c>
      <c r="L1859" s="563">
        <f t="shared" si="85"/>
        <v>0</v>
      </c>
      <c r="M1859" s="563">
        <f t="shared" si="86"/>
        <v>70.784999999999997</v>
      </c>
      <c r="N1859" s="580"/>
    </row>
    <row r="1860" spans="4:14" x14ac:dyDescent="0.25">
      <c r="D1860" s="559" t="s">
        <v>867</v>
      </c>
      <c r="E1860" s="558">
        <v>312444</v>
      </c>
      <c r="F1860" s="559">
        <v>302573</v>
      </c>
      <c r="G1860" s="558" t="s">
        <v>2247</v>
      </c>
      <c r="H1860" s="564">
        <v>40015</v>
      </c>
      <c r="I1860" s="563">
        <v>64.349999999999994</v>
      </c>
      <c r="J1860" s="563">
        <v>-64.349999999999994</v>
      </c>
      <c r="K1860" s="582">
        <f t="shared" si="84"/>
        <v>0</v>
      </c>
      <c r="L1860" s="563">
        <f t="shared" si="85"/>
        <v>0</v>
      </c>
      <c r="M1860" s="563">
        <f t="shared" si="86"/>
        <v>70.784999999999997</v>
      </c>
      <c r="N1860" s="580"/>
    </row>
    <row r="1861" spans="4:14" x14ac:dyDescent="0.25">
      <c r="D1861" s="559" t="s">
        <v>867</v>
      </c>
      <c r="E1861" s="558">
        <v>312445</v>
      </c>
      <c r="F1861" s="559">
        <v>302574</v>
      </c>
      <c r="G1861" s="558" t="s">
        <v>2247</v>
      </c>
      <c r="H1861" s="564">
        <v>40015</v>
      </c>
      <c r="I1861" s="563">
        <v>64.349999999999994</v>
      </c>
      <c r="J1861" s="563">
        <v>-64.349999999999994</v>
      </c>
      <c r="K1861" s="582">
        <f t="shared" si="84"/>
        <v>0</v>
      </c>
      <c r="L1861" s="563">
        <f t="shared" si="85"/>
        <v>0</v>
      </c>
      <c r="M1861" s="563">
        <f t="shared" si="86"/>
        <v>70.784999999999997</v>
      </c>
      <c r="N1861" s="580"/>
    </row>
    <row r="1862" spans="4:14" x14ac:dyDescent="0.25">
      <c r="D1862" s="559" t="s">
        <v>867</v>
      </c>
      <c r="E1862" s="558">
        <v>312446</v>
      </c>
      <c r="F1862" s="559">
        <v>302575</v>
      </c>
      <c r="G1862" s="558" t="s">
        <v>2247</v>
      </c>
      <c r="H1862" s="564">
        <v>40015</v>
      </c>
      <c r="I1862" s="563">
        <v>64.349999999999994</v>
      </c>
      <c r="J1862" s="563">
        <v>-64.349999999999994</v>
      </c>
      <c r="K1862" s="582">
        <f t="shared" si="84"/>
        <v>0</v>
      </c>
      <c r="L1862" s="563">
        <f t="shared" si="85"/>
        <v>0</v>
      </c>
      <c r="M1862" s="563">
        <f t="shared" si="86"/>
        <v>70.784999999999997</v>
      </c>
      <c r="N1862" s="580"/>
    </row>
    <row r="1863" spans="4:14" x14ac:dyDescent="0.25">
      <c r="D1863" s="559" t="s">
        <v>867</v>
      </c>
      <c r="E1863" s="558">
        <v>312447</v>
      </c>
      <c r="F1863" s="559">
        <v>302576</v>
      </c>
      <c r="G1863" s="558" t="s">
        <v>2248</v>
      </c>
      <c r="H1863" s="564">
        <v>40015</v>
      </c>
      <c r="I1863" s="563">
        <v>64.349999999999994</v>
      </c>
      <c r="J1863" s="563">
        <v>-64.349999999999994</v>
      </c>
      <c r="K1863" s="582">
        <f t="shared" si="84"/>
        <v>0</v>
      </c>
      <c r="L1863" s="563">
        <f t="shared" si="85"/>
        <v>0</v>
      </c>
      <c r="M1863" s="563">
        <f t="shared" si="86"/>
        <v>70.784999999999997</v>
      </c>
      <c r="N1863" s="580"/>
    </row>
    <row r="1864" spans="4:14" x14ac:dyDescent="0.25">
      <c r="D1864" s="559" t="s">
        <v>867</v>
      </c>
      <c r="E1864" s="558">
        <v>312448</v>
      </c>
      <c r="F1864" s="559">
        <v>302577</v>
      </c>
      <c r="G1864" s="558" t="s">
        <v>2248</v>
      </c>
      <c r="H1864" s="564">
        <v>40015</v>
      </c>
      <c r="I1864" s="563">
        <v>64.349999999999994</v>
      </c>
      <c r="J1864" s="563">
        <v>-64.349999999999994</v>
      </c>
      <c r="K1864" s="582">
        <f t="shared" si="84"/>
        <v>0</v>
      </c>
      <c r="L1864" s="563">
        <f t="shared" si="85"/>
        <v>0</v>
      </c>
      <c r="M1864" s="563">
        <f t="shared" si="86"/>
        <v>70.784999999999997</v>
      </c>
      <c r="N1864" s="580"/>
    </row>
    <row r="1865" spans="4:14" x14ac:dyDescent="0.25">
      <c r="D1865" s="559" t="s">
        <v>867</v>
      </c>
      <c r="E1865" s="558">
        <v>312449</v>
      </c>
      <c r="F1865" s="559">
        <v>302578</v>
      </c>
      <c r="G1865" s="558" t="s">
        <v>2248</v>
      </c>
      <c r="H1865" s="564">
        <v>40015</v>
      </c>
      <c r="I1865" s="563">
        <v>649.35</v>
      </c>
      <c r="J1865" s="563">
        <v>-585</v>
      </c>
      <c r="K1865" s="582">
        <f t="shared" si="84"/>
        <v>64.350000000000023</v>
      </c>
      <c r="L1865" s="563">
        <f t="shared" si="85"/>
        <v>70.785000000000025</v>
      </c>
      <c r="M1865" s="563">
        <f t="shared" si="86"/>
        <v>714.28500000000008</v>
      </c>
      <c r="N1865" s="580"/>
    </row>
    <row r="1866" spans="4:14" x14ac:dyDescent="0.25">
      <c r="D1866" s="559" t="s">
        <v>867</v>
      </c>
      <c r="E1866" s="558">
        <v>312450</v>
      </c>
      <c r="F1866" s="559">
        <v>302579</v>
      </c>
      <c r="G1866" s="558" t="s">
        <v>2248</v>
      </c>
      <c r="H1866" s="564">
        <v>40015</v>
      </c>
      <c r="I1866" s="563">
        <v>64.349999999999994</v>
      </c>
      <c r="J1866" s="563">
        <v>-64.349999999999994</v>
      </c>
      <c r="K1866" s="582">
        <f t="shared" si="84"/>
        <v>0</v>
      </c>
      <c r="L1866" s="563">
        <f t="shared" si="85"/>
        <v>0</v>
      </c>
      <c r="M1866" s="563">
        <f t="shared" si="86"/>
        <v>70.784999999999997</v>
      </c>
      <c r="N1866" s="580"/>
    </row>
    <row r="1867" spans="4:14" x14ac:dyDescent="0.25">
      <c r="D1867" s="559" t="s">
        <v>867</v>
      </c>
      <c r="E1867" s="558">
        <v>312451</v>
      </c>
      <c r="F1867" s="559">
        <v>302580</v>
      </c>
      <c r="G1867" s="558" t="s">
        <v>2248</v>
      </c>
      <c r="H1867" s="564">
        <v>40015</v>
      </c>
      <c r="I1867" s="563">
        <v>64.349999999999994</v>
      </c>
      <c r="J1867" s="563">
        <v>-64.349999999999994</v>
      </c>
      <c r="K1867" s="582">
        <f t="shared" si="84"/>
        <v>0</v>
      </c>
      <c r="L1867" s="563">
        <f t="shared" si="85"/>
        <v>0</v>
      </c>
      <c r="M1867" s="563">
        <f t="shared" si="86"/>
        <v>70.784999999999997</v>
      </c>
      <c r="N1867" s="580"/>
    </row>
    <row r="1868" spans="4:14" x14ac:dyDescent="0.25">
      <c r="D1868" s="559" t="s">
        <v>867</v>
      </c>
      <c r="E1868" s="558">
        <v>312452</v>
      </c>
      <c r="F1868" s="559">
        <v>302581</v>
      </c>
      <c r="G1868" s="558" t="s">
        <v>2249</v>
      </c>
      <c r="H1868" s="564">
        <v>40015</v>
      </c>
      <c r="I1868" s="563">
        <v>376.35</v>
      </c>
      <c r="J1868" s="563">
        <v>-376.35</v>
      </c>
      <c r="K1868" s="582">
        <f t="shared" si="84"/>
        <v>0</v>
      </c>
      <c r="L1868" s="563">
        <f t="shared" si="85"/>
        <v>0</v>
      </c>
      <c r="M1868" s="563">
        <f t="shared" si="86"/>
        <v>413.98500000000007</v>
      </c>
      <c r="N1868" s="580"/>
    </row>
    <row r="1869" spans="4:14" x14ac:dyDescent="0.25">
      <c r="D1869" s="559" t="s">
        <v>867</v>
      </c>
      <c r="E1869" s="558">
        <v>312453</v>
      </c>
      <c r="F1869" s="559">
        <v>302582</v>
      </c>
      <c r="G1869" s="558" t="s">
        <v>2249</v>
      </c>
      <c r="H1869" s="564">
        <v>40015</v>
      </c>
      <c r="I1869" s="563">
        <v>649.35</v>
      </c>
      <c r="J1869" s="563">
        <v>-585</v>
      </c>
      <c r="K1869" s="582">
        <f t="shared" si="84"/>
        <v>64.350000000000023</v>
      </c>
      <c r="L1869" s="563">
        <f t="shared" si="85"/>
        <v>70.785000000000025</v>
      </c>
      <c r="M1869" s="563">
        <f t="shared" si="86"/>
        <v>714.28500000000008</v>
      </c>
      <c r="N1869" s="580"/>
    </row>
    <row r="1870" spans="4:14" x14ac:dyDescent="0.25">
      <c r="D1870" s="559" t="s">
        <v>867</v>
      </c>
      <c r="E1870" s="558">
        <v>312454</v>
      </c>
      <c r="F1870" s="559">
        <v>302583</v>
      </c>
      <c r="G1870" s="558" t="s">
        <v>2249</v>
      </c>
      <c r="H1870" s="564">
        <v>40015</v>
      </c>
      <c r="I1870" s="563">
        <v>64.349999999999994</v>
      </c>
      <c r="J1870" s="563">
        <v>-64.349999999999994</v>
      </c>
      <c r="K1870" s="582">
        <f t="shared" si="84"/>
        <v>0</v>
      </c>
      <c r="L1870" s="563">
        <f t="shared" si="85"/>
        <v>0</v>
      </c>
      <c r="M1870" s="563">
        <f t="shared" si="86"/>
        <v>70.784999999999997</v>
      </c>
      <c r="N1870" s="580"/>
    </row>
    <row r="1871" spans="4:14" x14ac:dyDescent="0.25">
      <c r="D1871" s="559" t="s">
        <v>867</v>
      </c>
      <c r="E1871" s="558">
        <v>312455</v>
      </c>
      <c r="F1871" s="559">
        <v>302584</v>
      </c>
      <c r="G1871" s="558" t="s">
        <v>2249</v>
      </c>
      <c r="H1871" s="564">
        <v>40015</v>
      </c>
      <c r="I1871" s="563">
        <v>64.349999999999994</v>
      </c>
      <c r="J1871" s="563">
        <v>-64.349999999999994</v>
      </c>
      <c r="K1871" s="582">
        <f t="shared" si="84"/>
        <v>0</v>
      </c>
      <c r="L1871" s="563">
        <f t="shared" si="85"/>
        <v>0</v>
      </c>
      <c r="M1871" s="563">
        <f t="shared" si="86"/>
        <v>70.784999999999997</v>
      </c>
      <c r="N1871" s="580"/>
    </row>
    <row r="1872" spans="4:14" x14ac:dyDescent="0.25">
      <c r="D1872" s="559" t="s">
        <v>867</v>
      </c>
      <c r="E1872" s="558">
        <v>312456</v>
      </c>
      <c r="F1872" s="559">
        <v>302585</v>
      </c>
      <c r="G1872" s="558" t="s">
        <v>2249</v>
      </c>
      <c r="H1872" s="564">
        <v>40015</v>
      </c>
      <c r="I1872" s="563">
        <v>64.349999999999994</v>
      </c>
      <c r="J1872" s="563">
        <v>-64.349999999999994</v>
      </c>
      <c r="K1872" s="582">
        <f t="shared" si="84"/>
        <v>0</v>
      </c>
      <c r="L1872" s="563">
        <f t="shared" si="85"/>
        <v>0</v>
      </c>
      <c r="M1872" s="563">
        <f t="shared" si="86"/>
        <v>70.784999999999997</v>
      </c>
      <c r="N1872" s="580"/>
    </row>
    <row r="1873" spans="4:14" x14ac:dyDescent="0.25">
      <c r="D1873" s="559" t="s">
        <v>867</v>
      </c>
      <c r="E1873" s="558">
        <v>312458</v>
      </c>
      <c r="F1873" s="559">
        <v>302587</v>
      </c>
      <c r="G1873" s="558" t="s">
        <v>2250</v>
      </c>
      <c r="H1873" s="564">
        <v>40015</v>
      </c>
      <c r="I1873" s="563">
        <v>64.349999999999994</v>
      </c>
      <c r="J1873" s="563">
        <v>-64.349999999999994</v>
      </c>
      <c r="K1873" s="582">
        <f t="shared" si="84"/>
        <v>0</v>
      </c>
      <c r="L1873" s="563">
        <f t="shared" si="85"/>
        <v>0</v>
      </c>
      <c r="M1873" s="563">
        <f t="shared" si="86"/>
        <v>70.784999999999997</v>
      </c>
      <c r="N1873" s="580"/>
    </row>
    <row r="1874" spans="4:14" x14ac:dyDescent="0.25">
      <c r="D1874" s="559" t="s">
        <v>867</v>
      </c>
      <c r="E1874" s="558">
        <v>312459</v>
      </c>
      <c r="F1874" s="559">
        <v>302588</v>
      </c>
      <c r="G1874" s="558" t="s">
        <v>2250</v>
      </c>
      <c r="H1874" s="564">
        <v>40015</v>
      </c>
      <c r="I1874" s="563">
        <v>64.349999999999994</v>
      </c>
      <c r="J1874" s="563">
        <v>-64.349999999999994</v>
      </c>
      <c r="K1874" s="582">
        <f t="shared" si="84"/>
        <v>0</v>
      </c>
      <c r="L1874" s="563">
        <f t="shared" si="85"/>
        <v>0</v>
      </c>
      <c r="M1874" s="563">
        <f t="shared" si="86"/>
        <v>70.784999999999997</v>
      </c>
      <c r="N1874" s="580"/>
    </row>
    <row r="1875" spans="4:14" x14ac:dyDescent="0.25">
      <c r="D1875" s="559" t="s">
        <v>867</v>
      </c>
      <c r="E1875" s="558">
        <v>312460</v>
      </c>
      <c r="F1875" s="559">
        <v>302589</v>
      </c>
      <c r="G1875" s="558" t="s">
        <v>2250</v>
      </c>
      <c r="H1875" s="564">
        <v>40015</v>
      </c>
      <c r="I1875" s="563">
        <v>64.349999999999994</v>
      </c>
      <c r="J1875" s="563">
        <v>-64.349999999999994</v>
      </c>
      <c r="K1875" s="582">
        <f t="shared" si="84"/>
        <v>0</v>
      </c>
      <c r="L1875" s="563">
        <f t="shared" si="85"/>
        <v>0</v>
      </c>
      <c r="M1875" s="563">
        <f t="shared" si="86"/>
        <v>70.784999999999997</v>
      </c>
      <c r="N1875" s="580"/>
    </row>
    <row r="1876" spans="4:14" x14ac:dyDescent="0.25">
      <c r="D1876" s="559" t="s">
        <v>867</v>
      </c>
      <c r="E1876" s="558">
        <v>312461</v>
      </c>
      <c r="F1876" s="559">
        <v>302590</v>
      </c>
      <c r="G1876" s="558" t="s">
        <v>2250</v>
      </c>
      <c r="H1876" s="564">
        <v>40015</v>
      </c>
      <c r="I1876" s="563">
        <v>64.349999999999994</v>
      </c>
      <c r="J1876" s="563">
        <v>-64.349999999999994</v>
      </c>
      <c r="K1876" s="582">
        <f t="shared" si="84"/>
        <v>0</v>
      </c>
      <c r="L1876" s="563">
        <f t="shared" si="85"/>
        <v>0</v>
      </c>
      <c r="M1876" s="563">
        <f t="shared" si="86"/>
        <v>70.784999999999997</v>
      </c>
      <c r="N1876" s="580"/>
    </row>
    <row r="1877" spans="4:14" x14ac:dyDescent="0.25">
      <c r="D1877" s="559" t="s">
        <v>867</v>
      </c>
      <c r="E1877" s="558">
        <v>312462</v>
      </c>
      <c r="F1877" s="559">
        <v>302591</v>
      </c>
      <c r="G1877" s="558" t="s">
        <v>2250</v>
      </c>
      <c r="H1877" s="564">
        <v>40015</v>
      </c>
      <c r="I1877" s="563">
        <v>727.35</v>
      </c>
      <c r="J1877" s="563">
        <v>-585</v>
      </c>
      <c r="K1877" s="582">
        <f t="shared" si="84"/>
        <v>142.35000000000002</v>
      </c>
      <c r="L1877" s="563">
        <f t="shared" si="85"/>
        <v>156.58500000000004</v>
      </c>
      <c r="M1877" s="563">
        <f t="shared" si="86"/>
        <v>800.08500000000004</v>
      </c>
      <c r="N1877" s="580"/>
    </row>
    <row r="1878" spans="4:14" x14ac:dyDescent="0.25">
      <c r="D1878" s="559" t="s">
        <v>867</v>
      </c>
      <c r="E1878" s="558">
        <v>312463</v>
      </c>
      <c r="F1878" s="559">
        <v>302592</v>
      </c>
      <c r="G1878" s="558" t="s">
        <v>2251</v>
      </c>
      <c r="H1878" s="564">
        <v>40015</v>
      </c>
      <c r="I1878" s="563">
        <v>649.35</v>
      </c>
      <c r="J1878" s="563">
        <v>-585</v>
      </c>
      <c r="K1878" s="582">
        <f t="shared" si="84"/>
        <v>64.350000000000023</v>
      </c>
      <c r="L1878" s="563">
        <f t="shared" si="85"/>
        <v>70.785000000000025</v>
      </c>
      <c r="M1878" s="563">
        <f t="shared" si="86"/>
        <v>714.28500000000008</v>
      </c>
      <c r="N1878" s="580"/>
    </row>
    <row r="1879" spans="4:14" x14ac:dyDescent="0.25">
      <c r="D1879" s="559" t="s">
        <v>867</v>
      </c>
      <c r="E1879" s="558">
        <v>312464</v>
      </c>
      <c r="F1879" s="559">
        <v>302593</v>
      </c>
      <c r="G1879" s="558" t="s">
        <v>2251</v>
      </c>
      <c r="H1879" s="564">
        <v>40015</v>
      </c>
      <c r="I1879" s="563">
        <v>727.35</v>
      </c>
      <c r="J1879" s="563">
        <v>-585</v>
      </c>
      <c r="K1879" s="582">
        <f t="shared" si="84"/>
        <v>142.35000000000002</v>
      </c>
      <c r="L1879" s="563">
        <f t="shared" si="85"/>
        <v>156.58500000000004</v>
      </c>
      <c r="M1879" s="563">
        <f t="shared" si="86"/>
        <v>800.08500000000004</v>
      </c>
      <c r="N1879" s="580"/>
    </row>
    <row r="1880" spans="4:14" x14ac:dyDescent="0.25">
      <c r="D1880" s="559" t="s">
        <v>867</v>
      </c>
      <c r="E1880" s="558">
        <v>312465</v>
      </c>
      <c r="F1880" s="559">
        <v>302594</v>
      </c>
      <c r="G1880" s="558" t="s">
        <v>2251</v>
      </c>
      <c r="H1880" s="564">
        <v>40015</v>
      </c>
      <c r="I1880" s="563">
        <v>64.349999999999994</v>
      </c>
      <c r="J1880" s="563">
        <v>-64.349999999999994</v>
      </c>
      <c r="K1880" s="582">
        <f t="shared" si="84"/>
        <v>0</v>
      </c>
      <c r="L1880" s="563">
        <f t="shared" si="85"/>
        <v>0</v>
      </c>
      <c r="M1880" s="563">
        <f t="shared" si="86"/>
        <v>70.784999999999997</v>
      </c>
      <c r="N1880" s="580"/>
    </row>
    <row r="1881" spans="4:14" x14ac:dyDescent="0.25">
      <c r="D1881" s="559" t="s">
        <v>867</v>
      </c>
      <c r="E1881" s="558">
        <v>312466</v>
      </c>
      <c r="F1881" s="559">
        <v>302595</v>
      </c>
      <c r="G1881" s="558" t="s">
        <v>2251</v>
      </c>
      <c r="H1881" s="564">
        <v>40015</v>
      </c>
      <c r="I1881" s="563">
        <v>64.349999999999994</v>
      </c>
      <c r="J1881" s="563">
        <v>-64.349999999999994</v>
      </c>
      <c r="K1881" s="582">
        <f t="shared" si="84"/>
        <v>0</v>
      </c>
      <c r="L1881" s="563">
        <f t="shared" si="85"/>
        <v>0</v>
      </c>
      <c r="M1881" s="563">
        <f t="shared" si="86"/>
        <v>70.784999999999997</v>
      </c>
      <c r="N1881" s="580"/>
    </row>
    <row r="1882" spans="4:14" x14ac:dyDescent="0.25">
      <c r="D1882" s="559" t="s">
        <v>867</v>
      </c>
      <c r="E1882" s="558">
        <v>312467</v>
      </c>
      <c r="F1882" s="559">
        <v>302596</v>
      </c>
      <c r="G1882" s="558" t="s">
        <v>2251</v>
      </c>
      <c r="H1882" s="564">
        <v>40015</v>
      </c>
      <c r="I1882" s="563">
        <v>64.349999999999994</v>
      </c>
      <c r="J1882" s="563">
        <v>-64.349999999999994</v>
      </c>
      <c r="K1882" s="582">
        <f t="shared" si="84"/>
        <v>0</v>
      </c>
      <c r="L1882" s="563">
        <f t="shared" si="85"/>
        <v>0</v>
      </c>
      <c r="M1882" s="563">
        <f t="shared" si="86"/>
        <v>70.784999999999997</v>
      </c>
      <c r="N1882" s="580"/>
    </row>
    <row r="1883" spans="4:14" x14ac:dyDescent="0.25">
      <c r="D1883" s="559" t="s">
        <v>867</v>
      </c>
      <c r="E1883" s="558">
        <v>312468</v>
      </c>
      <c r="F1883" s="559">
        <v>302597</v>
      </c>
      <c r="G1883" s="558" t="s">
        <v>2252</v>
      </c>
      <c r="H1883" s="564">
        <v>40015</v>
      </c>
      <c r="I1883" s="563">
        <v>64.349999999999994</v>
      </c>
      <c r="J1883" s="563">
        <v>-64.349999999999994</v>
      </c>
      <c r="K1883" s="582">
        <f t="shared" si="84"/>
        <v>0</v>
      </c>
      <c r="L1883" s="563">
        <f t="shared" si="85"/>
        <v>0</v>
      </c>
      <c r="M1883" s="563">
        <f t="shared" si="86"/>
        <v>70.784999999999997</v>
      </c>
      <c r="N1883" s="580"/>
    </row>
    <row r="1884" spans="4:14" x14ac:dyDescent="0.25">
      <c r="D1884" s="559" t="s">
        <v>867</v>
      </c>
      <c r="E1884" s="558">
        <v>312469</v>
      </c>
      <c r="F1884" s="559">
        <v>302598</v>
      </c>
      <c r="G1884" s="558" t="s">
        <v>2252</v>
      </c>
      <c r="H1884" s="564">
        <v>40015</v>
      </c>
      <c r="I1884" s="563">
        <v>64.349999999999994</v>
      </c>
      <c r="J1884" s="563">
        <v>-64.349999999999994</v>
      </c>
      <c r="K1884" s="582">
        <f t="shared" si="84"/>
        <v>0</v>
      </c>
      <c r="L1884" s="563">
        <f t="shared" si="85"/>
        <v>0</v>
      </c>
      <c r="M1884" s="563">
        <f t="shared" si="86"/>
        <v>70.784999999999997</v>
      </c>
      <c r="N1884" s="580"/>
    </row>
    <row r="1885" spans="4:14" x14ac:dyDescent="0.25">
      <c r="D1885" s="559" t="s">
        <v>867</v>
      </c>
      <c r="E1885" s="558">
        <v>312470</v>
      </c>
      <c r="F1885" s="559">
        <v>302599</v>
      </c>
      <c r="G1885" s="558" t="s">
        <v>2252</v>
      </c>
      <c r="H1885" s="564">
        <v>40015</v>
      </c>
      <c r="I1885" s="563">
        <v>727.35</v>
      </c>
      <c r="J1885" s="563">
        <v>-585</v>
      </c>
      <c r="K1885" s="582">
        <f t="shared" si="84"/>
        <v>142.35000000000002</v>
      </c>
      <c r="L1885" s="563">
        <f t="shared" si="85"/>
        <v>156.58500000000004</v>
      </c>
      <c r="M1885" s="563">
        <f t="shared" si="86"/>
        <v>800.08500000000004</v>
      </c>
      <c r="N1885" s="580"/>
    </row>
    <row r="1886" spans="4:14" x14ac:dyDescent="0.25">
      <c r="D1886" s="559" t="s">
        <v>867</v>
      </c>
      <c r="E1886" s="558">
        <v>312471</v>
      </c>
      <c r="F1886" s="559">
        <v>302600</v>
      </c>
      <c r="G1886" s="558" t="s">
        <v>2252</v>
      </c>
      <c r="H1886" s="564">
        <v>40015</v>
      </c>
      <c r="I1886" s="563">
        <v>64.349999999999994</v>
      </c>
      <c r="J1886" s="563">
        <v>-64.349999999999994</v>
      </c>
      <c r="K1886" s="582">
        <f t="shared" si="84"/>
        <v>0</v>
      </c>
      <c r="L1886" s="563">
        <f t="shared" si="85"/>
        <v>0</v>
      </c>
      <c r="M1886" s="563">
        <f t="shared" si="86"/>
        <v>70.784999999999997</v>
      </c>
      <c r="N1886" s="580"/>
    </row>
    <row r="1887" spans="4:14" x14ac:dyDescent="0.25">
      <c r="D1887" s="559" t="s">
        <v>867</v>
      </c>
      <c r="E1887" s="558">
        <v>312472</v>
      </c>
      <c r="F1887" s="559">
        <v>302601</v>
      </c>
      <c r="G1887" s="558" t="s">
        <v>2252</v>
      </c>
      <c r="H1887" s="564">
        <v>40015</v>
      </c>
      <c r="I1887" s="563">
        <v>64.349999999999994</v>
      </c>
      <c r="J1887" s="563">
        <v>-64.349999999999994</v>
      </c>
      <c r="K1887" s="582">
        <f t="shared" si="84"/>
        <v>0</v>
      </c>
      <c r="L1887" s="563">
        <f t="shared" si="85"/>
        <v>0</v>
      </c>
      <c r="M1887" s="563">
        <f t="shared" si="86"/>
        <v>70.784999999999997</v>
      </c>
      <c r="N1887" s="580"/>
    </row>
    <row r="1888" spans="4:14" x14ac:dyDescent="0.25">
      <c r="D1888" s="559" t="s">
        <v>867</v>
      </c>
      <c r="E1888" s="558">
        <v>312473</v>
      </c>
      <c r="F1888" s="559">
        <v>302602</v>
      </c>
      <c r="G1888" s="558" t="s">
        <v>2253</v>
      </c>
      <c r="H1888" s="564">
        <v>40015</v>
      </c>
      <c r="I1888" s="563">
        <v>64.349999999999994</v>
      </c>
      <c r="J1888" s="563">
        <v>-64.349999999999994</v>
      </c>
      <c r="K1888" s="582">
        <f t="shared" si="84"/>
        <v>0</v>
      </c>
      <c r="L1888" s="563">
        <f t="shared" si="85"/>
        <v>0</v>
      </c>
      <c r="M1888" s="563">
        <f t="shared" si="86"/>
        <v>70.784999999999997</v>
      </c>
      <c r="N1888" s="580"/>
    </row>
    <row r="1889" spans="4:14" x14ac:dyDescent="0.25">
      <c r="D1889" s="559" t="s">
        <v>867</v>
      </c>
      <c r="E1889" s="558">
        <v>312474</v>
      </c>
      <c r="F1889" s="559">
        <v>302603</v>
      </c>
      <c r="G1889" s="558" t="s">
        <v>2253</v>
      </c>
      <c r="H1889" s="564">
        <v>40015</v>
      </c>
      <c r="I1889" s="563">
        <v>64.349999999999994</v>
      </c>
      <c r="J1889" s="563">
        <v>-64.349999999999994</v>
      </c>
      <c r="K1889" s="582">
        <f t="shared" si="84"/>
        <v>0</v>
      </c>
      <c r="L1889" s="563">
        <f t="shared" si="85"/>
        <v>0</v>
      </c>
      <c r="M1889" s="563">
        <f t="shared" si="86"/>
        <v>70.784999999999997</v>
      </c>
      <c r="N1889" s="580"/>
    </row>
    <row r="1890" spans="4:14" x14ac:dyDescent="0.25">
      <c r="D1890" s="559" t="s">
        <v>867</v>
      </c>
      <c r="E1890" s="558">
        <v>312475</v>
      </c>
      <c r="F1890" s="559">
        <v>302604</v>
      </c>
      <c r="G1890" s="558" t="s">
        <v>2253</v>
      </c>
      <c r="H1890" s="564">
        <v>40015</v>
      </c>
      <c r="I1890" s="563">
        <v>64.349999999999994</v>
      </c>
      <c r="J1890" s="563">
        <v>-64.349999999999994</v>
      </c>
      <c r="K1890" s="582">
        <f t="shared" si="84"/>
        <v>0</v>
      </c>
      <c r="L1890" s="563">
        <f t="shared" si="85"/>
        <v>0</v>
      </c>
      <c r="M1890" s="563">
        <f t="shared" si="86"/>
        <v>70.784999999999997</v>
      </c>
      <c r="N1890" s="580"/>
    </row>
    <row r="1891" spans="4:14" x14ac:dyDescent="0.25">
      <c r="D1891" s="559" t="s">
        <v>867</v>
      </c>
      <c r="E1891" s="558">
        <v>312476</v>
      </c>
      <c r="F1891" s="559">
        <v>302605</v>
      </c>
      <c r="G1891" s="558" t="s">
        <v>2253</v>
      </c>
      <c r="H1891" s="564">
        <v>40015</v>
      </c>
      <c r="I1891" s="563">
        <v>64.349999999999994</v>
      </c>
      <c r="J1891" s="563">
        <v>-64.349999999999994</v>
      </c>
      <c r="K1891" s="582">
        <f t="shared" si="84"/>
        <v>0</v>
      </c>
      <c r="L1891" s="563">
        <f t="shared" si="85"/>
        <v>0</v>
      </c>
      <c r="M1891" s="563">
        <f t="shared" si="86"/>
        <v>70.784999999999997</v>
      </c>
      <c r="N1891" s="580"/>
    </row>
    <row r="1892" spans="4:14" x14ac:dyDescent="0.25">
      <c r="D1892" s="559" t="s">
        <v>867</v>
      </c>
      <c r="E1892" s="558">
        <v>312477</v>
      </c>
      <c r="F1892" s="559">
        <v>302606</v>
      </c>
      <c r="G1892" s="558" t="s">
        <v>2253</v>
      </c>
      <c r="H1892" s="564">
        <v>40015</v>
      </c>
      <c r="I1892" s="563">
        <v>64.349999999999994</v>
      </c>
      <c r="J1892" s="563">
        <v>-64.349999999999994</v>
      </c>
      <c r="K1892" s="582">
        <f t="shared" si="84"/>
        <v>0</v>
      </c>
      <c r="L1892" s="563">
        <f t="shared" si="85"/>
        <v>0</v>
      </c>
      <c r="M1892" s="563">
        <f t="shared" si="86"/>
        <v>70.784999999999997</v>
      </c>
      <c r="N1892" s="580"/>
    </row>
    <row r="1893" spans="4:14" x14ac:dyDescent="0.25">
      <c r="D1893" s="559" t="s">
        <v>867</v>
      </c>
      <c r="E1893" s="558">
        <v>312478</v>
      </c>
      <c r="F1893" s="559">
        <v>302607</v>
      </c>
      <c r="G1893" s="558" t="s">
        <v>2254</v>
      </c>
      <c r="H1893" s="564">
        <v>40015</v>
      </c>
      <c r="I1893" s="563">
        <v>727.35</v>
      </c>
      <c r="J1893" s="563">
        <v>-585</v>
      </c>
      <c r="K1893" s="582">
        <f t="shared" si="84"/>
        <v>142.35000000000002</v>
      </c>
      <c r="L1893" s="563">
        <f t="shared" si="85"/>
        <v>156.58500000000004</v>
      </c>
      <c r="M1893" s="563">
        <f t="shared" si="86"/>
        <v>800.08500000000004</v>
      </c>
      <c r="N1893" s="580"/>
    </row>
    <row r="1894" spans="4:14" x14ac:dyDescent="0.25">
      <c r="D1894" s="559" t="s">
        <v>867</v>
      </c>
      <c r="E1894" s="558">
        <v>312479</v>
      </c>
      <c r="F1894" s="559">
        <v>302608</v>
      </c>
      <c r="G1894" s="558" t="s">
        <v>2254</v>
      </c>
      <c r="H1894" s="564">
        <v>40015</v>
      </c>
      <c r="I1894" s="563">
        <v>64.349999999999994</v>
      </c>
      <c r="J1894" s="563">
        <v>-64.349999999999994</v>
      </c>
      <c r="K1894" s="582">
        <f t="shared" si="84"/>
        <v>0</v>
      </c>
      <c r="L1894" s="563">
        <f t="shared" si="85"/>
        <v>0</v>
      </c>
      <c r="M1894" s="563">
        <f t="shared" si="86"/>
        <v>70.784999999999997</v>
      </c>
      <c r="N1894" s="580"/>
    </row>
    <row r="1895" spans="4:14" x14ac:dyDescent="0.25">
      <c r="D1895" s="559" t="s">
        <v>867</v>
      </c>
      <c r="E1895" s="558">
        <v>312480</v>
      </c>
      <c r="F1895" s="559">
        <v>302609</v>
      </c>
      <c r="G1895" s="558" t="s">
        <v>2254</v>
      </c>
      <c r="H1895" s="564">
        <v>40015</v>
      </c>
      <c r="I1895" s="563">
        <v>64.349999999999994</v>
      </c>
      <c r="J1895" s="563">
        <v>-64.349999999999994</v>
      </c>
      <c r="K1895" s="582">
        <f t="shared" si="84"/>
        <v>0</v>
      </c>
      <c r="L1895" s="563">
        <f t="shared" si="85"/>
        <v>0</v>
      </c>
      <c r="M1895" s="563">
        <f t="shared" si="86"/>
        <v>70.784999999999997</v>
      </c>
      <c r="N1895" s="580"/>
    </row>
    <row r="1896" spans="4:14" x14ac:dyDescent="0.25">
      <c r="D1896" s="559" t="s">
        <v>867</v>
      </c>
      <c r="E1896" s="558">
        <v>312481</v>
      </c>
      <c r="F1896" s="559">
        <v>302610</v>
      </c>
      <c r="G1896" s="558" t="s">
        <v>2254</v>
      </c>
      <c r="H1896" s="564">
        <v>40015</v>
      </c>
      <c r="I1896" s="563">
        <v>64.349999999999994</v>
      </c>
      <c r="J1896" s="563">
        <v>-64.349999999999994</v>
      </c>
      <c r="K1896" s="582">
        <f t="shared" si="84"/>
        <v>0</v>
      </c>
      <c r="L1896" s="563">
        <f t="shared" si="85"/>
        <v>0</v>
      </c>
      <c r="M1896" s="563">
        <f t="shared" si="86"/>
        <v>70.784999999999997</v>
      </c>
      <c r="N1896" s="580"/>
    </row>
    <row r="1897" spans="4:14" x14ac:dyDescent="0.25">
      <c r="D1897" s="559" t="s">
        <v>867</v>
      </c>
      <c r="E1897" s="558">
        <v>312482</v>
      </c>
      <c r="F1897" s="559">
        <v>302611</v>
      </c>
      <c r="G1897" s="558" t="s">
        <v>2254</v>
      </c>
      <c r="H1897" s="564">
        <v>40015</v>
      </c>
      <c r="I1897" s="563">
        <v>64.349999999999994</v>
      </c>
      <c r="J1897" s="563">
        <v>-64.349999999999994</v>
      </c>
      <c r="K1897" s="582">
        <f t="shared" ref="K1897:K1960" si="87">+I1897+J1897</f>
        <v>0</v>
      </c>
      <c r="L1897" s="563">
        <f t="shared" ref="L1897:L1960" si="88">+K1897*1.1</f>
        <v>0</v>
      </c>
      <c r="M1897" s="563">
        <f t="shared" ref="M1897:M1960" si="89">+I1897*1.1</f>
        <v>70.784999999999997</v>
      </c>
      <c r="N1897" s="580"/>
    </row>
    <row r="1898" spans="4:14" x14ac:dyDescent="0.25">
      <c r="D1898" s="559" t="s">
        <v>867</v>
      </c>
      <c r="E1898" s="558">
        <v>312483</v>
      </c>
      <c r="F1898" s="559">
        <v>302612</v>
      </c>
      <c r="G1898" s="558" t="s">
        <v>2255</v>
      </c>
      <c r="H1898" s="564">
        <v>40015</v>
      </c>
      <c r="I1898" s="563">
        <v>64.349999999999994</v>
      </c>
      <c r="J1898" s="563">
        <v>-64.349999999999994</v>
      </c>
      <c r="K1898" s="582">
        <f t="shared" si="87"/>
        <v>0</v>
      </c>
      <c r="L1898" s="563">
        <f t="shared" si="88"/>
        <v>0</v>
      </c>
      <c r="M1898" s="563">
        <f t="shared" si="89"/>
        <v>70.784999999999997</v>
      </c>
      <c r="N1898" s="580"/>
    </row>
    <row r="1899" spans="4:14" x14ac:dyDescent="0.25">
      <c r="D1899" s="559" t="s">
        <v>867</v>
      </c>
      <c r="E1899" s="558">
        <v>312484</v>
      </c>
      <c r="F1899" s="559">
        <v>302613</v>
      </c>
      <c r="G1899" s="558" t="s">
        <v>2255</v>
      </c>
      <c r="H1899" s="564">
        <v>40015</v>
      </c>
      <c r="I1899" s="563">
        <v>64.349999999999994</v>
      </c>
      <c r="J1899" s="563">
        <v>-64.349999999999994</v>
      </c>
      <c r="K1899" s="582">
        <f t="shared" si="87"/>
        <v>0</v>
      </c>
      <c r="L1899" s="563">
        <f t="shared" si="88"/>
        <v>0</v>
      </c>
      <c r="M1899" s="563">
        <f t="shared" si="89"/>
        <v>70.784999999999997</v>
      </c>
      <c r="N1899" s="580"/>
    </row>
    <row r="1900" spans="4:14" x14ac:dyDescent="0.25">
      <c r="D1900" s="559" t="s">
        <v>867</v>
      </c>
      <c r="E1900" s="558">
        <v>312486</v>
      </c>
      <c r="F1900" s="559">
        <v>302614</v>
      </c>
      <c r="G1900" s="558" t="s">
        <v>2255</v>
      </c>
      <c r="H1900" s="564">
        <v>40015</v>
      </c>
      <c r="I1900" s="563">
        <v>64.349999999999994</v>
      </c>
      <c r="J1900" s="563">
        <v>-64.349999999999994</v>
      </c>
      <c r="K1900" s="582">
        <f t="shared" si="87"/>
        <v>0</v>
      </c>
      <c r="L1900" s="563">
        <f t="shared" si="88"/>
        <v>0</v>
      </c>
      <c r="M1900" s="563">
        <f t="shared" si="89"/>
        <v>70.784999999999997</v>
      </c>
      <c r="N1900" s="580"/>
    </row>
    <row r="1901" spans="4:14" x14ac:dyDescent="0.25">
      <c r="D1901" s="559" t="s">
        <v>867</v>
      </c>
      <c r="E1901" s="558">
        <v>312487</v>
      </c>
      <c r="F1901" s="559">
        <v>302615</v>
      </c>
      <c r="G1901" s="558" t="s">
        <v>2255</v>
      </c>
      <c r="H1901" s="564">
        <v>40015</v>
      </c>
      <c r="I1901" s="563">
        <v>64.349999999999994</v>
      </c>
      <c r="J1901" s="563">
        <v>-64.349999999999994</v>
      </c>
      <c r="K1901" s="582">
        <f t="shared" si="87"/>
        <v>0</v>
      </c>
      <c r="L1901" s="563">
        <f t="shared" si="88"/>
        <v>0</v>
      </c>
      <c r="M1901" s="563">
        <f t="shared" si="89"/>
        <v>70.784999999999997</v>
      </c>
      <c r="N1901" s="580"/>
    </row>
    <row r="1902" spans="4:14" x14ac:dyDescent="0.25">
      <c r="D1902" s="559" t="s">
        <v>867</v>
      </c>
      <c r="E1902" s="558">
        <v>312488</v>
      </c>
      <c r="F1902" s="559">
        <v>302616</v>
      </c>
      <c r="G1902" s="558" t="s">
        <v>2255</v>
      </c>
      <c r="H1902" s="564">
        <v>40015</v>
      </c>
      <c r="I1902" s="563">
        <v>64.349999999999994</v>
      </c>
      <c r="J1902" s="563">
        <v>-64.349999999999994</v>
      </c>
      <c r="K1902" s="582">
        <f t="shared" si="87"/>
        <v>0</v>
      </c>
      <c r="L1902" s="563">
        <f t="shared" si="88"/>
        <v>0</v>
      </c>
      <c r="M1902" s="563">
        <f t="shared" si="89"/>
        <v>70.784999999999997</v>
      </c>
      <c r="N1902" s="580"/>
    </row>
    <row r="1903" spans="4:14" x14ac:dyDescent="0.25">
      <c r="D1903" s="559" t="s">
        <v>867</v>
      </c>
      <c r="E1903" s="558">
        <v>312489</v>
      </c>
      <c r="F1903" s="559">
        <v>302617</v>
      </c>
      <c r="G1903" s="558" t="s">
        <v>2256</v>
      </c>
      <c r="H1903" s="564">
        <v>40015</v>
      </c>
      <c r="I1903" s="563">
        <v>415.35</v>
      </c>
      <c r="J1903" s="563">
        <v>-415.35</v>
      </c>
      <c r="K1903" s="582">
        <f t="shared" si="87"/>
        <v>0</v>
      </c>
      <c r="L1903" s="563">
        <f t="shared" si="88"/>
        <v>0</v>
      </c>
      <c r="M1903" s="563">
        <f t="shared" si="89"/>
        <v>456.88500000000005</v>
      </c>
      <c r="N1903" s="580"/>
    </row>
    <row r="1904" spans="4:14" x14ac:dyDescent="0.25">
      <c r="D1904" s="559" t="s">
        <v>867</v>
      </c>
      <c r="E1904" s="558">
        <v>312490</v>
      </c>
      <c r="F1904" s="559">
        <v>300374</v>
      </c>
      <c r="G1904" s="558" t="s">
        <v>2256</v>
      </c>
      <c r="H1904" s="564">
        <v>40015</v>
      </c>
      <c r="I1904" s="563">
        <v>64.349999999999994</v>
      </c>
      <c r="J1904" s="563">
        <v>-64.349999999999994</v>
      </c>
      <c r="K1904" s="582">
        <f t="shared" si="87"/>
        <v>0</v>
      </c>
      <c r="L1904" s="563">
        <f t="shared" si="88"/>
        <v>0</v>
      </c>
      <c r="M1904" s="563">
        <f t="shared" si="89"/>
        <v>70.784999999999997</v>
      </c>
      <c r="N1904" s="580"/>
    </row>
    <row r="1905" spans="4:14" x14ac:dyDescent="0.25">
      <c r="D1905" s="559" t="s">
        <v>867</v>
      </c>
      <c r="E1905" s="558">
        <v>312491</v>
      </c>
      <c r="F1905" s="559">
        <v>302619</v>
      </c>
      <c r="G1905" s="558" t="s">
        <v>2256</v>
      </c>
      <c r="H1905" s="564">
        <v>40015</v>
      </c>
      <c r="I1905" s="563">
        <v>64.349999999999994</v>
      </c>
      <c r="J1905" s="563">
        <v>-64.349999999999994</v>
      </c>
      <c r="K1905" s="582">
        <f t="shared" si="87"/>
        <v>0</v>
      </c>
      <c r="L1905" s="563">
        <f t="shared" si="88"/>
        <v>0</v>
      </c>
      <c r="M1905" s="563">
        <f t="shared" si="89"/>
        <v>70.784999999999997</v>
      </c>
      <c r="N1905" s="580"/>
    </row>
    <row r="1906" spans="4:14" x14ac:dyDescent="0.25">
      <c r="D1906" s="559" t="s">
        <v>867</v>
      </c>
      <c r="E1906" s="558">
        <v>312492</v>
      </c>
      <c r="F1906" s="559">
        <v>302620</v>
      </c>
      <c r="G1906" s="558" t="s">
        <v>2256</v>
      </c>
      <c r="H1906" s="564">
        <v>40015</v>
      </c>
      <c r="I1906" s="563">
        <v>64.349999999999994</v>
      </c>
      <c r="J1906" s="563">
        <v>-64.349999999999994</v>
      </c>
      <c r="K1906" s="582">
        <f t="shared" si="87"/>
        <v>0</v>
      </c>
      <c r="L1906" s="563">
        <f t="shared" si="88"/>
        <v>0</v>
      </c>
      <c r="M1906" s="563">
        <f t="shared" si="89"/>
        <v>70.784999999999997</v>
      </c>
      <c r="N1906" s="580"/>
    </row>
    <row r="1907" spans="4:14" x14ac:dyDescent="0.25">
      <c r="D1907" s="559" t="s">
        <v>867</v>
      </c>
      <c r="E1907" s="558">
        <v>312493</v>
      </c>
      <c r="F1907" s="559">
        <v>302621</v>
      </c>
      <c r="G1907" s="558" t="s">
        <v>2256</v>
      </c>
      <c r="H1907" s="564">
        <v>40015</v>
      </c>
      <c r="I1907" s="563">
        <v>25.35</v>
      </c>
      <c r="J1907" s="563">
        <v>-25.35</v>
      </c>
      <c r="K1907" s="582">
        <f t="shared" si="87"/>
        <v>0</v>
      </c>
      <c r="L1907" s="563">
        <f t="shared" si="88"/>
        <v>0</v>
      </c>
      <c r="M1907" s="563">
        <f t="shared" si="89"/>
        <v>27.885000000000005</v>
      </c>
      <c r="N1907" s="580"/>
    </row>
    <row r="1908" spans="4:14" x14ac:dyDescent="0.25">
      <c r="D1908" s="559" t="s">
        <v>867</v>
      </c>
      <c r="E1908" s="558">
        <v>312494</v>
      </c>
      <c r="F1908" s="559">
        <v>302622</v>
      </c>
      <c r="G1908" s="558" t="s">
        <v>2257</v>
      </c>
      <c r="H1908" s="564">
        <v>40015</v>
      </c>
      <c r="I1908" s="563">
        <v>25.35</v>
      </c>
      <c r="J1908" s="563">
        <v>-25.35</v>
      </c>
      <c r="K1908" s="582">
        <f t="shared" si="87"/>
        <v>0</v>
      </c>
      <c r="L1908" s="563">
        <f t="shared" si="88"/>
        <v>0</v>
      </c>
      <c r="M1908" s="563">
        <f t="shared" si="89"/>
        <v>27.885000000000005</v>
      </c>
      <c r="N1908" s="580"/>
    </row>
    <row r="1909" spans="4:14" x14ac:dyDescent="0.25">
      <c r="D1909" s="559" t="s">
        <v>867</v>
      </c>
      <c r="E1909" s="558">
        <v>312495</v>
      </c>
      <c r="F1909" s="559">
        <v>302623</v>
      </c>
      <c r="G1909" s="558" t="s">
        <v>2257</v>
      </c>
      <c r="H1909" s="564">
        <v>40015</v>
      </c>
      <c r="I1909" s="563">
        <v>25.35</v>
      </c>
      <c r="J1909" s="563">
        <v>-25.35</v>
      </c>
      <c r="K1909" s="582">
        <f t="shared" si="87"/>
        <v>0</v>
      </c>
      <c r="L1909" s="563">
        <f t="shared" si="88"/>
        <v>0</v>
      </c>
      <c r="M1909" s="563">
        <f t="shared" si="89"/>
        <v>27.885000000000005</v>
      </c>
      <c r="N1909" s="580"/>
    </row>
    <row r="1910" spans="4:14" x14ac:dyDescent="0.25">
      <c r="D1910" s="559" t="s">
        <v>867</v>
      </c>
      <c r="E1910" s="558">
        <v>312496</v>
      </c>
      <c r="F1910" s="559">
        <v>302624</v>
      </c>
      <c r="G1910" s="558" t="s">
        <v>2257</v>
      </c>
      <c r="H1910" s="564">
        <v>40015</v>
      </c>
      <c r="I1910" s="563">
        <v>805.35</v>
      </c>
      <c r="J1910" s="563">
        <v>-585</v>
      </c>
      <c r="K1910" s="582">
        <f t="shared" si="87"/>
        <v>220.35000000000002</v>
      </c>
      <c r="L1910" s="563">
        <f t="shared" si="88"/>
        <v>242.38500000000005</v>
      </c>
      <c r="M1910" s="563">
        <f t="shared" si="89"/>
        <v>885.8850000000001</v>
      </c>
      <c r="N1910" s="580"/>
    </row>
    <row r="1911" spans="4:14" x14ac:dyDescent="0.25">
      <c r="D1911" s="559" t="s">
        <v>867</v>
      </c>
      <c r="E1911" s="558">
        <v>312497</v>
      </c>
      <c r="F1911" s="559">
        <v>302625</v>
      </c>
      <c r="G1911" s="558" t="s">
        <v>2257</v>
      </c>
      <c r="H1911" s="564">
        <v>40015</v>
      </c>
      <c r="I1911" s="563">
        <v>727.35</v>
      </c>
      <c r="J1911" s="563">
        <v>-585</v>
      </c>
      <c r="K1911" s="582">
        <f t="shared" si="87"/>
        <v>142.35000000000002</v>
      </c>
      <c r="L1911" s="563">
        <f t="shared" si="88"/>
        <v>156.58500000000004</v>
      </c>
      <c r="M1911" s="563">
        <f t="shared" si="89"/>
        <v>800.08500000000004</v>
      </c>
      <c r="N1911" s="580"/>
    </row>
    <row r="1912" spans="4:14" x14ac:dyDescent="0.25">
      <c r="D1912" s="559" t="s">
        <v>867</v>
      </c>
      <c r="E1912" s="558">
        <v>312498</v>
      </c>
      <c r="F1912" s="559">
        <v>302626</v>
      </c>
      <c r="G1912" s="558" t="s">
        <v>2257</v>
      </c>
      <c r="H1912" s="564">
        <v>40015</v>
      </c>
      <c r="I1912" s="563">
        <v>649.35</v>
      </c>
      <c r="J1912" s="563">
        <v>-585</v>
      </c>
      <c r="K1912" s="582">
        <f t="shared" si="87"/>
        <v>64.350000000000023</v>
      </c>
      <c r="L1912" s="563">
        <f t="shared" si="88"/>
        <v>70.785000000000025</v>
      </c>
      <c r="M1912" s="563">
        <f t="shared" si="89"/>
        <v>714.28500000000008</v>
      </c>
      <c r="N1912" s="580"/>
    </row>
    <row r="1913" spans="4:14" x14ac:dyDescent="0.25">
      <c r="D1913" s="559" t="s">
        <v>867</v>
      </c>
      <c r="E1913" s="558">
        <v>312499</v>
      </c>
      <c r="F1913" s="559">
        <v>302627</v>
      </c>
      <c r="G1913" s="558" t="s">
        <v>2258</v>
      </c>
      <c r="H1913" s="564">
        <v>40015</v>
      </c>
      <c r="I1913" s="563">
        <v>25.35</v>
      </c>
      <c r="J1913" s="563">
        <v>-25.35</v>
      </c>
      <c r="K1913" s="582">
        <f t="shared" si="87"/>
        <v>0</v>
      </c>
      <c r="L1913" s="563">
        <f t="shared" si="88"/>
        <v>0</v>
      </c>
      <c r="M1913" s="563">
        <f t="shared" si="89"/>
        <v>27.885000000000005</v>
      </c>
      <c r="N1913" s="580"/>
    </row>
    <row r="1914" spans="4:14" x14ac:dyDescent="0.25">
      <c r="D1914" s="559" t="s">
        <v>867</v>
      </c>
      <c r="E1914" s="558">
        <v>312500</v>
      </c>
      <c r="F1914" s="559">
        <v>302628</v>
      </c>
      <c r="G1914" s="558" t="s">
        <v>2258</v>
      </c>
      <c r="H1914" s="564">
        <v>40015</v>
      </c>
      <c r="I1914" s="563">
        <v>64.349999999999994</v>
      </c>
      <c r="J1914" s="563">
        <v>-64.349999999999994</v>
      </c>
      <c r="K1914" s="582">
        <f t="shared" si="87"/>
        <v>0</v>
      </c>
      <c r="L1914" s="563">
        <f t="shared" si="88"/>
        <v>0</v>
      </c>
      <c r="M1914" s="563">
        <f t="shared" si="89"/>
        <v>70.784999999999997</v>
      </c>
      <c r="N1914" s="580"/>
    </row>
    <row r="1915" spans="4:14" x14ac:dyDescent="0.25">
      <c r="D1915" s="559" t="s">
        <v>867</v>
      </c>
      <c r="E1915" s="558">
        <v>312501</v>
      </c>
      <c r="F1915" s="559">
        <v>302629</v>
      </c>
      <c r="G1915" s="558" t="s">
        <v>2258</v>
      </c>
      <c r="H1915" s="564">
        <v>40015</v>
      </c>
      <c r="I1915" s="563">
        <v>64.349999999999994</v>
      </c>
      <c r="J1915" s="563">
        <v>-64.349999999999994</v>
      </c>
      <c r="K1915" s="582">
        <f t="shared" si="87"/>
        <v>0</v>
      </c>
      <c r="L1915" s="563">
        <f t="shared" si="88"/>
        <v>0</v>
      </c>
      <c r="M1915" s="563">
        <f t="shared" si="89"/>
        <v>70.784999999999997</v>
      </c>
      <c r="N1915" s="580"/>
    </row>
    <row r="1916" spans="4:14" x14ac:dyDescent="0.25">
      <c r="D1916" s="559" t="s">
        <v>867</v>
      </c>
      <c r="E1916" s="558">
        <v>312502</v>
      </c>
      <c r="F1916" s="559">
        <v>302630</v>
      </c>
      <c r="G1916" s="558" t="s">
        <v>2258</v>
      </c>
      <c r="H1916" s="564">
        <v>40015</v>
      </c>
      <c r="I1916" s="563">
        <v>25.35</v>
      </c>
      <c r="J1916" s="563">
        <v>-25.35</v>
      </c>
      <c r="K1916" s="582">
        <f t="shared" si="87"/>
        <v>0</v>
      </c>
      <c r="L1916" s="563">
        <f t="shared" si="88"/>
        <v>0</v>
      </c>
      <c r="M1916" s="563">
        <f t="shared" si="89"/>
        <v>27.885000000000005</v>
      </c>
      <c r="N1916" s="580"/>
    </row>
    <row r="1917" spans="4:14" x14ac:dyDescent="0.25">
      <c r="D1917" s="559" t="s">
        <v>867</v>
      </c>
      <c r="E1917" s="558">
        <v>312503</v>
      </c>
      <c r="F1917" s="559">
        <v>302631</v>
      </c>
      <c r="G1917" s="558" t="s">
        <v>2258</v>
      </c>
      <c r="H1917" s="564">
        <v>40015</v>
      </c>
      <c r="I1917" s="563">
        <v>64.349999999999994</v>
      </c>
      <c r="J1917" s="563">
        <v>-64.349999999999994</v>
      </c>
      <c r="K1917" s="582">
        <f t="shared" si="87"/>
        <v>0</v>
      </c>
      <c r="L1917" s="563">
        <f t="shared" si="88"/>
        <v>0</v>
      </c>
      <c r="M1917" s="563">
        <f t="shared" si="89"/>
        <v>70.784999999999997</v>
      </c>
      <c r="N1917" s="580"/>
    </row>
    <row r="1918" spans="4:14" x14ac:dyDescent="0.25">
      <c r="D1918" s="559" t="s">
        <v>867</v>
      </c>
      <c r="E1918" s="558">
        <v>312504</v>
      </c>
      <c r="F1918" s="559">
        <v>302632</v>
      </c>
      <c r="G1918" s="558" t="s">
        <v>2259</v>
      </c>
      <c r="H1918" s="564">
        <v>40015</v>
      </c>
      <c r="I1918" s="563">
        <v>727.35</v>
      </c>
      <c r="J1918" s="563">
        <v>-585</v>
      </c>
      <c r="K1918" s="582">
        <f t="shared" si="87"/>
        <v>142.35000000000002</v>
      </c>
      <c r="L1918" s="563">
        <f t="shared" si="88"/>
        <v>156.58500000000004</v>
      </c>
      <c r="M1918" s="563">
        <f t="shared" si="89"/>
        <v>800.08500000000004</v>
      </c>
      <c r="N1918" s="580"/>
    </row>
    <row r="1919" spans="4:14" x14ac:dyDescent="0.25">
      <c r="D1919" s="559" t="s">
        <v>867</v>
      </c>
      <c r="E1919" s="558">
        <v>312505</v>
      </c>
      <c r="F1919" s="559">
        <v>302633</v>
      </c>
      <c r="G1919" s="558" t="s">
        <v>2259</v>
      </c>
      <c r="H1919" s="564">
        <v>40015</v>
      </c>
      <c r="I1919" s="563">
        <v>64.349999999999994</v>
      </c>
      <c r="J1919" s="563">
        <v>-64.349999999999994</v>
      </c>
      <c r="K1919" s="582">
        <f t="shared" si="87"/>
        <v>0</v>
      </c>
      <c r="L1919" s="563">
        <f t="shared" si="88"/>
        <v>0</v>
      </c>
      <c r="M1919" s="563">
        <f t="shared" si="89"/>
        <v>70.784999999999997</v>
      </c>
      <c r="N1919" s="580"/>
    </row>
    <row r="1920" spans="4:14" x14ac:dyDescent="0.25">
      <c r="D1920" s="559" t="s">
        <v>867</v>
      </c>
      <c r="E1920" s="558">
        <v>312506</v>
      </c>
      <c r="F1920" s="559">
        <v>302634</v>
      </c>
      <c r="G1920" s="558" t="s">
        <v>2259</v>
      </c>
      <c r="H1920" s="564">
        <v>40015</v>
      </c>
      <c r="I1920" s="563">
        <v>649.35</v>
      </c>
      <c r="J1920" s="563">
        <v>-585</v>
      </c>
      <c r="K1920" s="582">
        <f t="shared" si="87"/>
        <v>64.350000000000023</v>
      </c>
      <c r="L1920" s="563">
        <f t="shared" si="88"/>
        <v>70.785000000000025</v>
      </c>
      <c r="M1920" s="563">
        <f t="shared" si="89"/>
        <v>714.28500000000008</v>
      </c>
      <c r="N1920" s="580"/>
    </row>
    <row r="1921" spans="4:14" x14ac:dyDescent="0.25">
      <c r="D1921" s="559" t="s">
        <v>867</v>
      </c>
      <c r="E1921" s="558">
        <v>312507</v>
      </c>
      <c r="F1921" s="559">
        <v>302635</v>
      </c>
      <c r="G1921" s="558" t="s">
        <v>2259</v>
      </c>
      <c r="H1921" s="564">
        <v>40015</v>
      </c>
      <c r="I1921" s="563">
        <v>64.349999999999994</v>
      </c>
      <c r="J1921" s="563">
        <v>-64.349999999999994</v>
      </c>
      <c r="K1921" s="582">
        <f t="shared" si="87"/>
        <v>0</v>
      </c>
      <c r="L1921" s="563">
        <f t="shared" si="88"/>
        <v>0</v>
      </c>
      <c r="M1921" s="563">
        <f t="shared" si="89"/>
        <v>70.784999999999997</v>
      </c>
      <c r="N1921" s="580"/>
    </row>
    <row r="1922" spans="4:14" x14ac:dyDescent="0.25">
      <c r="D1922" s="559" t="s">
        <v>867</v>
      </c>
      <c r="E1922" s="558">
        <v>312508</v>
      </c>
      <c r="F1922" s="559">
        <v>302636</v>
      </c>
      <c r="G1922" s="558" t="s">
        <v>2259</v>
      </c>
      <c r="H1922" s="564">
        <v>40015</v>
      </c>
      <c r="I1922" s="563">
        <v>571.35</v>
      </c>
      <c r="J1922" s="563">
        <v>-571.35</v>
      </c>
      <c r="K1922" s="582">
        <f t="shared" si="87"/>
        <v>0</v>
      </c>
      <c r="L1922" s="563">
        <f t="shared" si="88"/>
        <v>0</v>
      </c>
      <c r="M1922" s="563">
        <f t="shared" si="89"/>
        <v>628.48500000000013</v>
      </c>
      <c r="N1922" s="580"/>
    </row>
    <row r="1923" spans="4:14" x14ac:dyDescent="0.25">
      <c r="D1923" s="559" t="s">
        <v>867</v>
      </c>
      <c r="E1923" s="558">
        <v>312509</v>
      </c>
      <c r="F1923" s="559">
        <v>303447</v>
      </c>
      <c r="G1923" s="558" t="s">
        <v>2260</v>
      </c>
      <c r="H1923" s="564">
        <v>40015</v>
      </c>
      <c r="I1923" s="563">
        <v>727.35</v>
      </c>
      <c r="J1923" s="563">
        <v>-585</v>
      </c>
      <c r="K1923" s="582">
        <f t="shared" si="87"/>
        <v>142.35000000000002</v>
      </c>
      <c r="L1923" s="563">
        <f t="shared" si="88"/>
        <v>156.58500000000004</v>
      </c>
      <c r="M1923" s="563">
        <f t="shared" si="89"/>
        <v>800.08500000000004</v>
      </c>
      <c r="N1923" s="580"/>
    </row>
    <row r="1924" spans="4:14" x14ac:dyDescent="0.25">
      <c r="D1924" s="559" t="s">
        <v>867</v>
      </c>
      <c r="E1924" s="558">
        <v>312510</v>
      </c>
      <c r="F1924" s="559">
        <v>302637</v>
      </c>
      <c r="G1924" s="558" t="s">
        <v>2260</v>
      </c>
      <c r="H1924" s="564">
        <v>40015</v>
      </c>
      <c r="I1924" s="563">
        <v>571.35</v>
      </c>
      <c r="J1924" s="563">
        <v>-571.35</v>
      </c>
      <c r="K1924" s="582">
        <f t="shared" si="87"/>
        <v>0</v>
      </c>
      <c r="L1924" s="563">
        <f t="shared" si="88"/>
        <v>0</v>
      </c>
      <c r="M1924" s="563">
        <f t="shared" si="89"/>
        <v>628.48500000000013</v>
      </c>
      <c r="N1924" s="580"/>
    </row>
    <row r="1925" spans="4:14" x14ac:dyDescent="0.25">
      <c r="D1925" s="559" t="s">
        <v>867</v>
      </c>
      <c r="E1925" s="558">
        <v>312511</v>
      </c>
      <c r="F1925" s="559">
        <v>302638</v>
      </c>
      <c r="G1925" s="558" t="s">
        <v>2260</v>
      </c>
      <c r="H1925" s="564">
        <v>40015</v>
      </c>
      <c r="I1925" s="563">
        <v>571.35</v>
      </c>
      <c r="J1925" s="563">
        <v>-571.35</v>
      </c>
      <c r="K1925" s="582">
        <f t="shared" si="87"/>
        <v>0</v>
      </c>
      <c r="L1925" s="563">
        <f t="shared" si="88"/>
        <v>0</v>
      </c>
      <c r="M1925" s="563">
        <f t="shared" si="89"/>
        <v>628.48500000000013</v>
      </c>
      <c r="N1925" s="580"/>
    </row>
    <row r="1926" spans="4:14" x14ac:dyDescent="0.25">
      <c r="D1926" s="559" t="s">
        <v>867</v>
      </c>
      <c r="E1926" s="558">
        <v>312512</v>
      </c>
      <c r="F1926" s="559">
        <v>302639</v>
      </c>
      <c r="G1926" s="558" t="s">
        <v>2260</v>
      </c>
      <c r="H1926" s="564">
        <v>40015</v>
      </c>
      <c r="I1926" s="563">
        <v>571.35</v>
      </c>
      <c r="J1926" s="563">
        <v>-571.35</v>
      </c>
      <c r="K1926" s="582">
        <f t="shared" si="87"/>
        <v>0</v>
      </c>
      <c r="L1926" s="563">
        <f t="shared" si="88"/>
        <v>0</v>
      </c>
      <c r="M1926" s="563">
        <f t="shared" si="89"/>
        <v>628.48500000000013</v>
      </c>
      <c r="N1926" s="580"/>
    </row>
    <row r="1927" spans="4:14" x14ac:dyDescent="0.25">
      <c r="D1927" s="559" t="s">
        <v>867</v>
      </c>
      <c r="E1927" s="558">
        <v>312513</v>
      </c>
      <c r="F1927" s="559">
        <v>302640</v>
      </c>
      <c r="G1927" s="558" t="s">
        <v>2260</v>
      </c>
      <c r="H1927" s="564">
        <v>40015</v>
      </c>
      <c r="I1927" s="563">
        <v>64.349999999999994</v>
      </c>
      <c r="J1927" s="563">
        <v>-64.349999999999994</v>
      </c>
      <c r="K1927" s="582">
        <f t="shared" si="87"/>
        <v>0</v>
      </c>
      <c r="L1927" s="563">
        <f t="shared" si="88"/>
        <v>0</v>
      </c>
      <c r="M1927" s="563">
        <f t="shared" si="89"/>
        <v>70.784999999999997</v>
      </c>
      <c r="N1927" s="580"/>
    </row>
    <row r="1928" spans="4:14" x14ac:dyDescent="0.25">
      <c r="D1928" s="559" t="s">
        <v>867</v>
      </c>
      <c r="E1928" s="558">
        <v>312514</v>
      </c>
      <c r="F1928" s="559">
        <v>302641</v>
      </c>
      <c r="G1928" s="558" t="s">
        <v>2261</v>
      </c>
      <c r="H1928" s="564">
        <v>40015</v>
      </c>
      <c r="I1928" s="563">
        <v>64.349999999999994</v>
      </c>
      <c r="J1928" s="563">
        <v>-64.349999999999994</v>
      </c>
      <c r="K1928" s="582">
        <f t="shared" si="87"/>
        <v>0</v>
      </c>
      <c r="L1928" s="563">
        <f t="shared" si="88"/>
        <v>0</v>
      </c>
      <c r="M1928" s="563">
        <f t="shared" si="89"/>
        <v>70.784999999999997</v>
      </c>
      <c r="N1928" s="580"/>
    </row>
    <row r="1929" spans="4:14" x14ac:dyDescent="0.25">
      <c r="D1929" s="559" t="s">
        <v>867</v>
      </c>
      <c r="E1929" s="558">
        <v>312515</v>
      </c>
      <c r="F1929" s="559">
        <v>302642</v>
      </c>
      <c r="G1929" s="558" t="s">
        <v>2261</v>
      </c>
      <c r="H1929" s="564">
        <v>40015</v>
      </c>
      <c r="I1929" s="563">
        <v>25.35</v>
      </c>
      <c r="J1929" s="563">
        <v>-25.35</v>
      </c>
      <c r="K1929" s="582">
        <f t="shared" si="87"/>
        <v>0</v>
      </c>
      <c r="L1929" s="563">
        <f t="shared" si="88"/>
        <v>0</v>
      </c>
      <c r="M1929" s="563">
        <f t="shared" si="89"/>
        <v>27.885000000000005</v>
      </c>
      <c r="N1929" s="580"/>
    </row>
    <row r="1930" spans="4:14" x14ac:dyDescent="0.25">
      <c r="D1930" s="559" t="s">
        <v>867</v>
      </c>
      <c r="E1930" s="558">
        <v>312516</v>
      </c>
      <c r="F1930" s="559">
        <v>302643</v>
      </c>
      <c r="G1930" s="558" t="s">
        <v>2261</v>
      </c>
      <c r="H1930" s="564">
        <v>40015</v>
      </c>
      <c r="I1930" s="563">
        <v>727.35</v>
      </c>
      <c r="J1930" s="563">
        <v>-585</v>
      </c>
      <c r="K1930" s="582">
        <f t="shared" si="87"/>
        <v>142.35000000000002</v>
      </c>
      <c r="L1930" s="563">
        <f t="shared" si="88"/>
        <v>156.58500000000004</v>
      </c>
      <c r="M1930" s="563">
        <f t="shared" si="89"/>
        <v>800.08500000000004</v>
      </c>
      <c r="N1930" s="580"/>
    </row>
    <row r="1931" spans="4:14" x14ac:dyDescent="0.25">
      <c r="D1931" s="559" t="s">
        <v>867</v>
      </c>
      <c r="E1931" s="558">
        <v>312517</v>
      </c>
      <c r="F1931" s="559">
        <v>302644</v>
      </c>
      <c r="G1931" s="558" t="s">
        <v>2261</v>
      </c>
      <c r="H1931" s="564">
        <v>40015</v>
      </c>
      <c r="I1931" s="563">
        <v>727.35</v>
      </c>
      <c r="J1931" s="563">
        <v>-585</v>
      </c>
      <c r="K1931" s="582">
        <f t="shared" si="87"/>
        <v>142.35000000000002</v>
      </c>
      <c r="L1931" s="563">
        <f t="shared" si="88"/>
        <v>156.58500000000004</v>
      </c>
      <c r="M1931" s="563">
        <f t="shared" si="89"/>
        <v>800.08500000000004</v>
      </c>
      <c r="N1931" s="580"/>
    </row>
    <row r="1932" spans="4:14" x14ac:dyDescent="0.25">
      <c r="D1932" s="559" t="s">
        <v>867</v>
      </c>
      <c r="E1932" s="558">
        <v>312518</v>
      </c>
      <c r="F1932" s="559">
        <v>302645</v>
      </c>
      <c r="G1932" s="558" t="s">
        <v>2261</v>
      </c>
      <c r="H1932" s="564">
        <v>40015</v>
      </c>
      <c r="I1932" s="563">
        <v>727.35</v>
      </c>
      <c r="J1932" s="563">
        <v>-585</v>
      </c>
      <c r="K1932" s="582">
        <f t="shared" si="87"/>
        <v>142.35000000000002</v>
      </c>
      <c r="L1932" s="563">
        <f t="shared" si="88"/>
        <v>156.58500000000004</v>
      </c>
      <c r="M1932" s="563">
        <f t="shared" si="89"/>
        <v>800.08500000000004</v>
      </c>
      <c r="N1932" s="580"/>
    </row>
    <row r="1933" spans="4:14" x14ac:dyDescent="0.25">
      <c r="D1933" s="559" t="s">
        <v>867</v>
      </c>
      <c r="E1933" s="558">
        <v>312519</v>
      </c>
      <c r="F1933" s="559">
        <v>302646</v>
      </c>
      <c r="G1933" s="558" t="s">
        <v>2262</v>
      </c>
      <c r="H1933" s="564">
        <v>40015</v>
      </c>
      <c r="I1933" s="563">
        <v>727.35</v>
      </c>
      <c r="J1933" s="563">
        <v>-585</v>
      </c>
      <c r="K1933" s="582">
        <f t="shared" si="87"/>
        <v>142.35000000000002</v>
      </c>
      <c r="L1933" s="563">
        <f t="shared" si="88"/>
        <v>156.58500000000004</v>
      </c>
      <c r="M1933" s="563">
        <f t="shared" si="89"/>
        <v>800.08500000000004</v>
      </c>
      <c r="N1933" s="580"/>
    </row>
    <row r="1934" spans="4:14" x14ac:dyDescent="0.25">
      <c r="D1934" s="559" t="s">
        <v>867</v>
      </c>
      <c r="E1934" s="558">
        <v>312520</v>
      </c>
      <c r="F1934" s="559">
        <v>302647</v>
      </c>
      <c r="G1934" s="558" t="s">
        <v>2262</v>
      </c>
      <c r="H1934" s="564">
        <v>40015</v>
      </c>
      <c r="I1934" s="563">
        <v>727.35</v>
      </c>
      <c r="J1934" s="563">
        <v>-585</v>
      </c>
      <c r="K1934" s="582">
        <f t="shared" si="87"/>
        <v>142.35000000000002</v>
      </c>
      <c r="L1934" s="563">
        <f t="shared" si="88"/>
        <v>156.58500000000004</v>
      </c>
      <c r="M1934" s="563">
        <f t="shared" si="89"/>
        <v>800.08500000000004</v>
      </c>
      <c r="N1934" s="580"/>
    </row>
    <row r="1935" spans="4:14" x14ac:dyDescent="0.25">
      <c r="D1935" s="559" t="s">
        <v>867</v>
      </c>
      <c r="E1935" s="558">
        <v>312521</v>
      </c>
      <c r="F1935" s="559">
        <v>302648</v>
      </c>
      <c r="G1935" s="558" t="s">
        <v>2262</v>
      </c>
      <c r="H1935" s="564">
        <v>40015</v>
      </c>
      <c r="I1935" s="563">
        <v>727.35</v>
      </c>
      <c r="J1935" s="563">
        <v>-585</v>
      </c>
      <c r="K1935" s="582">
        <f t="shared" si="87"/>
        <v>142.35000000000002</v>
      </c>
      <c r="L1935" s="563">
        <f t="shared" si="88"/>
        <v>156.58500000000004</v>
      </c>
      <c r="M1935" s="563">
        <f t="shared" si="89"/>
        <v>800.08500000000004</v>
      </c>
      <c r="N1935" s="580"/>
    </row>
    <row r="1936" spans="4:14" x14ac:dyDescent="0.25">
      <c r="D1936" s="559" t="s">
        <v>867</v>
      </c>
      <c r="E1936" s="558">
        <v>312522</v>
      </c>
      <c r="F1936" s="559">
        <v>302649</v>
      </c>
      <c r="G1936" s="558" t="s">
        <v>2262</v>
      </c>
      <c r="H1936" s="564">
        <v>40015</v>
      </c>
      <c r="I1936" s="563">
        <v>64.349999999999994</v>
      </c>
      <c r="J1936" s="563">
        <v>-64.349999999999994</v>
      </c>
      <c r="K1936" s="582">
        <f t="shared" si="87"/>
        <v>0</v>
      </c>
      <c r="L1936" s="563">
        <f t="shared" si="88"/>
        <v>0</v>
      </c>
      <c r="M1936" s="563">
        <f t="shared" si="89"/>
        <v>70.784999999999997</v>
      </c>
      <c r="N1936" s="580"/>
    </row>
    <row r="1937" spans="4:14" x14ac:dyDescent="0.25">
      <c r="D1937" s="559" t="s">
        <v>867</v>
      </c>
      <c r="E1937" s="558">
        <v>312523</v>
      </c>
      <c r="F1937" s="559">
        <v>302650</v>
      </c>
      <c r="G1937" s="558" t="s">
        <v>2262</v>
      </c>
      <c r="H1937" s="564">
        <v>40015</v>
      </c>
      <c r="I1937" s="563">
        <v>64.349999999999994</v>
      </c>
      <c r="J1937" s="563">
        <v>-64.349999999999994</v>
      </c>
      <c r="K1937" s="582">
        <f t="shared" si="87"/>
        <v>0</v>
      </c>
      <c r="L1937" s="563">
        <f t="shared" si="88"/>
        <v>0</v>
      </c>
      <c r="M1937" s="563">
        <f t="shared" si="89"/>
        <v>70.784999999999997</v>
      </c>
      <c r="N1937" s="580"/>
    </row>
    <row r="1938" spans="4:14" x14ac:dyDescent="0.25">
      <c r="D1938" s="559" t="s">
        <v>867</v>
      </c>
      <c r="E1938" s="558">
        <v>312524</v>
      </c>
      <c r="F1938" s="559">
        <v>302651</v>
      </c>
      <c r="G1938" s="558" t="s">
        <v>2263</v>
      </c>
      <c r="H1938" s="564">
        <v>40015</v>
      </c>
      <c r="I1938" s="563">
        <v>649.35</v>
      </c>
      <c r="J1938" s="563">
        <v>-585</v>
      </c>
      <c r="K1938" s="582">
        <f t="shared" si="87"/>
        <v>64.350000000000023</v>
      </c>
      <c r="L1938" s="563">
        <f t="shared" si="88"/>
        <v>70.785000000000025</v>
      </c>
      <c r="M1938" s="563">
        <f t="shared" si="89"/>
        <v>714.28500000000008</v>
      </c>
      <c r="N1938" s="580"/>
    </row>
    <row r="1939" spans="4:14" x14ac:dyDescent="0.25">
      <c r="D1939" s="559" t="s">
        <v>867</v>
      </c>
      <c r="E1939" s="558">
        <v>312525</v>
      </c>
      <c r="F1939" s="559">
        <v>302652</v>
      </c>
      <c r="G1939" s="558" t="s">
        <v>2263</v>
      </c>
      <c r="H1939" s="564">
        <v>40015</v>
      </c>
      <c r="I1939" s="563">
        <v>25.35</v>
      </c>
      <c r="J1939" s="563">
        <v>-25.35</v>
      </c>
      <c r="K1939" s="582">
        <f t="shared" si="87"/>
        <v>0</v>
      </c>
      <c r="L1939" s="563">
        <f t="shared" si="88"/>
        <v>0</v>
      </c>
      <c r="M1939" s="563">
        <f t="shared" si="89"/>
        <v>27.885000000000005</v>
      </c>
      <c r="N1939" s="580"/>
    </row>
    <row r="1940" spans="4:14" x14ac:dyDescent="0.25">
      <c r="D1940" s="559" t="s">
        <v>867</v>
      </c>
      <c r="E1940" s="558">
        <v>312526</v>
      </c>
      <c r="F1940" s="559">
        <v>302653</v>
      </c>
      <c r="G1940" s="558" t="s">
        <v>2263</v>
      </c>
      <c r="H1940" s="564">
        <v>40015</v>
      </c>
      <c r="I1940" s="563">
        <v>727.35</v>
      </c>
      <c r="J1940" s="563">
        <v>-585</v>
      </c>
      <c r="K1940" s="582">
        <f t="shared" si="87"/>
        <v>142.35000000000002</v>
      </c>
      <c r="L1940" s="563">
        <f t="shared" si="88"/>
        <v>156.58500000000004</v>
      </c>
      <c r="M1940" s="563">
        <f t="shared" si="89"/>
        <v>800.08500000000004</v>
      </c>
      <c r="N1940" s="580"/>
    </row>
    <row r="1941" spans="4:14" x14ac:dyDescent="0.25">
      <c r="D1941" s="559" t="s">
        <v>867</v>
      </c>
      <c r="E1941" s="558">
        <v>312527</v>
      </c>
      <c r="F1941" s="559">
        <v>302654</v>
      </c>
      <c r="G1941" s="558" t="s">
        <v>2263</v>
      </c>
      <c r="H1941" s="564">
        <v>40015</v>
      </c>
      <c r="I1941" s="563">
        <v>25.35</v>
      </c>
      <c r="J1941" s="563">
        <v>-25.35</v>
      </c>
      <c r="K1941" s="582">
        <f t="shared" si="87"/>
        <v>0</v>
      </c>
      <c r="L1941" s="563">
        <f t="shared" si="88"/>
        <v>0</v>
      </c>
      <c r="M1941" s="563">
        <f t="shared" si="89"/>
        <v>27.885000000000005</v>
      </c>
      <c r="N1941" s="580"/>
    </row>
    <row r="1942" spans="4:14" x14ac:dyDescent="0.25">
      <c r="D1942" s="559" t="s">
        <v>867</v>
      </c>
      <c r="E1942" s="558">
        <v>312530</v>
      </c>
      <c r="F1942" s="559">
        <v>302655</v>
      </c>
      <c r="G1942" s="558" t="s">
        <v>2263</v>
      </c>
      <c r="H1942" s="564">
        <v>40015</v>
      </c>
      <c r="I1942" s="563">
        <v>64.349999999999994</v>
      </c>
      <c r="J1942" s="563">
        <v>-64.349999999999994</v>
      </c>
      <c r="K1942" s="582">
        <f t="shared" si="87"/>
        <v>0</v>
      </c>
      <c r="L1942" s="563">
        <f t="shared" si="88"/>
        <v>0</v>
      </c>
      <c r="M1942" s="563">
        <f t="shared" si="89"/>
        <v>70.784999999999997</v>
      </c>
      <c r="N1942" s="580"/>
    </row>
    <row r="1943" spans="4:14" x14ac:dyDescent="0.25">
      <c r="D1943" s="559" t="s">
        <v>867</v>
      </c>
      <c r="E1943" s="558">
        <v>312531</v>
      </c>
      <c r="F1943" s="559">
        <v>302656</v>
      </c>
      <c r="G1943" s="558" t="s">
        <v>2264</v>
      </c>
      <c r="H1943" s="564">
        <v>40015</v>
      </c>
      <c r="I1943" s="563">
        <v>727.35</v>
      </c>
      <c r="J1943" s="563">
        <v>-585</v>
      </c>
      <c r="K1943" s="582">
        <f t="shared" si="87"/>
        <v>142.35000000000002</v>
      </c>
      <c r="L1943" s="563">
        <f t="shared" si="88"/>
        <v>156.58500000000004</v>
      </c>
      <c r="M1943" s="563">
        <f t="shared" si="89"/>
        <v>800.08500000000004</v>
      </c>
      <c r="N1943" s="580"/>
    </row>
    <row r="1944" spans="4:14" x14ac:dyDescent="0.25">
      <c r="D1944" s="559" t="s">
        <v>867</v>
      </c>
      <c r="E1944" s="558">
        <v>312532</v>
      </c>
      <c r="F1944" s="559">
        <v>302657</v>
      </c>
      <c r="G1944" s="558" t="s">
        <v>2264</v>
      </c>
      <c r="H1944" s="564">
        <v>40015</v>
      </c>
      <c r="I1944" s="563">
        <v>64.349999999999994</v>
      </c>
      <c r="J1944" s="563">
        <v>-64.349999999999994</v>
      </c>
      <c r="K1944" s="582">
        <f t="shared" si="87"/>
        <v>0</v>
      </c>
      <c r="L1944" s="563">
        <f t="shared" si="88"/>
        <v>0</v>
      </c>
      <c r="M1944" s="563">
        <f t="shared" si="89"/>
        <v>70.784999999999997</v>
      </c>
      <c r="N1944" s="580"/>
    </row>
    <row r="1945" spans="4:14" x14ac:dyDescent="0.25">
      <c r="D1945" s="559" t="s">
        <v>867</v>
      </c>
      <c r="E1945" s="558">
        <v>312533</v>
      </c>
      <c r="F1945" s="559">
        <v>303061</v>
      </c>
      <c r="G1945" s="558" t="s">
        <v>2264</v>
      </c>
      <c r="H1945" s="564">
        <v>40015</v>
      </c>
      <c r="I1945" s="563">
        <v>64.349999999999994</v>
      </c>
      <c r="J1945" s="563">
        <v>-64.349999999999994</v>
      </c>
      <c r="K1945" s="582">
        <f t="shared" si="87"/>
        <v>0</v>
      </c>
      <c r="L1945" s="563">
        <f t="shared" si="88"/>
        <v>0</v>
      </c>
      <c r="M1945" s="563">
        <f t="shared" si="89"/>
        <v>70.784999999999997</v>
      </c>
      <c r="N1945" s="580"/>
    </row>
    <row r="1946" spans="4:14" x14ac:dyDescent="0.25">
      <c r="D1946" s="559" t="s">
        <v>867</v>
      </c>
      <c r="E1946" s="558">
        <v>312534</v>
      </c>
      <c r="F1946" s="559">
        <v>302659</v>
      </c>
      <c r="G1946" s="558" t="s">
        <v>2264</v>
      </c>
      <c r="H1946" s="564">
        <v>40015</v>
      </c>
      <c r="I1946" s="563">
        <v>64.349999999999994</v>
      </c>
      <c r="J1946" s="563">
        <v>-64.349999999999994</v>
      </c>
      <c r="K1946" s="582">
        <f t="shared" si="87"/>
        <v>0</v>
      </c>
      <c r="L1946" s="563">
        <f t="shared" si="88"/>
        <v>0</v>
      </c>
      <c r="M1946" s="563">
        <f t="shared" si="89"/>
        <v>70.784999999999997</v>
      </c>
      <c r="N1946" s="580"/>
    </row>
    <row r="1947" spans="4:14" x14ac:dyDescent="0.25">
      <c r="D1947" s="559" t="s">
        <v>867</v>
      </c>
      <c r="E1947" s="558">
        <v>312535</v>
      </c>
      <c r="F1947" s="559">
        <v>302660</v>
      </c>
      <c r="G1947" s="558" t="s">
        <v>2264</v>
      </c>
      <c r="H1947" s="564">
        <v>40015</v>
      </c>
      <c r="I1947" s="563">
        <v>64.349999999999994</v>
      </c>
      <c r="J1947" s="563">
        <v>-64.349999999999994</v>
      </c>
      <c r="K1947" s="582">
        <f t="shared" si="87"/>
        <v>0</v>
      </c>
      <c r="L1947" s="563">
        <f t="shared" si="88"/>
        <v>0</v>
      </c>
      <c r="M1947" s="563">
        <f t="shared" si="89"/>
        <v>70.784999999999997</v>
      </c>
      <c r="N1947" s="580"/>
    </row>
    <row r="1948" spans="4:14" x14ac:dyDescent="0.25">
      <c r="D1948" s="559" t="s">
        <v>867</v>
      </c>
      <c r="E1948" s="558">
        <v>312537</v>
      </c>
      <c r="F1948" s="559">
        <v>302661</v>
      </c>
      <c r="G1948" s="558" t="s">
        <v>2265</v>
      </c>
      <c r="H1948" s="564">
        <v>40015</v>
      </c>
      <c r="I1948" s="563">
        <v>64.349999999999994</v>
      </c>
      <c r="J1948" s="563">
        <v>-64.349999999999994</v>
      </c>
      <c r="K1948" s="582">
        <f t="shared" si="87"/>
        <v>0</v>
      </c>
      <c r="L1948" s="563">
        <f t="shared" si="88"/>
        <v>0</v>
      </c>
      <c r="M1948" s="563">
        <f t="shared" si="89"/>
        <v>70.784999999999997</v>
      </c>
      <c r="N1948" s="580"/>
    </row>
    <row r="1949" spans="4:14" x14ac:dyDescent="0.25">
      <c r="D1949" s="559" t="s">
        <v>867</v>
      </c>
      <c r="E1949" s="558">
        <v>312538</v>
      </c>
      <c r="F1949" s="559">
        <v>302662</v>
      </c>
      <c r="G1949" s="558" t="s">
        <v>2265</v>
      </c>
      <c r="H1949" s="564">
        <v>40015</v>
      </c>
      <c r="I1949" s="563">
        <v>64.349999999999994</v>
      </c>
      <c r="J1949" s="563">
        <v>-64.349999999999994</v>
      </c>
      <c r="K1949" s="582">
        <f t="shared" si="87"/>
        <v>0</v>
      </c>
      <c r="L1949" s="563">
        <f t="shared" si="88"/>
        <v>0</v>
      </c>
      <c r="M1949" s="563">
        <f t="shared" si="89"/>
        <v>70.784999999999997</v>
      </c>
      <c r="N1949" s="580"/>
    </row>
    <row r="1950" spans="4:14" x14ac:dyDescent="0.25">
      <c r="D1950" s="559" t="s">
        <v>867</v>
      </c>
      <c r="E1950" s="558">
        <v>312539</v>
      </c>
      <c r="F1950" s="559">
        <v>302663</v>
      </c>
      <c r="G1950" s="558" t="s">
        <v>2265</v>
      </c>
      <c r="H1950" s="564">
        <v>40015</v>
      </c>
      <c r="I1950" s="563">
        <v>64.349999999999994</v>
      </c>
      <c r="J1950" s="563">
        <v>-64.349999999999994</v>
      </c>
      <c r="K1950" s="582">
        <f t="shared" si="87"/>
        <v>0</v>
      </c>
      <c r="L1950" s="563">
        <f t="shared" si="88"/>
        <v>0</v>
      </c>
      <c r="M1950" s="563">
        <f t="shared" si="89"/>
        <v>70.784999999999997</v>
      </c>
      <c r="N1950" s="580"/>
    </row>
    <row r="1951" spans="4:14" x14ac:dyDescent="0.25">
      <c r="D1951" s="559" t="s">
        <v>867</v>
      </c>
      <c r="E1951" s="558">
        <v>312540</v>
      </c>
      <c r="F1951" s="559">
        <v>302664</v>
      </c>
      <c r="G1951" s="558" t="s">
        <v>2265</v>
      </c>
      <c r="H1951" s="564">
        <v>40015</v>
      </c>
      <c r="I1951" s="563">
        <v>220.35</v>
      </c>
      <c r="J1951" s="563">
        <v>-220.35</v>
      </c>
      <c r="K1951" s="582">
        <f t="shared" si="87"/>
        <v>0</v>
      </c>
      <c r="L1951" s="563">
        <f t="shared" si="88"/>
        <v>0</v>
      </c>
      <c r="M1951" s="563">
        <f t="shared" si="89"/>
        <v>242.38500000000002</v>
      </c>
      <c r="N1951" s="580"/>
    </row>
    <row r="1952" spans="4:14" x14ac:dyDescent="0.25">
      <c r="D1952" s="559" t="s">
        <v>867</v>
      </c>
      <c r="E1952" s="558">
        <v>312541</v>
      </c>
      <c r="F1952" s="559">
        <v>302665</v>
      </c>
      <c r="G1952" s="558" t="s">
        <v>2265</v>
      </c>
      <c r="H1952" s="564">
        <v>40015</v>
      </c>
      <c r="I1952" s="563">
        <v>64.349999999999994</v>
      </c>
      <c r="J1952" s="563">
        <v>-64.349999999999994</v>
      </c>
      <c r="K1952" s="582">
        <f t="shared" si="87"/>
        <v>0</v>
      </c>
      <c r="L1952" s="563">
        <f t="shared" si="88"/>
        <v>0</v>
      </c>
      <c r="M1952" s="563">
        <f t="shared" si="89"/>
        <v>70.784999999999997</v>
      </c>
      <c r="N1952" s="580"/>
    </row>
    <row r="1953" spans="4:14" x14ac:dyDescent="0.25">
      <c r="D1953" s="559" t="s">
        <v>867</v>
      </c>
      <c r="E1953" s="558">
        <v>312542</v>
      </c>
      <c r="F1953" s="559">
        <v>302666</v>
      </c>
      <c r="G1953" s="558" t="s">
        <v>2266</v>
      </c>
      <c r="H1953" s="564">
        <v>40015</v>
      </c>
      <c r="I1953" s="563">
        <v>64.349999999999994</v>
      </c>
      <c r="J1953" s="563">
        <v>-64.349999999999994</v>
      </c>
      <c r="K1953" s="582">
        <f t="shared" si="87"/>
        <v>0</v>
      </c>
      <c r="L1953" s="563">
        <f t="shared" si="88"/>
        <v>0</v>
      </c>
      <c r="M1953" s="563">
        <f t="shared" si="89"/>
        <v>70.784999999999997</v>
      </c>
      <c r="N1953" s="580"/>
    </row>
    <row r="1954" spans="4:14" x14ac:dyDescent="0.25">
      <c r="D1954" s="559" t="s">
        <v>867</v>
      </c>
      <c r="E1954" s="558">
        <v>312543</v>
      </c>
      <c r="F1954" s="559">
        <v>302667</v>
      </c>
      <c r="G1954" s="558" t="s">
        <v>2266</v>
      </c>
      <c r="H1954" s="564">
        <v>40015</v>
      </c>
      <c r="I1954" s="563">
        <v>64.349999999999994</v>
      </c>
      <c r="J1954" s="563">
        <v>-64.349999999999994</v>
      </c>
      <c r="K1954" s="582">
        <f t="shared" si="87"/>
        <v>0</v>
      </c>
      <c r="L1954" s="563">
        <f t="shared" si="88"/>
        <v>0</v>
      </c>
      <c r="M1954" s="563">
        <f t="shared" si="89"/>
        <v>70.784999999999997</v>
      </c>
      <c r="N1954" s="580"/>
    </row>
    <row r="1955" spans="4:14" x14ac:dyDescent="0.25">
      <c r="D1955" s="559" t="s">
        <v>867</v>
      </c>
      <c r="E1955" s="558">
        <v>312544</v>
      </c>
      <c r="F1955" s="559">
        <v>302668</v>
      </c>
      <c r="G1955" s="558" t="s">
        <v>2266</v>
      </c>
      <c r="H1955" s="564">
        <v>40015</v>
      </c>
      <c r="I1955" s="563">
        <v>64.349999999999994</v>
      </c>
      <c r="J1955" s="563">
        <v>-64.349999999999994</v>
      </c>
      <c r="K1955" s="582">
        <f t="shared" si="87"/>
        <v>0</v>
      </c>
      <c r="L1955" s="563">
        <f t="shared" si="88"/>
        <v>0</v>
      </c>
      <c r="M1955" s="563">
        <f t="shared" si="89"/>
        <v>70.784999999999997</v>
      </c>
      <c r="N1955" s="580"/>
    </row>
    <row r="1956" spans="4:14" x14ac:dyDescent="0.25">
      <c r="D1956" s="559" t="s">
        <v>867</v>
      </c>
      <c r="E1956" s="558">
        <v>312545</v>
      </c>
      <c r="F1956" s="559">
        <v>302669</v>
      </c>
      <c r="G1956" s="558" t="s">
        <v>2266</v>
      </c>
      <c r="H1956" s="564">
        <v>40015</v>
      </c>
      <c r="I1956" s="563">
        <v>64.349999999999994</v>
      </c>
      <c r="J1956" s="563">
        <v>-64.349999999999994</v>
      </c>
      <c r="K1956" s="582">
        <f t="shared" si="87"/>
        <v>0</v>
      </c>
      <c r="L1956" s="563">
        <f t="shared" si="88"/>
        <v>0</v>
      </c>
      <c r="M1956" s="563">
        <f t="shared" si="89"/>
        <v>70.784999999999997</v>
      </c>
      <c r="N1956" s="580"/>
    </row>
    <row r="1957" spans="4:14" x14ac:dyDescent="0.25">
      <c r="D1957" s="559" t="s">
        <v>867</v>
      </c>
      <c r="E1957" s="558">
        <v>312546</v>
      </c>
      <c r="F1957" s="559">
        <v>302670</v>
      </c>
      <c r="G1957" s="558" t="s">
        <v>2266</v>
      </c>
      <c r="H1957" s="564">
        <v>40015</v>
      </c>
      <c r="I1957" s="563">
        <v>64.349999999999994</v>
      </c>
      <c r="J1957" s="563">
        <v>-64.349999999999994</v>
      </c>
      <c r="K1957" s="582">
        <f t="shared" si="87"/>
        <v>0</v>
      </c>
      <c r="L1957" s="563">
        <f t="shared" si="88"/>
        <v>0</v>
      </c>
      <c r="M1957" s="563">
        <f t="shared" si="89"/>
        <v>70.784999999999997</v>
      </c>
      <c r="N1957" s="580"/>
    </row>
    <row r="1958" spans="4:14" x14ac:dyDescent="0.25">
      <c r="D1958" s="559" t="s">
        <v>867</v>
      </c>
      <c r="E1958" s="558">
        <v>312547</v>
      </c>
      <c r="F1958" s="559">
        <v>302671</v>
      </c>
      <c r="G1958" s="558" t="s">
        <v>2267</v>
      </c>
      <c r="H1958" s="564">
        <v>40015</v>
      </c>
      <c r="I1958" s="563">
        <v>64.349999999999994</v>
      </c>
      <c r="J1958" s="563">
        <v>-64.349999999999994</v>
      </c>
      <c r="K1958" s="582">
        <f t="shared" si="87"/>
        <v>0</v>
      </c>
      <c r="L1958" s="563">
        <f t="shared" si="88"/>
        <v>0</v>
      </c>
      <c r="M1958" s="563">
        <f t="shared" si="89"/>
        <v>70.784999999999997</v>
      </c>
      <c r="N1958" s="580"/>
    </row>
    <row r="1959" spans="4:14" x14ac:dyDescent="0.25">
      <c r="D1959" s="559" t="s">
        <v>867</v>
      </c>
      <c r="E1959" s="558">
        <v>312548</v>
      </c>
      <c r="F1959" s="559">
        <v>302672</v>
      </c>
      <c r="G1959" s="558" t="s">
        <v>2267</v>
      </c>
      <c r="H1959" s="564">
        <v>40015</v>
      </c>
      <c r="I1959" s="563">
        <v>64.349999999999994</v>
      </c>
      <c r="J1959" s="563">
        <v>-64.349999999999994</v>
      </c>
      <c r="K1959" s="582">
        <f t="shared" si="87"/>
        <v>0</v>
      </c>
      <c r="L1959" s="563">
        <f t="shared" si="88"/>
        <v>0</v>
      </c>
      <c r="M1959" s="563">
        <f t="shared" si="89"/>
        <v>70.784999999999997</v>
      </c>
      <c r="N1959" s="580"/>
    </row>
    <row r="1960" spans="4:14" x14ac:dyDescent="0.25">
      <c r="D1960" s="559" t="s">
        <v>867</v>
      </c>
      <c r="E1960" s="558">
        <v>312549</v>
      </c>
      <c r="F1960" s="559">
        <v>302673</v>
      </c>
      <c r="G1960" s="558" t="s">
        <v>2267</v>
      </c>
      <c r="H1960" s="564">
        <v>40015</v>
      </c>
      <c r="I1960" s="563">
        <v>64.349999999999994</v>
      </c>
      <c r="J1960" s="563">
        <v>-64.349999999999994</v>
      </c>
      <c r="K1960" s="582">
        <f t="shared" si="87"/>
        <v>0</v>
      </c>
      <c r="L1960" s="563">
        <f t="shared" si="88"/>
        <v>0</v>
      </c>
      <c r="M1960" s="563">
        <f t="shared" si="89"/>
        <v>70.784999999999997</v>
      </c>
      <c r="N1960" s="580"/>
    </row>
    <row r="1961" spans="4:14" x14ac:dyDescent="0.25">
      <c r="D1961" s="559" t="s">
        <v>867</v>
      </c>
      <c r="E1961" s="558">
        <v>312550</v>
      </c>
      <c r="F1961" s="559">
        <v>302674</v>
      </c>
      <c r="G1961" s="558" t="s">
        <v>2267</v>
      </c>
      <c r="H1961" s="564">
        <v>40015</v>
      </c>
      <c r="I1961" s="563">
        <v>64.349999999999994</v>
      </c>
      <c r="J1961" s="563">
        <v>-64.349999999999994</v>
      </c>
      <c r="K1961" s="582">
        <f t="shared" ref="K1961:K2024" si="90">+I1961+J1961</f>
        <v>0</v>
      </c>
      <c r="L1961" s="563">
        <f t="shared" ref="L1961:L2024" si="91">+K1961*1.1</f>
        <v>0</v>
      </c>
      <c r="M1961" s="563">
        <f t="shared" ref="M1961:M2024" si="92">+I1961*1.1</f>
        <v>70.784999999999997</v>
      </c>
      <c r="N1961" s="580"/>
    </row>
    <row r="1962" spans="4:14" x14ac:dyDescent="0.25">
      <c r="D1962" s="559" t="s">
        <v>867</v>
      </c>
      <c r="E1962" s="558">
        <v>312551</v>
      </c>
      <c r="F1962" s="559">
        <v>302675</v>
      </c>
      <c r="G1962" s="558" t="s">
        <v>2267</v>
      </c>
      <c r="H1962" s="564">
        <v>40015</v>
      </c>
      <c r="I1962" s="563">
        <v>64.349999999999994</v>
      </c>
      <c r="J1962" s="563">
        <v>-64.349999999999994</v>
      </c>
      <c r="K1962" s="582">
        <f t="shared" si="90"/>
        <v>0</v>
      </c>
      <c r="L1962" s="563">
        <f t="shared" si="91"/>
        <v>0</v>
      </c>
      <c r="M1962" s="563">
        <f t="shared" si="92"/>
        <v>70.784999999999997</v>
      </c>
      <c r="N1962" s="580"/>
    </row>
    <row r="1963" spans="4:14" x14ac:dyDescent="0.25">
      <c r="D1963" s="559" t="s">
        <v>867</v>
      </c>
      <c r="E1963" s="558">
        <v>312552</v>
      </c>
      <c r="F1963" s="559">
        <v>302676</v>
      </c>
      <c r="G1963" s="558" t="s">
        <v>2268</v>
      </c>
      <c r="H1963" s="564">
        <v>40015</v>
      </c>
      <c r="I1963" s="563">
        <v>64.349999999999994</v>
      </c>
      <c r="J1963" s="563">
        <v>-64.349999999999994</v>
      </c>
      <c r="K1963" s="582">
        <f t="shared" si="90"/>
        <v>0</v>
      </c>
      <c r="L1963" s="563">
        <f t="shared" si="91"/>
        <v>0</v>
      </c>
      <c r="M1963" s="563">
        <f t="shared" si="92"/>
        <v>70.784999999999997</v>
      </c>
      <c r="N1963" s="580"/>
    </row>
    <row r="1964" spans="4:14" x14ac:dyDescent="0.25">
      <c r="D1964" s="559" t="s">
        <v>867</v>
      </c>
      <c r="E1964" s="558">
        <v>312553</v>
      </c>
      <c r="F1964" s="559">
        <v>302677</v>
      </c>
      <c r="G1964" s="558" t="s">
        <v>2268</v>
      </c>
      <c r="H1964" s="564">
        <v>40015</v>
      </c>
      <c r="I1964" s="563">
        <v>64.349999999999994</v>
      </c>
      <c r="J1964" s="563">
        <v>-64.349999999999994</v>
      </c>
      <c r="K1964" s="582">
        <f t="shared" si="90"/>
        <v>0</v>
      </c>
      <c r="L1964" s="563">
        <f t="shared" si="91"/>
        <v>0</v>
      </c>
      <c r="M1964" s="563">
        <f t="shared" si="92"/>
        <v>70.784999999999997</v>
      </c>
      <c r="N1964" s="580"/>
    </row>
    <row r="1965" spans="4:14" x14ac:dyDescent="0.25">
      <c r="D1965" s="559" t="s">
        <v>867</v>
      </c>
      <c r="E1965" s="558">
        <v>312554</v>
      </c>
      <c r="F1965" s="559">
        <v>302678</v>
      </c>
      <c r="G1965" s="558" t="s">
        <v>2268</v>
      </c>
      <c r="H1965" s="564">
        <v>40015</v>
      </c>
      <c r="I1965" s="563">
        <v>493.35</v>
      </c>
      <c r="J1965" s="563">
        <v>-493.35</v>
      </c>
      <c r="K1965" s="582">
        <f t="shared" si="90"/>
        <v>0</v>
      </c>
      <c r="L1965" s="563">
        <f t="shared" si="91"/>
        <v>0</v>
      </c>
      <c r="M1965" s="563">
        <f t="shared" si="92"/>
        <v>542.68500000000006</v>
      </c>
      <c r="N1965" s="580"/>
    </row>
    <row r="1966" spans="4:14" x14ac:dyDescent="0.25">
      <c r="D1966" s="559" t="s">
        <v>867</v>
      </c>
      <c r="E1966" s="558">
        <v>312555</v>
      </c>
      <c r="F1966" s="559">
        <v>302679</v>
      </c>
      <c r="G1966" s="558" t="s">
        <v>2268</v>
      </c>
      <c r="H1966" s="564">
        <v>40015</v>
      </c>
      <c r="I1966" s="563">
        <v>507</v>
      </c>
      <c r="J1966" s="563">
        <v>-507</v>
      </c>
      <c r="K1966" s="582">
        <f t="shared" si="90"/>
        <v>0</v>
      </c>
      <c r="L1966" s="563">
        <f t="shared" si="91"/>
        <v>0</v>
      </c>
      <c r="M1966" s="563">
        <f t="shared" si="92"/>
        <v>557.70000000000005</v>
      </c>
      <c r="N1966" s="580"/>
    </row>
    <row r="1967" spans="4:14" x14ac:dyDescent="0.25">
      <c r="D1967" s="559" t="s">
        <v>867</v>
      </c>
      <c r="E1967" s="558">
        <v>312557</v>
      </c>
      <c r="F1967" s="559">
        <v>302680</v>
      </c>
      <c r="G1967" s="558" t="s">
        <v>2268</v>
      </c>
      <c r="H1967" s="564">
        <v>40015</v>
      </c>
      <c r="I1967" s="563">
        <v>64.349999999999994</v>
      </c>
      <c r="J1967" s="563">
        <v>-64.349999999999994</v>
      </c>
      <c r="K1967" s="582">
        <f t="shared" si="90"/>
        <v>0</v>
      </c>
      <c r="L1967" s="563">
        <f t="shared" si="91"/>
        <v>0</v>
      </c>
      <c r="M1967" s="563">
        <f t="shared" si="92"/>
        <v>70.784999999999997</v>
      </c>
      <c r="N1967" s="580"/>
    </row>
    <row r="1968" spans="4:14" x14ac:dyDescent="0.25">
      <c r="D1968" s="559" t="s">
        <v>867</v>
      </c>
      <c r="E1968" s="558">
        <v>312558</v>
      </c>
      <c r="F1968" s="559">
        <v>302681</v>
      </c>
      <c r="G1968" s="558" t="s">
        <v>2269</v>
      </c>
      <c r="H1968" s="564">
        <v>40015</v>
      </c>
      <c r="I1968" s="563">
        <v>64.349999999999994</v>
      </c>
      <c r="J1968" s="563">
        <v>-64.349999999999994</v>
      </c>
      <c r="K1968" s="582">
        <f t="shared" si="90"/>
        <v>0</v>
      </c>
      <c r="L1968" s="563">
        <f t="shared" si="91"/>
        <v>0</v>
      </c>
      <c r="M1968" s="563">
        <f t="shared" si="92"/>
        <v>70.784999999999997</v>
      </c>
      <c r="N1968" s="580"/>
    </row>
    <row r="1969" spans="4:14" x14ac:dyDescent="0.25">
      <c r="D1969" s="559" t="s">
        <v>867</v>
      </c>
      <c r="E1969" s="558">
        <v>312559</v>
      </c>
      <c r="F1969" s="559">
        <v>302682</v>
      </c>
      <c r="G1969" s="558" t="s">
        <v>2269</v>
      </c>
      <c r="H1969" s="564">
        <v>40015</v>
      </c>
      <c r="I1969" s="563">
        <v>64.349999999999994</v>
      </c>
      <c r="J1969" s="563">
        <v>-64.349999999999994</v>
      </c>
      <c r="K1969" s="582">
        <f t="shared" si="90"/>
        <v>0</v>
      </c>
      <c r="L1969" s="563">
        <f t="shared" si="91"/>
        <v>0</v>
      </c>
      <c r="M1969" s="563">
        <f t="shared" si="92"/>
        <v>70.784999999999997</v>
      </c>
      <c r="N1969" s="580"/>
    </row>
    <row r="1970" spans="4:14" x14ac:dyDescent="0.25">
      <c r="D1970" s="559" t="s">
        <v>867</v>
      </c>
      <c r="E1970" s="558">
        <v>312560</v>
      </c>
      <c r="F1970" s="559">
        <v>302683</v>
      </c>
      <c r="G1970" s="558" t="s">
        <v>2269</v>
      </c>
      <c r="H1970" s="564">
        <v>40015</v>
      </c>
      <c r="I1970" s="563">
        <v>64.349999999999994</v>
      </c>
      <c r="J1970" s="563">
        <v>-64.349999999999994</v>
      </c>
      <c r="K1970" s="582">
        <f t="shared" si="90"/>
        <v>0</v>
      </c>
      <c r="L1970" s="563">
        <f t="shared" si="91"/>
        <v>0</v>
      </c>
      <c r="M1970" s="563">
        <f t="shared" si="92"/>
        <v>70.784999999999997</v>
      </c>
      <c r="N1970" s="580"/>
    </row>
    <row r="1971" spans="4:14" x14ac:dyDescent="0.25">
      <c r="D1971" s="559" t="s">
        <v>867</v>
      </c>
      <c r="E1971" s="558">
        <v>312561</v>
      </c>
      <c r="F1971" s="559">
        <v>302684</v>
      </c>
      <c r="G1971" s="558" t="s">
        <v>2269</v>
      </c>
      <c r="H1971" s="564">
        <v>40015</v>
      </c>
      <c r="I1971" s="563">
        <v>64.349999999999994</v>
      </c>
      <c r="J1971" s="563">
        <v>-64.349999999999994</v>
      </c>
      <c r="K1971" s="582">
        <f t="shared" si="90"/>
        <v>0</v>
      </c>
      <c r="L1971" s="563">
        <f t="shared" si="91"/>
        <v>0</v>
      </c>
      <c r="M1971" s="563">
        <f t="shared" si="92"/>
        <v>70.784999999999997</v>
      </c>
      <c r="N1971" s="580"/>
    </row>
    <row r="1972" spans="4:14" x14ac:dyDescent="0.25">
      <c r="D1972" s="559" t="s">
        <v>867</v>
      </c>
      <c r="E1972" s="558">
        <v>312562</v>
      </c>
      <c r="F1972" s="559">
        <v>302685</v>
      </c>
      <c r="G1972" s="558" t="s">
        <v>2269</v>
      </c>
      <c r="H1972" s="564">
        <v>40015</v>
      </c>
      <c r="I1972" s="563">
        <v>64.349999999999994</v>
      </c>
      <c r="J1972" s="563">
        <v>-64.349999999999994</v>
      </c>
      <c r="K1972" s="582">
        <f t="shared" si="90"/>
        <v>0</v>
      </c>
      <c r="L1972" s="563">
        <f t="shared" si="91"/>
        <v>0</v>
      </c>
      <c r="M1972" s="563">
        <f t="shared" si="92"/>
        <v>70.784999999999997</v>
      </c>
      <c r="N1972" s="580"/>
    </row>
    <row r="1973" spans="4:14" x14ac:dyDescent="0.25">
      <c r="D1973" s="559" t="s">
        <v>867</v>
      </c>
      <c r="E1973" s="558">
        <v>312563</v>
      </c>
      <c r="F1973" s="559">
        <v>302686</v>
      </c>
      <c r="G1973" s="558" t="s">
        <v>2270</v>
      </c>
      <c r="H1973" s="564">
        <v>40015</v>
      </c>
      <c r="I1973" s="563">
        <v>64.349999999999994</v>
      </c>
      <c r="J1973" s="563">
        <v>-64.349999999999994</v>
      </c>
      <c r="K1973" s="582">
        <f t="shared" si="90"/>
        <v>0</v>
      </c>
      <c r="L1973" s="563">
        <f t="shared" si="91"/>
        <v>0</v>
      </c>
      <c r="M1973" s="563">
        <f t="shared" si="92"/>
        <v>70.784999999999997</v>
      </c>
      <c r="N1973" s="580"/>
    </row>
    <row r="1974" spans="4:14" x14ac:dyDescent="0.25">
      <c r="D1974" s="559" t="s">
        <v>867</v>
      </c>
      <c r="E1974" s="558">
        <v>312564</v>
      </c>
      <c r="F1974" s="559">
        <v>302687</v>
      </c>
      <c r="G1974" s="558" t="s">
        <v>2270</v>
      </c>
      <c r="H1974" s="564">
        <v>40015</v>
      </c>
      <c r="I1974" s="563">
        <v>727.35</v>
      </c>
      <c r="J1974" s="563">
        <v>-585</v>
      </c>
      <c r="K1974" s="582">
        <f t="shared" si="90"/>
        <v>142.35000000000002</v>
      </c>
      <c r="L1974" s="563">
        <f t="shared" si="91"/>
        <v>156.58500000000004</v>
      </c>
      <c r="M1974" s="563">
        <f t="shared" si="92"/>
        <v>800.08500000000004</v>
      </c>
      <c r="N1974" s="580"/>
    </row>
    <row r="1975" spans="4:14" x14ac:dyDescent="0.25">
      <c r="D1975" s="559" t="s">
        <v>867</v>
      </c>
      <c r="E1975" s="558">
        <v>312565</v>
      </c>
      <c r="F1975" s="559">
        <v>302688</v>
      </c>
      <c r="G1975" s="558" t="s">
        <v>2270</v>
      </c>
      <c r="H1975" s="564">
        <v>40015</v>
      </c>
      <c r="I1975" s="563">
        <v>727.35</v>
      </c>
      <c r="J1975" s="563">
        <v>-585</v>
      </c>
      <c r="K1975" s="582">
        <f t="shared" si="90"/>
        <v>142.35000000000002</v>
      </c>
      <c r="L1975" s="563">
        <f t="shared" si="91"/>
        <v>156.58500000000004</v>
      </c>
      <c r="M1975" s="563">
        <f t="shared" si="92"/>
        <v>800.08500000000004</v>
      </c>
      <c r="N1975" s="580"/>
    </row>
    <row r="1976" spans="4:14" x14ac:dyDescent="0.25">
      <c r="D1976" s="559" t="s">
        <v>867</v>
      </c>
      <c r="E1976" s="558">
        <v>312566</v>
      </c>
      <c r="F1976" s="559">
        <v>302689</v>
      </c>
      <c r="G1976" s="558" t="s">
        <v>2270</v>
      </c>
      <c r="H1976" s="564">
        <v>40015</v>
      </c>
      <c r="I1976" s="563">
        <v>64.349999999999994</v>
      </c>
      <c r="J1976" s="563">
        <v>-64.349999999999994</v>
      </c>
      <c r="K1976" s="582">
        <f t="shared" si="90"/>
        <v>0</v>
      </c>
      <c r="L1976" s="563">
        <f t="shared" si="91"/>
        <v>0</v>
      </c>
      <c r="M1976" s="563">
        <f t="shared" si="92"/>
        <v>70.784999999999997</v>
      </c>
      <c r="N1976" s="580"/>
    </row>
    <row r="1977" spans="4:14" x14ac:dyDescent="0.25">
      <c r="D1977" s="559" t="s">
        <v>867</v>
      </c>
      <c r="E1977" s="558">
        <v>312571</v>
      </c>
      <c r="F1977" s="559">
        <v>302691</v>
      </c>
      <c r="G1977" s="558" t="s">
        <v>2270</v>
      </c>
      <c r="H1977" s="564">
        <v>40015</v>
      </c>
      <c r="I1977" s="563">
        <v>25.35</v>
      </c>
      <c r="J1977" s="563">
        <v>-25.35</v>
      </c>
      <c r="K1977" s="582">
        <f t="shared" si="90"/>
        <v>0</v>
      </c>
      <c r="L1977" s="563">
        <f t="shared" si="91"/>
        <v>0</v>
      </c>
      <c r="M1977" s="563">
        <f t="shared" si="92"/>
        <v>27.885000000000005</v>
      </c>
      <c r="N1977" s="580"/>
    </row>
    <row r="1978" spans="4:14" x14ac:dyDescent="0.25">
      <c r="D1978" s="559" t="s">
        <v>867</v>
      </c>
      <c r="E1978" s="558">
        <v>312572</v>
      </c>
      <c r="F1978" s="559">
        <v>302692</v>
      </c>
      <c r="G1978" s="558" t="s">
        <v>2271</v>
      </c>
      <c r="H1978" s="564">
        <v>40015</v>
      </c>
      <c r="I1978" s="563">
        <v>25.35</v>
      </c>
      <c r="J1978" s="563">
        <v>-25.35</v>
      </c>
      <c r="K1978" s="582">
        <f t="shared" si="90"/>
        <v>0</v>
      </c>
      <c r="L1978" s="563">
        <f t="shared" si="91"/>
        <v>0</v>
      </c>
      <c r="M1978" s="563">
        <f t="shared" si="92"/>
        <v>27.885000000000005</v>
      </c>
      <c r="N1978" s="580"/>
    </row>
    <row r="1979" spans="4:14" x14ac:dyDescent="0.25">
      <c r="D1979" s="559" t="s">
        <v>867</v>
      </c>
      <c r="E1979" s="558">
        <v>312573</v>
      </c>
      <c r="F1979" s="559">
        <v>302693</v>
      </c>
      <c r="G1979" s="558" t="s">
        <v>2271</v>
      </c>
      <c r="H1979" s="564">
        <v>40015</v>
      </c>
      <c r="I1979" s="563">
        <v>25.35</v>
      </c>
      <c r="J1979" s="563">
        <v>-25.35</v>
      </c>
      <c r="K1979" s="582">
        <f t="shared" si="90"/>
        <v>0</v>
      </c>
      <c r="L1979" s="563">
        <f t="shared" si="91"/>
        <v>0</v>
      </c>
      <c r="M1979" s="563">
        <f t="shared" si="92"/>
        <v>27.885000000000005</v>
      </c>
      <c r="N1979" s="580"/>
    </row>
    <row r="1980" spans="4:14" x14ac:dyDescent="0.25">
      <c r="D1980" s="559" t="s">
        <v>867</v>
      </c>
      <c r="E1980" s="558">
        <v>312574</v>
      </c>
      <c r="F1980" s="559">
        <v>302694</v>
      </c>
      <c r="G1980" s="558" t="s">
        <v>2271</v>
      </c>
      <c r="H1980" s="564">
        <v>40015</v>
      </c>
      <c r="I1980" s="563">
        <v>727.35</v>
      </c>
      <c r="J1980" s="563">
        <v>-585</v>
      </c>
      <c r="K1980" s="582">
        <f t="shared" si="90"/>
        <v>142.35000000000002</v>
      </c>
      <c r="L1980" s="563">
        <f t="shared" si="91"/>
        <v>156.58500000000004</v>
      </c>
      <c r="M1980" s="563">
        <f t="shared" si="92"/>
        <v>800.08500000000004</v>
      </c>
      <c r="N1980" s="580"/>
    </row>
    <row r="1981" spans="4:14" x14ac:dyDescent="0.25">
      <c r="D1981" s="559" t="s">
        <v>867</v>
      </c>
      <c r="E1981" s="558">
        <v>312575</v>
      </c>
      <c r="F1981" s="559">
        <v>302695</v>
      </c>
      <c r="G1981" s="558" t="s">
        <v>2271</v>
      </c>
      <c r="H1981" s="564">
        <v>40015</v>
      </c>
      <c r="I1981" s="563">
        <v>25.35</v>
      </c>
      <c r="J1981" s="563">
        <v>-25.35</v>
      </c>
      <c r="K1981" s="582">
        <f t="shared" si="90"/>
        <v>0</v>
      </c>
      <c r="L1981" s="563">
        <f t="shared" si="91"/>
        <v>0</v>
      </c>
      <c r="M1981" s="563">
        <f t="shared" si="92"/>
        <v>27.885000000000005</v>
      </c>
      <c r="N1981" s="580"/>
    </row>
    <row r="1982" spans="4:14" x14ac:dyDescent="0.25">
      <c r="D1982" s="559" t="s">
        <v>867</v>
      </c>
      <c r="E1982" s="558">
        <v>312576</v>
      </c>
      <c r="F1982" s="559">
        <v>302696</v>
      </c>
      <c r="G1982" s="558" t="s">
        <v>2271</v>
      </c>
      <c r="H1982" s="564">
        <v>40015</v>
      </c>
      <c r="I1982" s="563">
        <v>25.35</v>
      </c>
      <c r="J1982" s="563">
        <v>-25.35</v>
      </c>
      <c r="K1982" s="582">
        <f t="shared" si="90"/>
        <v>0</v>
      </c>
      <c r="L1982" s="563">
        <f t="shared" si="91"/>
        <v>0</v>
      </c>
      <c r="M1982" s="563">
        <f t="shared" si="92"/>
        <v>27.885000000000005</v>
      </c>
      <c r="N1982" s="580"/>
    </row>
    <row r="1983" spans="4:14" x14ac:dyDescent="0.25">
      <c r="D1983" s="559" t="s">
        <v>867</v>
      </c>
      <c r="E1983" s="558">
        <v>312577</v>
      </c>
      <c r="F1983" s="559">
        <v>302697</v>
      </c>
      <c r="G1983" s="558" t="s">
        <v>2272</v>
      </c>
      <c r="H1983" s="564">
        <v>40015</v>
      </c>
      <c r="I1983" s="563">
        <v>25.35</v>
      </c>
      <c r="J1983" s="563">
        <v>-25.35</v>
      </c>
      <c r="K1983" s="582">
        <f t="shared" si="90"/>
        <v>0</v>
      </c>
      <c r="L1983" s="563">
        <f t="shared" si="91"/>
        <v>0</v>
      </c>
      <c r="M1983" s="563">
        <f t="shared" si="92"/>
        <v>27.885000000000005</v>
      </c>
      <c r="N1983" s="580"/>
    </row>
    <row r="1984" spans="4:14" x14ac:dyDescent="0.25">
      <c r="D1984" s="559" t="s">
        <v>867</v>
      </c>
      <c r="E1984" s="558">
        <v>312578</v>
      </c>
      <c r="F1984" s="559">
        <v>302698</v>
      </c>
      <c r="G1984" s="558" t="s">
        <v>2272</v>
      </c>
      <c r="H1984" s="564">
        <v>40015</v>
      </c>
      <c r="I1984" s="563">
        <v>493.35</v>
      </c>
      <c r="J1984" s="563">
        <v>-493.35</v>
      </c>
      <c r="K1984" s="582">
        <f t="shared" si="90"/>
        <v>0</v>
      </c>
      <c r="L1984" s="563">
        <f t="shared" si="91"/>
        <v>0</v>
      </c>
      <c r="M1984" s="563">
        <f t="shared" si="92"/>
        <v>542.68500000000006</v>
      </c>
      <c r="N1984" s="580"/>
    </row>
    <row r="1985" spans="4:14" x14ac:dyDescent="0.25">
      <c r="D1985" s="559" t="s">
        <v>867</v>
      </c>
      <c r="E1985" s="558">
        <v>312579</v>
      </c>
      <c r="F1985" s="559">
        <v>302699</v>
      </c>
      <c r="G1985" s="558" t="s">
        <v>2272</v>
      </c>
      <c r="H1985" s="564">
        <v>40015</v>
      </c>
      <c r="I1985" s="563">
        <v>64.349999999999994</v>
      </c>
      <c r="J1985" s="563">
        <v>-64.349999999999994</v>
      </c>
      <c r="K1985" s="582">
        <f t="shared" si="90"/>
        <v>0</v>
      </c>
      <c r="L1985" s="563">
        <f t="shared" si="91"/>
        <v>0</v>
      </c>
      <c r="M1985" s="563">
        <f t="shared" si="92"/>
        <v>70.784999999999997</v>
      </c>
      <c r="N1985" s="580"/>
    </row>
    <row r="1986" spans="4:14" x14ac:dyDescent="0.25">
      <c r="D1986" s="559" t="s">
        <v>867</v>
      </c>
      <c r="E1986" s="558">
        <v>312580</v>
      </c>
      <c r="F1986" s="559">
        <v>302700</v>
      </c>
      <c r="G1986" s="558" t="s">
        <v>2272</v>
      </c>
      <c r="H1986" s="564">
        <v>40015</v>
      </c>
      <c r="I1986" s="563">
        <v>64.349999999999994</v>
      </c>
      <c r="J1986" s="563">
        <v>-64.349999999999994</v>
      </c>
      <c r="K1986" s="582">
        <f t="shared" si="90"/>
        <v>0</v>
      </c>
      <c r="L1986" s="563">
        <f t="shared" si="91"/>
        <v>0</v>
      </c>
      <c r="M1986" s="563">
        <f t="shared" si="92"/>
        <v>70.784999999999997</v>
      </c>
      <c r="N1986" s="580"/>
    </row>
    <row r="1987" spans="4:14" x14ac:dyDescent="0.25">
      <c r="D1987" s="559" t="s">
        <v>867</v>
      </c>
      <c r="E1987" s="558">
        <v>312581</v>
      </c>
      <c r="F1987" s="559">
        <v>302701</v>
      </c>
      <c r="G1987" s="558" t="s">
        <v>2272</v>
      </c>
      <c r="H1987" s="564">
        <v>40015</v>
      </c>
      <c r="I1987" s="563">
        <v>64.349999999999994</v>
      </c>
      <c r="J1987" s="563">
        <v>-64.349999999999994</v>
      </c>
      <c r="K1987" s="582">
        <f t="shared" si="90"/>
        <v>0</v>
      </c>
      <c r="L1987" s="563">
        <f t="shared" si="91"/>
        <v>0</v>
      </c>
      <c r="M1987" s="563">
        <f t="shared" si="92"/>
        <v>70.784999999999997</v>
      </c>
      <c r="N1987" s="580"/>
    </row>
    <row r="1988" spans="4:14" x14ac:dyDescent="0.25">
      <c r="D1988" s="559" t="s">
        <v>867</v>
      </c>
      <c r="E1988" s="558">
        <v>312582</v>
      </c>
      <c r="F1988" s="559">
        <v>302702</v>
      </c>
      <c r="G1988" s="558" t="s">
        <v>2273</v>
      </c>
      <c r="H1988" s="564">
        <v>40015</v>
      </c>
      <c r="I1988" s="563">
        <v>64.349999999999994</v>
      </c>
      <c r="J1988" s="563">
        <v>-64.349999999999994</v>
      </c>
      <c r="K1988" s="582">
        <f t="shared" si="90"/>
        <v>0</v>
      </c>
      <c r="L1988" s="563">
        <f t="shared" si="91"/>
        <v>0</v>
      </c>
      <c r="M1988" s="563">
        <f t="shared" si="92"/>
        <v>70.784999999999997</v>
      </c>
      <c r="N1988" s="580"/>
    </row>
    <row r="1989" spans="4:14" x14ac:dyDescent="0.25">
      <c r="D1989" s="559" t="s">
        <v>867</v>
      </c>
      <c r="E1989" s="558">
        <v>312583</v>
      </c>
      <c r="F1989" s="559">
        <v>302703</v>
      </c>
      <c r="G1989" s="558" t="s">
        <v>2273</v>
      </c>
      <c r="H1989" s="564">
        <v>40015</v>
      </c>
      <c r="I1989" s="563">
        <v>64.349999999999994</v>
      </c>
      <c r="J1989" s="563">
        <v>-64.349999999999994</v>
      </c>
      <c r="K1989" s="582">
        <f t="shared" si="90"/>
        <v>0</v>
      </c>
      <c r="L1989" s="563">
        <f t="shared" si="91"/>
        <v>0</v>
      </c>
      <c r="M1989" s="563">
        <f t="shared" si="92"/>
        <v>70.784999999999997</v>
      </c>
      <c r="N1989" s="580"/>
    </row>
    <row r="1990" spans="4:14" x14ac:dyDescent="0.25">
      <c r="D1990" s="559" t="s">
        <v>867</v>
      </c>
      <c r="E1990" s="558">
        <v>312584</v>
      </c>
      <c r="F1990" s="559">
        <v>302704</v>
      </c>
      <c r="G1990" s="558" t="s">
        <v>2273</v>
      </c>
      <c r="H1990" s="564">
        <v>40015</v>
      </c>
      <c r="I1990" s="563">
        <v>64.349999999999994</v>
      </c>
      <c r="J1990" s="563">
        <v>-64.349999999999994</v>
      </c>
      <c r="K1990" s="582">
        <f t="shared" si="90"/>
        <v>0</v>
      </c>
      <c r="L1990" s="563">
        <f t="shared" si="91"/>
        <v>0</v>
      </c>
      <c r="M1990" s="563">
        <f t="shared" si="92"/>
        <v>70.784999999999997</v>
      </c>
      <c r="N1990" s="580"/>
    </row>
    <row r="1991" spans="4:14" x14ac:dyDescent="0.25">
      <c r="D1991" s="559" t="s">
        <v>867</v>
      </c>
      <c r="E1991" s="558">
        <v>312585</v>
      </c>
      <c r="F1991" s="559">
        <v>302705</v>
      </c>
      <c r="G1991" s="558" t="s">
        <v>2273</v>
      </c>
      <c r="H1991" s="564">
        <v>40015</v>
      </c>
      <c r="I1991" s="563">
        <v>64.349999999999994</v>
      </c>
      <c r="J1991" s="563">
        <v>-64.349999999999994</v>
      </c>
      <c r="K1991" s="582">
        <f t="shared" si="90"/>
        <v>0</v>
      </c>
      <c r="L1991" s="563">
        <f t="shared" si="91"/>
        <v>0</v>
      </c>
      <c r="M1991" s="563">
        <f t="shared" si="92"/>
        <v>70.784999999999997</v>
      </c>
      <c r="N1991" s="580"/>
    </row>
    <row r="1992" spans="4:14" x14ac:dyDescent="0.25">
      <c r="D1992" s="559" t="s">
        <v>867</v>
      </c>
      <c r="E1992" s="558">
        <v>312586</v>
      </c>
      <c r="F1992" s="559">
        <v>302706</v>
      </c>
      <c r="G1992" s="558" t="s">
        <v>2273</v>
      </c>
      <c r="H1992" s="564">
        <v>40015</v>
      </c>
      <c r="I1992" s="563">
        <v>64.349999999999994</v>
      </c>
      <c r="J1992" s="563">
        <v>-64.349999999999994</v>
      </c>
      <c r="K1992" s="582">
        <f t="shared" si="90"/>
        <v>0</v>
      </c>
      <c r="L1992" s="563">
        <f t="shared" si="91"/>
        <v>0</v>
      </c>
      <c r="M1992" s="563">
        <f t="shared" si="92"/>
        <v>70.784999999999997</v>
      </c>
      <c r="N1992" s="580"/>
    </row>
    <row r="1993" spans="4:14" x14ac:dyDescent="0.25">
      <c r="D1993" s="559" t="s">
        <v>867</v>
      </c>
      <c r="E1993" s="558">
        <v>312587</v>
      </c>
      <c r="F1993" s="559">
        <v>302707</v>
      </c>
      <c r="G1993" s="558" t="s">
        <v>2274</v>
      </c>
      <c r="H1993" s="564">
        <v>40015</v>
      </c>
      <c r="I1993" s="563">
        <v>64.349999999999994</v>
      </c>
      <c r="J1993" s="563">
        <v>-64.349999999999994</v>
      </c>
      <c r="K1993" s="582">
        <f t="shared" si="90"/>
        <v>0</v>
      </c>
      <c r="L1993" s="563">
        <f t="shared" si="91"/>
        <v>0</v>
      </c>
      <c r="M1993" s="563">
        <f t="shared" si="92"/>
        <v>70.784999999999997</v>
      </c>
      <c r="N1993" s="580"/>
    </row>
    <row r="1994" spans="4:14" x14ac:dyDescent="0.25">
      <c r="D1994" s="559" t="s">
        <v>867</v>
      </c>
      <c r="E1994" s="558">
        <v>312588</v>
      </c>
      <c r="F1994" s="559">
        <v>302708</v>
      </c>
      <c r="G1994" s="558" t="s">
        <v>2274</v>
      </c>
      <c r="H1994" s="564">
        <v>40015</v>
      </c>
      <c r="I1994" s="563">
        <v>64.349999999999994</v>
      </c>
      <c r="J1994" s="563">
        <v>-64.349999999999994</v>
      </c>
      <c r="K1994" s="582">
        <f t="shared" si="90"/>
        <v>0</v>
      </c>
      <c r="L1994" s="563">
        <f t="shared" si="91"/>
        <v>0</v>
      </c>
      <c r="M1994" s="563">
        <f t="shared" si="92"/>
        <v>70.784999999999997</v>
      </c>
      <c r="N1994" s="580"/>
    </row>
    <row r="1995" spans="4:14" x14ac:dyDescent="0.25">
      <c r="D1995" s="559" t="s">
        <v>867</v>
      </c>
      <c r="E1995" s="558">
        <v>312589</v>
      </c>
      <c r="F1995" s="559">
        <v>302709</v>
      </c>
      <c r="G1995" s="558" t="s">
        <v>2274</v>
      </c>
      <c r="H1995" s="564">
        <v>40015</v>
      </c>
      <c r="I1995" s="563">
        <v>64.349999999999994</v>
      </c>
      <c r="J1995" s="563">
        <v>-64.349999999999994</v>
      </c>
      <c r="K1995" s="582">
        <f t="shared" si="90"/>
        <v>0</v>
      </c>
      <c r="L1995" s="563">
        <f t="shared" si="91"/>
        <v>0</v>
      </c>
      <c r="M1995" s="563">
        <f t="shared" si="92"/>
        <v>70.784999999999997</v>
      </c>
      <c r="N1995" s="580"/>
    </row>
    <row r="1996" spans="4:14" x14ac:dyDescent="0.25">
      <c r="D1996" s="559" t="s">
        <v>867</v>
      </c>
      <c r="E1996" s="558">
        <v>312590</v>
      </c>
      <c r="F1996" s="559">
        <v>302710</v>
      </c>
      <c r="G1996" s="558" t="s">
        <v>2274</v>
      </c>
      <c r="H1996" s="564">
        <v>40015</v>
      </c>
      <c r="I1996" s="563">
        <v>64.349999999999994</v>
      </c>
      <c r="J1996" s="563">
        <v>-64.349999999999994</v>
      </c>
      <c r="K1996" s="582">
        <f t="shared" si="90"/>
        <v>0</v>
      </c>
      <c r="L1996" s="563">
        <f t="shared" si="91"/>
        <v>0</v>
      </c>
      <c r="M1996" s="563">
        <f t="shared" si="92"/>
        <v>70.784999999999997</v>
      </c>
      <c r="N1996" s="580"/>
    </row>
    <row r="1997" spans="4:14" x14ac:dyDescent="0.25">
      <c r="D1997" s="559" t="s">
        <v>867</v>
      </c>
      <c r="E1997" s="558">
        <v>312591</v>
      </c>
      <c r="F1997" s="559">
        <v>302711</v>
      </c>
      <c r="G1997" s="558" t="s">
        <v>2274</v>
      </c>
      <c r="H1997" s="564">
        <v>40015</v>
      </c>
      <c r="I1997" s="563">
        <v>64.349999999999994</v>
      </c>
      <c r="J1997" s="563">
        <v>-64.349999999999994</v>
      </c>
      <c r="K1997" s="582">
        <f t="shared" si="90"/>
        <v>0</v>
      </c>
      <c r="L1997" s="563">
        <f t="shared" si="91"/>
        <v>0</v>
      </c>
      <c r="M1997" s="563">
        <f t="shared" si="92"/>
        <v>70.784999999999997</v>
      </c>
      <c r="N1997" s="580"/>
    </row>
    <row r="1998" spans="4:14" x14ac:dyDescent="0.25">
      <c r="D1998" s="559" t="s">
        <v>867</v>
      </c>
      <c r="E1998" s="558">
        <v>312592</v>
      </c>
      <c r="F1998" s="559">
        <v>302712</v>
      </c>
      <c r="G1998" s="558" t="s">
        <v>2275</v>
      </c>
      <c r="H1998" s="564">
        <v>40015</v>
      </c>
      <c r="I1998" s="563">
        <v>64.349999999999994</v>
      </c>
      <c r="J1998" s="563">
        <v>-64.349999999999994</v>
      </c>
      <c r="K1998" s="582">
        <f t="shared" si="90"/>
        <v>0</v>
      </c>
      <c r="L1998" s="563">
        <f t="shared" si="91"/>
        <v>0</v>
      </c>
      <c r="M1998" s="563">
        <f t="shared" si="92"/>
        <v>70.784999999999997</v>
      </c>
      <c r="N1998" s="580"/>
    </row>
    <row r="1999" spans="4:14" x14ac:dyDescent="0.25">
      <c r="D1999" s="559" t="s">
        <v>867</v>
      </c>
      <c r="E1999" s="558">
        <v>312593</v>
      </c>
      <c r="F1999" s="559">
        <v>302713</v>
      </c>
      <c r="G1999" s="558" t="s">
        <v>2275</v>
      </c>
      <c r="H1999" s="564">
        <v>40015</v>
      </c>
      <c r="I1999" s="563">
        <v>64.349999999999994</v>
      </c>
      <c r="J1999" s="563">
        <v>-64.349999999999994</v>
      </c>
      <c r="K1999" s="582">
        <f t="shared" si="90"/>
        <v>0</v>
      </c>
      <c r="L1999" s="563">
        <f t="shared" si="91"/>
        <v>0</v>
      </c>
      <c r="M1999" s="563">
        <f t="shared" si="92"/>
        <v>70.784999999999997</v>
      </c>
      <c r="N1999" s="580"/>
    </row>
    <row r="2000" spans="4:14" x14ac:dyDescent="0.25">
      <c r="D2000" s="559" t="s">
        <v>867</v>
      </c>
      <c r="E2000" s="558">
        <v>312594</v>
      </c>
      <c r="F2000" s="559">
        <v>302714</v>
      </c>
      <c r="G2000" s="558" t="s">
        <v>2275</v>
      </c>
      <c r="H2000" s="564">
        <v>40015</v>
      </c>
      <c r="I2000" s="563">
        <v>64.349999999999994</v>
      </c>
      <c r="J2000" s="563">
        <v>-64.349999999999994</v>
      </c>
      <c r="K2000" s="582">
        <f t="shared" si="90"/>
        <v>0</v>
      </c>
      <c r="L2000" s="563">
        <f t="shared" si="91"/>
        <v>0</v>
      </c>
      <c r="M2000" s="563">
        <f t="shared" si="92"/>
        <v>70.784999999999997</v>
      </c>
      <c r="N2000" s="580"/>
    </row>
    <row r="2001" spans="4:14" x14ac:dyDescent="0.25">
      <c r="D2001" s="559" t="s">
        <v>867</v>
      </c>
      <c r="E2001" s="558">
        <v>312595</v>
      </c>
      <c r="F2001" s="559">
        <v>302715</v>
      </c>
      <c r="G2001" s="558" t="s">
        <v>2275</v>
      </c>
      <c r="H2001" s="564">
        <v>40015</v>
      </c>
      <c r="I2001" s="563">
        <v>64.349999999999994</v>
      </c>
      <c r="J2001" s="563">
        <v>-64.349999999999994</v>
      </c>
      <c r="K2001" s="582">
        <f t="shared" si="90"/>
        <v>0</v>
      </c>
      <c r="L2001" s="563">
        <f t="shared" si="91"/>
        <v>0</v>
      </c>
      <c r="M2001" s="563">
        <f t="shared" si="92"/>
        <v>70.784999999999997</v>
      </c>
      <c r="N2001" s="580"/>
    </row>
    <row r="2002" spans="4:14" x14ac:dyDescent="0.25">
      <c r="D2002" s="559" t="s">
        <v>867</v>
      </c>
      <c r="E2002" s="558">
        <v>312596</v>
      </c>
      <c r="F2002" s="559">
        <v>302716</v>
      </c>
      <c r="G2002" s="558" t="s">
        <v>2275</v>
      </c>
      <c r="H2002" s="564">
        <v>40015</v>
      </c>
      <c r="I2002" s="563">
        <v>64.349999999999994</v>
      </c>
      <c r="J2002" s="563">
        <v>-64.349999999999994</v>
      </c>
      <c r="K2002" s="582">
        <f t="shared" si="90"/>
        <v>0</v>
      </c>
      <c r="L2002" s="563">
        <f t="shared" si="91"/>
        <v>0</v>
      </c>
      <c r="M2002" s="563">
        <f t="shared" si="92"/>
        <v>70.784999999999997</v>
      </c>
      <c r="N2002" s="580"/>
    </row>
    <row r="2003" spans="4:14" x14ac:dyDescent="0.25">
      <c r="D2003" s="559" t="s">
        <v>867</v>
      </c>
      <c r="E2003" s="558">
        <v>312597</v>
      </c>
      <c r="F2003" s="559">
        <v>302717</v>
      </c>
      <c r="G2003" s="558" t="s">
        <v>2276</v>
      </c>
      <c r="H2003" s="564">
        <v>40015</v>
      </c>
      <c r="I2003" s="563">
        <v>727.35</v>
      </c>
      <c r="J2003" s="563">
        <v>-585</v>
      </c>
      <c r="K2003" s="582">
        <f t="shared" si="90"/>
        <v>142.35000000000002</v>
      </c>
      <c r="L2003" s="563">
        <f t="shared" si="91"/>
        <v>156.58500000000004</v>
      </c>
      <c r="M2003" s="563">
        <f t="shared" si="92"/>
        <v>800.08500000000004</v>
      </c>
      <c r="N2003" s="580"/>
    </row>
    <row r="2004" spans="4:14" x14ac:dyDescent="0.25">
      <c r="D2004" s="559" t="s">
        <v>867</v>
      </c>
      <c r="E2004" s="558">
        <v>312598</v>
      </c>
      <c r="F2004" s="559">
        <v>302718</v>
      </c>
      <c r="G2004" s="558" t="s">
        <v>2276</v>
      </c>
      <c r="H2004" s="564">
        <v>40015</v>
      </c>
      <c r="I2004" s="563">
        <v>64.349999999999994</v>
      </c>
      <c r="J2004" s="563">
        <v>-64.349999999999994</v>
      </c>
      <c r="K2004" s="582">
        <f t="shared" si="90"/>
        <v>0</v>
      </c>
      <c r="L2004" s="563">
        <f t="shared" si="91"/>
        <v>0</v>
      </c>
      <c r="M2004" s="563">
        <f t="shared" si="92"/>
        <v>70.784999999999997</v>
      </c>
      <c r="N2004" s="580"/>
    </row>
    <row r="2005" spans="4:14" x14ac:dyDescent="0.25">
      <c r="D2005" s="559" t="s">
        <v>867</v>
      </c>
      <c r="E2005" s="558">
        <v>312599</v>
      </c>
      <c r="F2005" s="559">
        <v>302719</v>
      </c>
      <c r="G2005" s="558" t="s">
        <v>2276</v>
      </c>
      <c r="H2005" s="564">
        <v>40015</v>
      </c>
      <c r="I2005" s="563">
        <v>64.349999999999994</v>
      </c>
      <c r="J2005" s="563">
        <v>-64.349999999999994</v>
      </c>
      <c r="K2005" s="582">
        <f t="shared" si="90"/>
        <v>0</v>
      </c>
      <c r="L2005" s="563">
        <f t="shared" si="91"/>
        <v>0</v>
      </c>
      <c r="M2005" s="563">
        <f t="shared" si="92"/>
        <v>70.784999999999997</v>
      </c>
      <c r="N2005" s="580"/>
    </row>
    <row r="2006" spans="4:14" x14ac:dyDescent="0.25">
      <c r="D2006" s="559" t="s">
        <v>867</v>
      </c>
      <c r="E2006" s="558">
        <v>312600</v>
      </c>
      <c r="F2006" s="559">
        <v>302720</v>
      </c>
      <c r="G2006" s="558" t="s">
        <v>2276</v>
      </c>
      <c r="H2006" s="564">
        <v>40015</v>
      </c>
      <c r="I2006" s="563">
        <v>64.349999999999994</v>
      </c>
      <c r="J2006" s="563">
        <v>-64.349999999999994</v>
      </c>
      <c r="K2006" s="582">
        <f t="shared" si="90"/>
        <v>0</v>
      </c>
      <c r="L2006" s="563">
        <f t="shared" si="91"/>
        <v>0</v>
      </c>
      <c r="M2006" s="563">
        <f t="shared" si="92"/>
        <v>70.784999999999997</v>
      </c>
      <c r="N2006" s="580"/>
    </row>
    <row r="2007" spans="4:14" x14ac:dyDescent="0.25">
      <c r="D2007" s="559" t="s">
        <v>867</v>
      </c>
      <c r="E2007" s="558">
        <v>312601</v>
      </c>
      <c r="F2007" s="559">
        <v>302721</v>
      </c>
      <c r="G2007" s="558" t="s">
        <v>2276</v>
      </c>
      <c r="H2007" s="564">
        <v>40015</v>
      </c>
      <c r="I2007" s="563">
        <v>64.349999999999994</v>
      </c>
      <c r="J2007" s="563">
        <v>-64.349999999999994</v>
      </c>
      <c r="K2007" s="582">
        <f t="shared" si="90"/>
        <v>0</v>
      </c>
      <c r="L2007" s="563">
        <f t="shared" si="91"/>
        <v>0</v>
      </c>
      <c r="M2007" s="563">
        <f t="shared" si="92"/>
        <v>70.784999999999997</v>
      </c>
      <c r="N2007" s="580"/>
    </row>
    <row r="2008" spans="4:14" x14ac:dyDescent="0.25">
      <c r="D2008" s="559" t="s">
        <v>867</v>
      </c>
      <c r="E2008" s="558">
        <v>312602</v>
      </c>
      <c r="F2008" s="559">
        <v>302722</v>
      </c>
      <c r="G2008" s="558" t="s">
        <v>2277</v>
      </c>
      <c r="H2008" s="564">
        <v>40015</v>
      </c>
      <c r="I2008" s="563">
        <v>64.349999999999994</v>
      </c>
      <c r="J2008" s="563">
        <v>-64.349999999999994</v>
      </c>
      <c r="K2008" s="582">
        <f t="shared" si="90"/>
        <v>0</v>
      </c>
      <c r="L2008" s="563">
        <f t="shared" si="91"/>
        <v>0</v>
      </c>
      <c r="M2008" s="563">
        <f t="shared" si="92"/>
        <v>70.784999999999997</v>
      </c>
      <c r="N2008" s="580"/>
    </row>
    <row r="2009" spans="4:14" x14ac:dyDescent="0.25">
      <c r="D2009" s="559" t="s">
        <v>867</v>
      </c>
      <c r="E2009" s="558">
        <v>312603</v>
      </c>
      <c r="F2009" s="559">
        <v>303588</v>
      </c>
      <c r="G2009" s="558" t="s">
        <v>2277</v>
      </c>
      <c r="H2009" s="564">
        <v>40015</v>
      </c>
      <c r="I2009" s="563">
        <v>727.35</v>
      </c>
      <c r="J2009" s="563">
        <v>-585</v>
      </c>
      <c r="K2009" s="582">
        <f t="shared" si="90"/>
        <v>142.35000000000002</v>
      </c>
      <c r="L2009" s="563">
        <f t="shared" si="91"/>
        <v>156.58500000000004</v>
      </c>
      <c r="M2009" s="563">
        <f t="shared" si="92"/>
        <v>800.08500000000004</v>
      </c>
      <c r="N2009" s="580"/>
    </row>
    <row r="2010" spans="4:14" x14ac:dyDescent="0.25">
      <c r="D2010" s="559" t="s">
        <v>867</v>
      </c>
      <c r="E2010" s="558">
        <v>312604</v>
      </c>
      <c r="F2010" s="559">
        <v>302724</v>
      </c>
      <c r="G2010" s="558" t="s">
        <v>2277</v>
      </c>
      <c r="H2010" s="564">
        <v>40015</v>
      </c>
      <c r="I2010" s="563">
        <v>25.35</v>
      </c>
      <c r="J2010" s="563">
        <v>-25.35</v>
      </c>
      <c r="K2010" s="582">
        <f t="shared" si="90"/>
        <v>0</v>
      </c>
      <c r="L2010" s="563">
        <f t="shared" si="91"/>
        <v>0</v>
      </c>
      <c r="M2010" s="563">
        <f t="shared" si="92"/>
        <v>27.885000000000005</v>
      </c>
      <c r="N2010" s="580"/>
    </row>
    <row r="2011" spans="4:14" x14ac:dyDescent="0.25">
      <c r="D2011" s="559" t="s">
        <v>867</v>
      </c>
      <c r="E2011" s="558">
        <v>312605</v>
      </c>
      <c r="F2011" s="559">
        <v>302725</v>
      </c>
      <c r="G2011" s="558" t="s">
        <v>2277</v>
      </c>
      <c r="H2011" s="564">
        <v>40015</v>
      </c>
      <c r="I2011" s="563">
        <v>844.35</v>
      </c>
      <c r="J2011" s="563">
        <v>-585</v>
      </c>
      <c r="K2011" s="582">
        <f t="shared" si="90"/>
        <v>259.35000000000002</v>
      </c>
      <c r="L2011" s="563">
        <f t="shared" si="91"/>
        <v>285.28500000000003</v>
      </c>
      <c r="M2011" s="563">
        <f t="shared" si="92"/>
        <v>928.78500000000008</v>
      </c>
      <c r="N2011" s="580"/>
    </row>
    <row r="2012" spans="4:14" x14ac:dyDescent="0.25">
      <c r="D2012" s="559" t="s">
        <v>867</v>
      </c>
      <c r="E2012" s="558">
        <v>312606</v>
      </c>
      <c r="F2012" s="559">
        <v>302726</v>
      </c>
      <c r="G2012" s="558" t="s">
        <v>2277</v>
      </c>
      <c r="H2012" s="564">
        <v>40015</v>
      </c>
      <c r="I2012" s="563">
        <v>415.35</v>
      </c>
      <c r="J2012" s="563">
        <v>-415.35</v>
      </c>
      <c r="K2012" s="582">
        <f t="shared" si="90"/>
        <v>0</v>
      </c>
      <c r="L2012" s="563">
        <f t="shared" si="91"/>
        <v>0</v>
      </c>
      <c r="M2012" s="563">
        <f t="shared" si="92"/>
        <v>456.88500000000005</v>
      </c>
      <c r="N2012" s="580"/>
    </row>
    <row r="2013" spans="4:14" x14ac:dyDescent="0.25">
      <c r="D2013" s="559" t="s">
        <v>867</v>
      </c>
      <c r="E2013" s="558">
        <v>312607</v>
      </c>
      <c r="F2013" s="559">
        <v>302727</v>
      </c>
      <c r="G2013" s="558" t="s">
        <v>2278</v>
      </c>
      <c r="H2013" s="564">
        <v>40015</v>
      </c>
      <c r="I2013" s="563">
        <v>805.35</v>
      </c>
      <c r="J2013" s="563">
        <v>-585</v>
      </c>
      <c r="K2013" s="582">
        <f t="shared" si="90"/>
        <v>220.35000000000002</v>
      </c>
      <c r="L2013" s="563">
        <f t="shared" si="91"/>
        <v>242.38500000000005</v>
      </c>
      <c r="M2013" s="563">
        <f t="shared" si="92"/>
        <v>885.8850000000001</v>
      </c>
      <c r="N2013" s="580"/>
    </row>
    <row r="2014" spans="4:14" x14ac:dyDescent="0.25">
      <c r="D2014" s="559" t="s">
        <v>867</v>
      </c>
      <c r="E2014" s="558">
        <v>312608</v>
      </c>
      <c r="F2014" s="559">
        <v>302728</v>
      </c>
      <c r="G2014" s="558" t="s">
        <v>2278</v>
      </c>
      <c r="H2014" s="564">
        <v>40015</v>
      </c>
      <c r="I2014" s="563">
        <v>64.349999999999994</v>
      </c>
      <c r="J2014" s="563">
        <v>-64.349999999999994</v>
      </c>
      <c r="K2014" s="582">
        <f t="shared" si="90"/>
        <v>0</v>
      </c>
      <c r="L2014" s="563">
        <f t="shared" si="91"/>
        <v>0</v>
      </c>
      <c r="M2014" s="563">
        <f t="shared" si="92"/>
        <v>70.784999999999997</v>
      </c>
      <c r="N2014" s="580"/>
    </row>
    <row r="2015" spans="4:14" x14ac:dyDescent="0.25">
      <c r="D2015" s="559" t="s">
        <v>867</v>
      </c>
      <c r="E2015" s="558">
        <v>312609</v>
      </c>
      <c r="F2015" s="559">
        <v>302729</v>
      </c>
      <c r="G2015" s="558" t="s">
        <v>2278</v>
      </c>
      <c r="H2015" s="564">
        <v>40015</v>
      </c>
      <c r="I2015" s="563">
        <v>64.349999999999994</v>
      </c>
      <c r="J2015" s="563">
        <v>-64.349999999999994</v>
      </c>
      <c r="K2015" s="582">
        <f t="shared" si="90"/>
        <v>0</v>
      </c>
      <c r="L2015" s="563">
        <f t="shared" si="91"/>
        <v>0</v>
      </c>
      <c r="M2015" s="563">
        <f t="shared" si="92"/>
        <v>70.784999999999997</v>
      </c>
      <c r="N2015" s="580"/>
    </row>
    <row r="2016" spans="4:14" x14ac:dyDescent="0.25">
      <c r="D2016" s="559" t="s">
        <v>867</v>
      </c>
      <c r="E2016" s="558">
        <v>312610</v>
      </c>
      <c r="F2016" s="559">
        <v>302730</v>
      </c>
      <c r="G2016" s="558" t="s">
        <v>2278</v>
      </c>
      <c r="H2016" s="564">
        <v>40015</v>
      </c>
      <c r="I2016" s="563">
        <v>64.349999999999994</v>
      </c>
      <c r="J2016" s="563">
        <v>-64.349999999999994</v>
      </c>
      <c r="K2016" s="582">
        <f t="shared" si="90"/>
        <v>0</v>
      </c>
      <c r="L2016" s="563">
        <f t="shared" si="91"/>
        <v>0</v>
      </c>
      <c r="M2016" s="563">
        <f t="shared" si="92"/>
        <v>70.784999999999997</v>
      </c>
      <c r="N2016" s="580"/>
    </row>
    <row r="2017" spans="4:14" x14ac:dyDescent="0.25">
      <c r="D2017" s="559" t="s">
        <v>867</v>
      </c>
      <c r="E2017" s="558">
        <v>312611</v>
      </c>
      <c r="F2017" s="559">
        <v>302731</v>
      </c>
      <c r="G2017" s="558" t="s">
        <v>2278</v>
      </c>
      <c r="H2017" s="564">
        <v>40015</v>
      </c>
      <c r="I2017" s="563">
        <v>64.349999999999994</v>
      </c>
      <c r="J2017" s="563">
        <v>-64.349999999999994</v>
      </c>
      <c r="K2017" s="582">
        <f t="shared" si="90"/>
        <v>0</v>
      </c>
      <c r="L2017" s="563">
        <f t="shared" si="91"/>
        <v>0</v>
      </c>
      <c r="M2017" s="563">
        <f t="shared" si="92"/>
        <v>70.784999999999997</v>
      </c>
      <c r="N2017" s="580"/>
    </row>
    <row r="2018" spans="4:14" x14ac:dyDescent="0.25">
      <c r="D2018" s="559" t="s">
        <v>867</v>
      </c>
      <c r="E2018" s="558">
        <v>312612</v>
      </c>
      <c r="F2018" s="559">
        <v>302732</v>
      </c>
      <c r="G2018" s="558" t="s">
        <v>2279</v>
      </c>
      <c r="H2018" s="564">
        <v>40015</v>
      </c>
      <c r="I2018" s="563">
        <v>64.349999999999994</v>
      </c>
      <c r="J2018" s="563">
        <v>-64.349999999999994</v>
      </c>
      <c r="K2018" s="582">
        <f t="shared" si="90"/>
        <v>0</v>
      </c>
      <c r="L2018" s="563">
        <f t="shared" si="91"/>
        <v>0</v>
      </c>
      <c r="M2018" s="563">
        <f t="shared" si="92"/>
        <v>70.784999999999997</v>
      </c>
      <c r="N2018" s="580"/>
    </row>
    <row r="2019" spans="4:14" x14ac:dyDescent="0.25">
      <c r="D2019" s="559" t="s">
        <v>867</v>
      </c>
      <c r="E2019" s="558">
        <v>312613</v>
      </c>
      <c r="F2019" s="559">
        <v>302733</v>
      </c>
      <c r="G2019" s="558" t="s">
        <v>2279</v>
      </c>
      <c r="H2019" s="564">
        <v>40015</v>
      </c>
      <c r="I2019" s="563">
        <v>64.349999999999994</v>
      </c>
      <c r="J2019" s="563">
        <v>-64.349999999999994</v>
      </c>
      <c r="K2019" s="582">
        <f t="shared" si="90"/>
        <v>0</v>
      </c>
      <c r="L2019" s="563">
        <f t="shared" si="91"/>
        <v>0</v>
      </c>
      <c r="M2019" s="563">
        <f t="shared" si="92"/>
        <v>70.784999999999997</v>
      </c>
      <c r="N2019" s="580"/>
    </row>
    <row r="2020" spans="4:14" x14ac:dyDescent="0.25">
      <c r="D2020" s="559" t="s">
        <v>867</v>
      </c>
      <c r="E2020" s="558">
        <v>312616</v>
      </c>
      <c r="F2020" s="559">
        <v>302283</v>
      </c>
      <c r="G2020" s="558" t="s">
        <v>2279</v>
      </c>
      <c r="H2020" s="564">
        <v>40015</v>
      </c>
      <c r="I2020" s="563">
        <v>727.35</v>
      </c>
      <c r="J2020" s="563">
        <v>-585</v>
      </c>
      <c r="K2020" s="582">
        <f t="shared" si="90"/>
        <v>142.35000000000002</v>
      </c>
      <c r="L2020" s="563">
        <f t="shared" si="91"/>
        <v>156.58500000000004</v>
      </c>
      <c r="M2020" s="563">
        <f t="shared" si="92"/>
        <v>800.08500000000004</v>
      </c>
      <c r="N2020" s="580"/>
    </row>
    <row r="2021" spans="4:14" x14ac:dyDescent="0.25">
      <c r="D2021" s="559" t="s">
        <v>867</v>
      </c>
      <c r="E2021" s="558">
        <v>312617</v>
      </c>
      <c r="F2021" s="559">
        <v>302284</v>
      </c>
      <c r="G2021" s="558" t="s">
        <v>2279</v>
      </c>
      <c r="H2021" s="564">
        <v>40015</v>
      </c>
      <c r="I2021" s="563">
        <v>727.35</v>
      </c>
      <c r="J2021" s="563">
        <v>-585</v>
      </c>
      <c r="K2021" s="582">
        <f t="shared" si="90"/>
        <v>142.35000000000002</v>
      </c>
      <c r="L2021" s="563">
        <f t="shared" si="91"/>
        <v>156.58500000000004</v>
      </c>
      <c r="M2021" s="563">
        <f t="shared" si="92"/>
        <v>800.08500000000004</v>
      </c>
      <c r="N2021" s="580"/>
    </row>
    <row r="2022" spans="4:14" x14ac:dyDescent="0.25">
      <c r="D2022" s="559" t="s">
        <v>867</v>
      </c>
      <c r="E2022" s="558">
        <v>312618</v>
      </c>
      <c r="F2022" s="559">
        <v>302285</v>
      </c>
      <c r="G2022" s="558" t="s">
        <v>2279</v>
      </c>
      <c r="H2022" s="564">
        <v>40015</v>
      </c>
      <c r="I2022" s="563">
        <v>727.35</v>
      </c>
      <c r="J2022" s="563">
        <v>-585</v>
      </c>
      <c r="K2022" s="582">
        <f t="shared" si="90"/>
        <v>142.35000000000002</v>
      </c>
      <c r="L2022" s="563">
        <f t="shared" si="91"/>
        <v>156.58500000000004</v>
      </c>
      <c r="M2022" s="563">
        <f t="shared" si="92"/>
        <v>800.08500000000004</v>
      </c>
      <c r="N2022" s="580"/>
    </row>
    <row r="2023" spans="4:14" x14ac:dyDescent="0.25">
      <c r="D2023" s="559" t="s">
        <v>867</v>
      </c>
      <c r="E2023" s="558">
        <v>312619</v>
      </c>
      <c r="F2023" s="559">
        <v>302286</v>
      </c>
      <c r="G2023" s="558" t="s">
        <v>2280</v>
      </c>
      <c r="H2023" s="564">
        <v>40015</v>
      </c>
      <c r="I2023" s="563">
        <v>727.35</v>
      </c>
      <c r="J2023" s="563">
        <v>-585</v>
      </c>
      <c r="K2023" s="582">
        <f t="shared" si="90"/>
        <v>142.35000000000002</v>
      </c>
      <c r="L2023" s="563">
        <f t="shared" si="91"/>
        <v>156.58500000000004</v>
      </c>
      <c r="M2023" s="563">
        <f t="shared" si="92"/>
        <v>800.08500000000004</v>
      </c>
      <c r="N2023" s="580"/>
    </row>
    <row r="2024" spans="4:14" x14ac:dyDescent="0.25">
      <c r="D2024" s="559" t="s">
        <v>867</v>
      </c>
      <c r="E2024" s="558">
        <v>312620</v>
      </c>
      <c r="F2024" s="559">
        <v>302287</v>
      </c>
      <c r="G2024" s="558" t="s">
        <v>2280</v>
      </c>
      <c r="H2024" s="564">
        <v>40015</v>
      </c>
      <c r="I2024" s="563">
        <v>727.35</v>
      </c>
      <c r="J2024" s="563">
        <v>-585</v>
      </c>
      <c r="K2024" s="582">
        <f t="shared" si="90"/>
        <v>142.35000000000002</v>
      </c>
      <c r="L2024" s="563">
        <f t="shared" si="91"/>
        <v>156.58500000000004</v>
      </c>
      <c r="M2024" s="563">
        <f t="shared" si="92"/>
        <v>800.08500000000004</v>
      </c>
      <c r="N2024" s="580"/>
    </row>
    <row r="2025" spans="4:14" x14ac:dyDescent="0.25">
      <c r="D2025" s="559" t="s">
        <v>867</v>
      </c>
      <c r="E2025" s="558">
        <v>312621</v>
      </c>
      <c r="F2025" s="559">
        <v>302288</v>
      </c>
      <c r="G2025" s="558" t="s">
        <v>2280</v>
      </c>
      <c r="H2025" s="564">
        <v>40015</v>
      </c>
      <c r="I2025" s="563">
        <v>727.35</v>
      </c>
      <c r="J2025" s="563">
        <v>-585</v>
      </c>
      <c r="K2025" s="582">
        <f t="shared" ref="K2025:K2088" si="93">+I2025+J2025</f>
        <v>142.35000000000002</v>
      </c>
      <c r="L2025" s="563">
        <f t="shared" ref="L2025:L2088" si="94">+K2025*1.1</f>
        <v>156.58500000000004</v>
      </c>
      <c r="M2025" s="563">
        <f t="shared" ref="M2025:M2088" si="95">+I2025*1.1</f>
        <v>800.08500000000004</v>
      </c>
      <c r="N2025" s="580"/>
    </row>
    <row r="2026" spans="4:14" x14ac:dyDescent="0.25">
      <c r="D2026" s="559" t="s">
        <v>867</v>
      </c>
      <c r="E2026" s="558">
        <v>312622</v>
      </c>
      <c r="F2026" s="559">
        <v>302289</v>
      </c>
      <c r="G2026" s="558" t="s">
        <v>2280</v>
      </c>
      <c r="H2026" s="564">
        <v>40015</v>
      </c>
      <c r="I2026" s="563">
        <v>727.35</v>
      </c>
      <c r="J2026" s="563">
        <v>-585</v>
      </c>
      <c r="K2026" s="582">
        <f t="shared" si="93"/>
        <v>142.35000000000002</v>
      </c>
      <c r="L2026" s="563">
        <f t="shared" si="94"/>
        <v>156.58500000000004</v>
      </c>
      <c r="M2026" s="563">
        <f t="shared" si="95"/>
        <v>800.08500000000004</v>
      </c>
      <c r="N2026" s="580"/>
    </row>
    <row r="2027" spans="4:14" x14ac:dyDescent="0.25">
      <c r="D2027" s="559" t="s">
        <v>867</v>
      </c>
      <c r="E2027" s="558">
        <v>312623</v>
      </c>
      <c r="F2027" s="559">
        <v>302290</v>
      </c>
      <c r="G2027" s="558" t="s">
        <v>2280</v>
      </c>
      <c r="H2027" s="564">
        <v>40015</v>
      </c>
      <c r="I2027" s="563">
        <v>727.35</v>
      </c>
      <c r="J2027" s="563">
        <v>-585</v>
      </c>
      <c r="K2027" s="582">
        <f t="shared" si="93"/>
        <v>142.35000000000002</v>
      </c>
      <c r="L2027" s="563">
        <f t="shared" si="94"/>
        <v>156.58500000000004</v>
      </c>
      <c r="M2027" s="563">
        <f t="shared" si="95"/>
        <v>800.08500000000004</v>
      </c>
      <c r="N2027" s="580"/>
    </row>
    <row r="2028" spans="4:14" x14ac:dyDescent="0.25">
      <c r="D2028" s="559" t="s">
        <v>867</v>
      </c>
      <c r="E2028" s="558">
        <v>312624</v>
      </c>
      <c r="F2028" s="559">
        <v>302291</v>
      </c>
      <c r="G2028" s="558" t="s">
        <v>2281</v>
      </c>
      <c r="H2028" s="564">
        <v>40015</v>
      </c>
      <c r="I2028" s="563">
        <v>727.35</v>
      </c>
      <c r="J2028" s="563">
        <v>-585</v>
      </c>
      <c r="K2028" s="582">
        <f t="shared" si="93"/>
        <v>142.35000000000002</v>
      </c>
      <c r="L2028" s="563">
        <f t="shared" si="94"/>
        <v>156.58500000000004</v>
      </c>
      <c r="M2028" s="563">
        <f t="shared" si="95"/>
        <v>800.08500000000004</v>
      </c>
      <c r="N2028" s="580"/>
    </row>
    <row r="2029" spans="4:14" x14ac:dyDescent="0.25">
      <c r="D2029" s="559" t="s">
        <v>867</v>
      </c>
      <c r="E2029" s="558">
        <v>312625</v>
      </c>
      <c r="F2029" s="559">
        <v>302292</v>
      </c>
      <c r="G2029" s="558" t="s">
        <v>2281</v>
      </c>
      <c r="H2029" s="564">
        <v>40015</v>
      </c>
      <c r="I2029" s="563">
        <v>727.35</v>
      </c>
      <c r="J2029" s="563">
        <v>-585</v>
      </c>
      <c r="K2029" s="582">
        <f t="shared" si="93"/>
        <v>142.35000000000002</v>
      </c>
      <c r="L2029" s="563">
        <f t="shared" si="94"/>
        <v>156.58500000000004</v>
      </c>
      <c r="M2029" s="563">
        <f t="shared" si="95"/>
        <v>800.08500000000004</v>
      </c>
      <c r="N2029" s="580"/>
    </row>
    <row r="2030" spans="4:14" x14ac:dyDescent="0.25">
      <c r="D2030" s="559" t="s">
        <v>867</v>
      </c>
      <c r="E2030" s="558">
        <v>312626</v>
      </c>
      <c r="F2030" s="559">
        <v>302293</v>
      </c>
      <c r="G2030" s="558" t="s">
        <v>2281</v>
      </c>
      <c r="H2030" s="564">
        <v>40015</v>
      </c>
      <c r="I2030" s="563">
        <v>64.349999999999994</v>
      </c>
      <c r="J2030" s="563">
        <v>-64.349999999999994</v>
      </c>
      <c r="K2030" s="582">
        <f t="shared" si="93"/>
        <v>0</v>
      </c>
      <c r="L2030" s="563">
        <f t="shared" si="94"/>
        <v>0</v>
      </c>
      <c r="M2030" s="563">
        <f t="shared" si="95"/>
        <v>70.784999999999997</v>
      </c>
      <c r="N2030" s="580"/>
    </row>
    <row r="2031" spans="4:14" x14ac:dyDescent="0.25">
      <c r="D2031" s="559" t="s">
        <v>867</v>
      </c>
      <c r="E2031" s="558">
        <v>312627</v>
      </c>
      <c r="F2031" s="559">
        <v>302294</v>
      </c>
      <c r="G2031" s="558" t="s">
        <v>2281</v>
      </c>
      <c r="H2031" s="564">
        <v>40015</v>
      </c>
      <c r="I2031" s="563">
        <v>727.35</v>
      </c>
      <c r="J2031" s="563">
        <v>-585</v>
      </c>
      <c r="K2031" s="582">
        <f t="shared" si="93"/>
        <v>142.35000000000002</v>
      </c>
      <c r="L2031" s="563">
        <f t="shared" si="94"/>
        <v>156.58500000000004</v>
      </c>
      <c r="M2031" s="563">
        <f t="shared" si="95"/>
        <v>800.08500000000004</v>
      </c>
      <c r="N2031" s="580"/>
    </row>
    <row r="2032" spans="4:14" x14ac:dyDescent="0.25">
      <c r="D2032" s="559" t="s">
        <v>867</v>
      </c>
      <c r="E2032" s="558">
        <v>312628</v>
      </c>
      <c r="F2032" s="559">
        <v>302295</v>
      </c>
      <c r="G2032" s="558" t="s">
        <v>2281</v>
      </c>
      <c r="H2032" s="564">
        <v>40015</v>
      </c>
      <c r="I2032" s="563">
        <v>727.35</v>
      </c>
      <c r="J2032" s="563">
        <v>-585</v>
      </c>
      <c r="K2032" s="582">
        <f t="shared" si="93"/>
        <v>142.35000000000002</v>
      </c>
      <c r="L2032" s="563">
        <f t="shared" si="94"/>
        <v>156.58500000000004</v>
      </c>
      <c r="M2032" s="563">
        <f t="shared" si="95"/>
        <v>800.08500000000004</v>
      </c>
      <c r="N2032" s="580"/>
    </row>
    <row r="2033" spans="4:14" x14ac:dyDescent="0.25">
      <c r="D2033" s="559" t="s">
        <v>867</v>
      </c>
      <c r="E2033" s="558">
        <v>312629</v>
      </c>
      <c r="F2033" s="559">
        <v>302296</v>
      </c>
      <c r="G2033" s="558" t="s">
        <v>2282</v>
      </c>
      <c r="H2033" s="564">
        <v>40015</v>
      </c>
      <c r="I2033" s="563">
        <v>25.35</v>
      </c>
      <c r="J2033" s="563">
        <v>-25.35</v>
      </c>
      <c r="K2033" s="582">
        <f t="shared" si="93"/>
        <v>0</v>
      </c>
      <c r="L2033" s="563">
        <f t="shared" si="94"/>
        <v>0</v>
      </c>
      <c r="M2033" s="563">
        <f t="shared" si="95"/>
        <v>27.885000000000005</v>
      </c>
      <c r="N2033" s="580"/>
    </row>
    <row r="2034" spans="4:14" x14ac:dyDescent="0.25">
      <c r="D2034" s="559" t="s">
        <v>867</v>
      </c>
      <c r="E2034" s="558">
        <v>312630</v>
      </c>
      <c r="F2034" s="559">
        <v>302297</v>
      </c>
      <c r="G2034" s="558" t="s">
        <v>2282</v>
      </c>
      <c r="H2034" s="564">
        <v>40015</v>
      </c>
      <c r="I2034" s="563">
        <v>25.35</v>
      </c>
      <c r="J2034" s="563">
        <v>-25.35</v>
      </c>
      <c r="K2034" s="582">
        <f t="shared" si="93"/>
        <v>0</v>
      </c>
      <c r="L2034" s="563">
        <f t="shared" si="94"/>
        <v>0</v>
      </c>
      <c r="M2034" s="563">
        <f t="shared" si="95"/>
        <v>27.885000000000005</v>
      </c>
      <c r="N2034" s="580"/>
    </row>
    <row r="2035" spans="4:14" x14ac:dyDescent="0.25">
      <c r="D2035" s="559" t="s">
        <v>867</v>
      </c>
      <c r="E2035" s="558">
        <v>312631</v>
      </c>
      <c r="F2035" s="559">
        <v>302298</v>
      </c>
      <c r="G2035" s="558" t="s">
        <v>2282</v>
      </c>
      <c r="H2035" s="564">
        <v>40015</v>
      </c>
      <c r="I2035" s="563">
        <v>25.35</v>
      </c>
      <c r="J2035" s="563">
        <v>-25.35</v>
      </c>
      <c r="K2035" s="582">
        <f t="shared" si="93"/>
        <v>0</v>
      </c>
      <c r="L2035" s="563">
        <f t="shared" si="94"/>
        <v>0</v>
      </c>
      <c r="M2035" s="563">
        <f t="shared" si="95"/>
        <v>27.885000000000005</v>
      </c>
      <c r="N2035" s="580"/>
    </row>
    <row r="2036" spans="4:14" x14ac:dyDescent="0.25">
      <c r="D2036" s="559" t="s">
        <v>867</v>
      </c>
      <c r="E2036" s="558">
        <v>312632</v>
      </c>
      <c r="F2036" s="559">
        <v>302299</v>
      </c>
      <c r="G2036" s="558" t="s">
        <v>2282</v>
      </c>
      <c r="H2036" s="564">
        <v>40015</v>
      </c>
      <c r="I2036" s="563">
        <v>25.35</v>
      </c>
      <c r="J2036" s="563">
        <v>-25.35</v>
      </c>
      <c r="K2036" s="582">
        <f t="shared" si="93"/>
        <v>0</v>
      </c>
      <c r="L2036" s="563">
        <f t="shared" si="94"/>
        <v>0</v>
      </c>
      <c r="M2036" s="563">
        <f t="shared" si="95"/>
        <v>27.885000000000005</v>
      </c>
      <c r="N2036" s="580"/>
    </row>
    <row r="2037" spans="4:14" x14ac:dyDescent="0.25">
      <c r="D2037" s="559" t="s">
        <v>867</v>
      </c>
      <c r="E2037" s="558">
        <v>312633</v>
      </c>
      <c r="F2037" s="559">
        <v>302300</v>
      </c>
      <c r="G2037" s="558" t="s">
        <v>2282</v>
      </c>
      <c r="H2037" s="564">
        <v>40015</v>
      </c>
      <c r="I2037" s="563">
        <v>25.35</v>
      </c>
      <c r="J2037" s="563">
        <v>-25.35</v>
      </c>
      <c r="K2037" s="582">
        <f t="shared" si="93"/>
        <v>0</v>
      </c>
      <c r="L2037" s="563">
        <f t="shared" si="94"/>
        <v>0</v>
      </c>
      <c r="M2037" s="563">
        <f t="shared" si="95"/>
        <v>27.885000000000005</v>
      </c>
      <c r="N2037" s="580"/>
    </row>
    <row r="2038" spans="4:14" x14ac:dyDescent="0.25">
      <c r="D2038" s="559" t="s">
        <v>867</v>
      </c>
      <c r="E2038" s="558">
        <v>312634</v>
      </c>
      <c r="F2038" s="559">
        <v>302301</v>
      </c>
      <c r="G2038" s="558" t="s">
        <v>2283</v>
      </c>
      <c r="H2038" s="564">
        <v>40015</v>
      </c>
      <c r="I2038" s="563">
        <v>25.35</v>
      </c>
      <c r="J2038" s="563">
        <v>-25.35</v>
      </c>
      <c r="K2038" s="582">
        <f t="shared" si="93"/>
        <v>0</v>
      </c>
      <c r="L2038" s="563">
        <f t="shared" si="94"/>
        <v>0</v>
      </c>
      <c r="M2038" s="563">
        <f t="shared" si="95"/>
        <v>27.885000000000005</v>
      </c>
      <c r="N2038" s="580"/>
    </row>
    <row r="2039" spans="4:14" x14ac:dyDescent="0.25">
      <c r="D2039" s="559" t="s">
        <v>867</v>
      </c>
      <c r="E2039" s="558">
        <v>312635</v>
      </c>
      <c r="F2039" s="559">
        <v>302302</v>
      </c>
      <c r="G2039" s="558" t="s">
        <v>2283</v>
      </c>
      <c r="H2039" s="564">
        <v>40015</v>
      </c>
      <c r="I2039" s="563">
        <v>25.35</v>
      </c>
      <c r="J2039" s="563">
        <v>-25.35</v>
      </c>
      <c r="K2039" s="582">
        <f t="shared" si="93"/>
        <v>0</v>
      </c>
      <c r="L2039" s="563">
        <f t="shared" si="94"/>
        <v>0</v>
      </c>
      <c r="M2039" s="563">
        <f t="shared" si="95"/>
        <v>27.885000000000005</v>
      </c>
      <c r="N2039" s="580"/>
    </row>
    <row r="2040" spans="4:14" x14ac:dyDescent="0.25">
      <c r="D2040" s="559" t="s">
        <v>867</v>
      </c>
      <c r="E2040" s="558">
        <v>312636</v>
      </c>
      <c r="F2040" s="559">
        <v>302303</v>
      </c>
      <c r="G2040" s="558" t="s">
        <v>2283</v>
      </c>
      <c r="H2040" s="564">
        <v>40015</v>
      </c>
      <c r="I2040" s="563">
        <v>25.35</v>
      </c>
      <c r="J2040" s="563">
        <v>-25.35</v>
      </c>
      <c r="K2040" s="582">
        <f t="shared" si="93"/>
        <v>0</v>
      </c>
      <c r="L2040" s="563">
        <f t="shared" si="94"/>
        <v>0</v>
      </c>
      <c r="M2040" s="563">
        <f t="shared" si="95"/>
        <v>27.885000000000005</v>
      </c>
      <c r="N2040" s="580"/>
    </row>
    <row r="2041" spans="4:14" x14ac:dyDescent="0.25">
      <c r="D2041" s="559" t="s">
        <v>867</v>
      </c>
      <c r="E2041" s="558">
        <v>312637</v>
      </c>
      <c r="F2041" s="559">
        <v>302304</v>
      </c>
      <c r="G2041" s="558" t="s">
        <v>2283</v>
      </c>
      <c r="H2041" s="564">
        <v>40015</v>
      </c>
      <c r="I2041" s="563">
        <v>25.35</v>
      </c>
      <c r="J2041" s="563">
        <v>-25.35</v>
      </c>
      <c r="K2041" s="582">
        <f t="shared" si="93"/>
        <v>0</v>
      </c>
      <c r="L2041" s="563">
        <f t="shared" si="94"/>
        <v>0</v>
      </c>
      <c r="M2041" s="563">
        <f t="shared" si="95"/>
        <v>27.885000000000005</v>
      </c>
      <c r="N2041" s="580"/>
    </row>
    <row r="2042" spans="4:14" x14ac:dyDescent="0.25">
      <c r="D2042" s="559" t="s">
        <v>867</v>
      </c>
      <c r="E2042" s="558">
        <v>312638</v>
      </c>
      <c r="F2042" s="559">
        <v>302305</v>
      </c>
      <c r="G2042" s="558" t="s">
        <v>2283</v>
      </c>
      <c r="H2042" s="564">
        <v>40015</v>
      </c>
      <c r="I2042" s="563">
        <v>25.35</v>
      </c>
      <c r="J2042" s="563">
        <v>-25.35</v>
      </c>
      <c r="K2042" s="582">
        <f t="shared" si="93"/>
        <v>0</v>
      </c>
      <c r="L2042" s="563">
        <f t="shared" si="94"/>
        <v>0</v>
      </c>
      <c r="M2042" s="563">
        <f t="shared" si="95"/>
        <v>27.885000000000005</v>
      </c>
      <c r="N2042" s="580"/>
    </row>
    <row r="2043" spans="4:14" x14ac:dyDescent="0.25">
      <c r="D2043" s="559" t="s">
        <v>867</v>
      </c>
      <c r="E2043" s="558">
        <v>312639</v>
      </c>
      <c r="F2043" s="559">
        <v>302306</v>
      </c>
      <c r="G2043" s="558" t="s">
        <v>2284</v>
      </c>
      <c r="H2043" s="564">
        <v>40015</v>
      </c>
      <c r="I2043" s="563">
        <v>25.35</v>
      </c>
      <c r="J2043" s="563">
        <v>-25.35</v>
      </c>
      <c r="K2043" s="582">
        <f t="shared" si="93"/>
        <v>0</v>
      </c>
      <c r="L2043" s="563">
        <f t="shared" si="94"/>
        <v>0</v>
      </c>
      <c r="M2043" s="563">
        <f t="shared" si="95"/>
        <v>27.885000000000005</v>
      </c>
      <c r="N2043" s="580"/>
    </row>
    <row r="2044" spans="4:14" x14ac:dyDescent="0.25">
      <c r="D2044" s="559" t="s">
        <v>867</v>
      </c>
      <c r="E2044" s="558">
        <v>312640</v>
      </c>
      <c r="F2044" s="559">
        <v>302307</v>
      </c>
      <c r="G2044" s="558" t="s">
        <v>2284</v>
      </c>
      <c r="H2044" s="564">
        <v>40015</v>
      </c>
      <c r="I2044" s="563">
        <v>25.35</v>
      </c>
      <c r="J2044" s="563">
        <v>-25.35</v>
      </c>
      <c r="K2044" s="582">
        <f t="shared" si="93"/>
        <v>0</v>
      </c>
      <c r="L2044" s="563">
        <f t="shared" si="94"/>
        <v>0</v>
      </c>
      <c r="M2044" s="563">
        <f t="shared" si="95"/>
        <v>27.885000000000005</v>
      </c>
      <c r="N2044" s="580"/>
    </row>
    <row r="2045" spans="4:14" x14ac:dyDescent="0.25">
      <c r="D2045" s="559" t="s">
        <v>867</v>
      </c>
      <c r="E2045" s="558">
        <v>312641</v>
      </c>
      <c r="F2045" s="559">
        <v>302308</v>
      </c>
      <c r="G2045" s="558" t="s">
        <v>2284</v>
      </c>
      <c r="H2045" s="564">
        <v>40015</v>
      </c>
      <c r="I2045" s="563">
        <v>25.35</v>
      </c>
      <c r="J2045" s="563">
        <v>-25.35</v>
      </c>
      <c r="K2045" s="582">
        <f t="shared" si="93"/>
        <v>0</v>
      </c>
      <c r="L2045" s="563">
        <f t="shared" si="94"/>
        <v>0</v>
      </c>
      <c r="M2045" s="563">
        <f t="shared" si="95"/>
        <v>27.885000000000005</v>
      </c>
      <c r="N2045" s="580"/>
    </row>
    <row r="2046" spans="4:14" x14ac:dyDescent="0.25">
      <c r="D2046" s="559" t="s">
        <v>867</v>
      </c>
      <c r="E2046" s="558">
        <v>312642</v>
      </c>
      <c r="F2046" s="559">
        <v>302309</v>
      </c>
      <c r="G2046" s="558" t="s">
        <v>2284</v>
      </c>
      <c r="H2046" s="564">
        <v>40015</v>
      </c>
      <c r="I2046" s="563">
        <v>25.35</v>
      </c>
      <c r="J2046" s="563">
        <v>-25.35</v>
      </c>
      <c r="K2046" s="582">
        <f t="shared" si="93"/>
        <v>0</v>
      </c>
      <c r="L2046" s="563">
        <f t="shared" si="94"/>
        <v>0</v>
      </c>
      <c r="M2046" s="563">
        <f t="shared" si="95"/>
        <v>27.885000000000005</v>
      </c>
      <c r="N2046" s="580"/>
    </row>
    <row r="2047" spans="4:14" x14ac:dyDescent="0.25">
      <c r="D2047" s="559" t="s">
        <v>867</v>
      </c>
      <c r="E2047" s="558">
        <v>312643</v>
      </c>
      <c r="F2047" s="559">
        <v>302310</v>
      </c>
      <c r="G2047" s="558" t="s">
        <v>2284</v>
      </c>
      <c r="H2047" s="564">
        <v>40015</v>
      </c>
      <c r="I2047" s="563">
        <v>25.35</v>
      </c>
      <c r="J2047" s="563">
        <v>-25.35</v>
      </c>
      <c r="K2047" s="582">
        <f t="shared" si="93"/>
        <v>0</v>
      </c>
      <c r="L2047" s="563">
        <f t="shared" si="94"/>
        <v>0</v>
      </c>
      <c r="M2047" s="563">
        <f t="shared" si="95"/>
        <v>27.885000000000005</v>
      </c>
      <c r="N2047" s="580"/>
    </row>
    <row r="2048" spans="4:14" x14ac:dyDescent="0.25">
      <c r="D2048" s="559" t="s">
        <v>867</v>
      </c>
      <c r="E2048" s="558">
        <v>312644</v>
      </c>
      <c r="F2048" s="559">
        <v>302311</v>
      </c>
      <c r="G2048" s="558" t="s">
        <v>2285</v>
      </c>
      <c r="H2048" s="564">
        <v>40015</v>
      </c>
      <c r="I2048" s="563">
        <v>727.35</v>
      </c>
      <c r="J2048" s="563">
        <v>-585</v>
      </c>
      <c r="K2048" s="582">
        <f t="shared" si="93"/>
        <v>142.35000000000002</v>
      </c>
      <c r="L2048" s="563">
        <f t="shared" si="94"/>
        <v>156.58500000000004</v>
      </c>
      <c r="M2048" s="563">
        <f t="shared" si="95"/>
        <v>800.08500000000004</v>
      </c>
      <c r="N2048" s="580"/>
    </row>
    <row r="2049" spans="4:14" x14ac:dyDescent="0.25">
      <c r="D2049" s="559" t="s">
        <v>867</v>
      </c>
      <c r="E2049" s="558">
        <v>312645</v>
      </c>
      <c r="F2049" s="559">
        <v>302312</v>
      </c>
      <c r="G2049" s="558" t="s">
        <v>2285</v>
      </c>
      <c r="H2049" s="564">
        <v>40015</v>
      </c>
      <c r="I2049" s="563">
        <v>727.35</v>
      </c>
      <c r="J2049" s="563">
        <v>-585</v>
      </c>
      <c r="K2049" s="582">
        <f t="shared" si="93"/>
        <v>142.35000000000002</v>
      </c>
      <c r="L2049" s="563">
        <f t="shared" si="94"/>
        <v>156.58500000000004</v>
      </c>
      <c r="M2049" s="563">
        <f t="shared" si="95"/>
        <v>800.08500000000004</v>
      </c>
      <c r="N2049" s="580"/>
    </row>
    <row r="2050" spans="4:14" x14ac:dyDescent="0.25">
      <c r="D2050" s="559" t="s">
        <v>867</v>
      </c>
      <c r="E2050" s="558">
        <v>312646</v>
      </c>
      <c r="F2050" s="559">
        <v>302313</v>
      </c>
      <c r="G2050" s="558" t="s">
        <v>2285</v>
      </c>
      <c r="H2050" s="564">
        <v>40015</v>
      </c>
      <c r="I2050" s="563">
        <v>727.35</v>
      </c>
      <c r="J2050" s="563">
        <v>-585</v>
      </c>
      <c r="K2050" s="582">
        <f t="shared" si="93"/>
        <v>142.35000000000002</v>
      </c>
      <c r="L2050" s="563">
        <f t="shared" si="94"/>
        <v>156.58500000000004</v>
      </c>
      <c r="M2050" s="563">
        <f t="shared" si="95"/>
        <v>800.08500000000004</v>
      </c>
      <c r="N2050" s="580"/>
    </row>
    <row r="2051" spans="4:14" x14ac:dyDescent="0.25">
      <c r="D2051" s="559" t="s">
        <v>867</v>
      </c>
      <c r="E2051" s="558">
        <v>312647</v>
      </c>
      <c r="F2051" s="559">
        <v>302314</v>
      </c>
      <c r="G2051" s="558" t="s">
        <v>2285</v>
      </c>
      <c r="H2051" s="564">
        <v>40015</v>
      </c>
      <c r="I2051" s="563">
        <v>727.35</v>
      </c>
      <c r="J2051" s="563">
        <v>-585</v>
      </c>
      <c r="K2051" s="582">
        <f t="shared" si="93"/>
        <v>142.35000000000002</v>
      </c>
      <c r="L2051" s="563">
        <f t="shared" si="94"/>
        <v>156.58500000000004</v>
      </c>
      <c r="M2051" s="563">
        <f t="shared" si="95"/>
        <v>800.08500000000004</v>
      </c>
      <c r="N2051" s="580"/>
    </row>
    <row r="2052" spans="4:14" x14ac:dyDescent="0.25">
      <c r="D2052" s="559" t="s">
        <v>867</v>
      </c>
      <c r="E2052" s="558">
        <v>312648</v>
      </c>
      <c r="F2052" s="559">
        <v>302315</v>
      </c>
      <c r="G2052" s="558" t="s">
        <v>2285</v>
      </c>
      <c r="H2052" s="564">
        <v>40015</v>
      </c>
      <c r="I2052" s="563">
        <v>727.35</v>
      </c>
      <c r="J2052" s="563">
        <v>-585</v>
      </c>
      <c r="K2052" s="582">
        <f t="shared" si="93"/>
        <v>142.35000000000002</v>
      </c>
      <c r="L2052" s="563">
        <f t="shared" si="94"/>
        <v>156.58500000000004</v>
      </c>
      <c r="M2052" s="563">
        <f t="shared" si="95"/>
        <v>800.08500000000004</v>
      </c>
      <c r="N2052" s="580"/>
    </row>
    <row r="2053" spans="4:14" x14ac:dyDescent="0.25">
      <c r="D2053" s="559" t="s">
        <v>867</v>
      </c>
      <c r="E2053" s="558">
        <v>312649</v>
      </c>
      <c r="F2053" s="559">
        <v>302316</v>
      </c>
      <c r="G2053" s="558" t="s">
        <v>2286</v>
      </c>
      <c r="H2053" s="564">
        <v>40015</v>
      </c>
      <c r="I2053" s="563">
        <v>1624.35</v>
      </c>
      <c r="J2053" s="563">
        <v>-585</v>
      </c>
      <c r="K2053" s="582">
        <f t="shared" si="93"/>
        <v>1039.3499999999999</v>
      </c>
      <c r="L2053" s="563">
        <f t="shared" si="94"/>
        <v>1143.2850000000001</v>
      </c>
      <c r="M2053" s="563">
        <f t="shared" si="95"/>
        <v>1786.7850000000001</v>
      </c>
      <c r="N2053" s="580"/>
    </row>
    <row r="2054" spans="4:14" x14ac:dyDescent="0.25">
      <c r="D2054" s="559" t="s">
        <v>867</v>
      </c>
      <c r="E2054" s="558">
        <v>312651</v>
      </c>
      <c r="F2054" s="559">
        <v>302318</v>
      </c>
      <c r="G2054" s="558" t="s">
        <v>2286</v>
      </c>
      <c r="H2054" s="564">
        <v>40015</v>
      </c>
      <c r="I2054" s="563">
        <v>727.35</v>
      </c>
      <c r="J2054" s="563">
        <v>-585</v>
      </c>
      <c r="K2054" s="582">
        <f t="shared" si="93"/>
        <v>142.35000000000002</v>
      </c>
      <c r="L2054" s="563">
        <f t="shared" si="94"/>
        <v>156.58500000000004</v>
      </c>
      <c r="M2054" s="563">
        <f t="shared" si="95"/>
        <v>800.08500000000004</v>
      </c>
      <c r="N2054" s="580"/>
    </row>
    <row r="2055" spans="4:14" x14ac:dyDescent="0.25">
      <c r="D2055" s="559" t="s">
        <v>867</v>
      </c>
      <c r="E2055" s="558">
        <v>312652</v>
      </c>
      <c r="F2055" s="559">
        <v>302319</v>
      </c>
      <c r="G2055" s="558" t="s">
        <v>2286</v>
      </c>
      <c r="H2055" s="564">
        <v>40015</v>
      </c>
      <c r="I2055" s="563">
        <v>727.35</v>
      </c>
      <c r="J2055" s="563">
        <v>-585</v>
      </c>
      <c r="K2055" s="582">
        <f t="shared" si="93"/>
        <v>142.35000000000002</v>
      </c>
      <c r="L2055" s="563">
        <f t="shared" si="94"/>
        <v>156.58500000000004</v>
      </c>
      <c r="M2055" s="563">
        <f t="shared" si="95"/>
        <v>800.08500000000004</v>
      </c>
      <c r="N2055" s="580"/>
    </row>
    <row r="2056" spans="4:14" x14ac:dyDescent="0.25">
      <c r="D2056" s="559" t="s">
        <v>867</v>
      </c>
      <c r="E2056" s="558">
        <v>312653</v>
      </c>
      <c r="F2056" s="559">
        <v>302320</v>
      </c>
      <c r="G2056" s="558" t="s">
        <v>2286</v>
      </c>
      <c r="H2056" s="564">
        <v>40015</v>
      </c>
      <c r="I2056" s="563">
        <v>727.35</v>
      </c>
      <c r="J2056" s="563">
        <v>-585</v>
      </c>
      <c r="K2056" s="582">
        <f t="shared" si="93"/>
        <v>142.35000000000002</v>
      </c>
      <c r="L2056" s="563">
        <f t="shared" si="94"/>
        <v>156.58500000000004</v>
      </c>
      <c r="M2056" s="563">
        <f t="shared" si="95"/>
        <v>800.08500000000004</v>
      </c>
      <c r="N2056" s="580"/>
    </row>
    <row r="2057" spans="4:14" x14ac:dyDescent="0.25">
      <c r="D2057" s="559" t="s">
        <v>867</v>
      </c>
      <c r="E2057" s="558">
        <v>312654</v>
      </c>
      <c r="F2057" s="559">
        <v>302321</v>
      </c>
      <c r="G2057" s="558" t="s">
        <v>2286</v>
      </c>
      <c r="H2057" s="564">
        <v>40015</v>
      </c>
      <c r="I2057" s="563">
        <v>727.35</v>
      </c>
      <c r="J2057" s="563">
        <v>-585</v>
      </c>
      <c r="K2057" s="582">
        <f t="shared" si="93"/>
        <v>142.35000000000002</v>
      </c>
      <c r="L2057" s="563">
        <f t="shared" si="94"/>
        <v>156.58500000000004</v>
      </c>
      <c r="M2057" s="563">
        <f t="shared" si="95"/>
        <v>800.08500000000004</v>
      </c>
      <c r="N2057" s="580"/>
    </row>
    <row r="2058" spans="4:14" x14ac:dyDescent="0.25">
      <c r="D2058" s="559" t="s">
        <v>867</v>
      </c>
      <c r="E2058" s="558">
        <v>312655</v>
      </c>
      <c r="F2058" s="559">
        <v>302322</v>
      </c>
      <c r="G2058" s="558" t="s">
        <v>2287</v>
      </c>
      <c r="H2058" s="564">
        <v>40015</v>
      </c>
      <c r="I2058" s="563">
        <v>727.35</v>
      </c>
      <c r="J2058" s="563">
        <v>-585</v>
      </c>
      <c r="K2058" s="582">
        <f t="shared" si="93"/>
        <v>142.35000000000002</v>
      </c>
      <c r="L2058" s="563">
        <f t="shared" si="94"/>
        <v>156.58500000000004</v>
      </c>
      <c r="M2058" s="563">
        <f t="shared" si="95"/>
        <v>800.08500000000004</v>
      </c>
      <c r="N2058" s="580"/>
    </row>
    <row r="2059" spans="4:14" x14ac:dyDescent="0.25">
      <c r="D2059" s="559" t="s">
        <v>867</v>
      </c>
      <c r="E2059" s="558">
        <v>312656</v>
      </c>
      <c r="F2059" s="559">
        <v>302323</v>
      </c>
      <c r="G2059" s="558" t="s">
        <v>2287</v>
      </c>
      <c r="H2059" s="564">
        <v>40015</v>
      </c>
      <c r="I2059" s="563">
        <v>64.349999999999994</v>
      </c>
      <c r="J2059" s="563">
        <v>-64.349999999999994</v>
      </c>
      <c r="K2059" s="582">
        <f t="shared" si="93"/>
        <v>0</v>
      </c>
      <c r="L2059" s="563">
        <f t="shared" si="94"/>
        <v>0</v>
      </c>
      <c r="M2059" s="563">
        <f t="shared" si="95"/>
        <v>70.784999999999997</v>
      </c>
      <c r="N2059" s="580"/>
    </row>
    <row r="2060" spans="4:14" x14ac:dyDescent="0.25">
      <c r="D2060" s="559" t="s">
        <v>867</v>
      </c>
      <c r="E2060" s="558">
        <v>312657</v>
      </c>
      <c r="F2060" s="559">
        <v>302324</v>
      </c>
      <c r="G2060" s="558" t="s">
        <v>2287</v>
      </c>
      <c r="H2060" s="564">
        <v>40015</v>
      </c>
      <c r="I2060" s="563">
        <v>727.35</v>
      </c>
      <c r="J2060" s="563">
        <v>-585</v>
      </c>
      <c r="K2060" s="582">
        <f t="shared" si="93"/>
        <v>142.35000000000002</v>
      </c>
      <c r="L2060" s="563">
        <f t="shared" si="94"/>
        <v>156.58500000000004</v>
      </c>
      <c r="M2060" s="563">
        <f t="shared" si="95"/>
        <v>800.08500000000004</v>
      </c>
      <c r="N2060" s="580"/>
    </row>
    <row r="2061" spans="4:14" x14ac:dyDescent="0.25">
      <c r="D2061" s="559" t="s">
        <v>867</v>
      </c>
      <c r="E2061" s="558">
        <v>312658</v>
      </c>
      <c r="F2061" s="559">
        <v>302325</v>
      </c>
      <c r="G2061" s="558" t="s">
        <v>2287</v>
      </c>
      <c r="H2061" s="564">
        <v>40015</v>
      </c>
      <c r="I2061" s="563">
        <v>727.35</v>
      </c>
      <c r="J2061" s="563">
        <v>-585</v>
      </c>
      <c r="K2061" s="582">
        <f t="shared" si="93"/>
        <v>142.35000000000002</v>
      </c>
      <c r="L2061" s="563">
        <f t="shared" si="94"/>
        <v>156.58500000000004</v>
      </c>
      <c r="M2061" s="563">
        <f t="shared" si="95"/>
        <v>800.08500000000004</v>
      </c>
      <c r="N2061" s="580"/>
    </row>
    <row r="2062" spans="4:14" x14ac:dyDescent="0.25">
      <c r="D2062" s="559" t="s">
        <v>867</v>
      </c>
      <c r="E2062" s="558">
        <v>312659</v>
      </c>
      <c r="F2062" s="559">
        <v>302326</v>
      </c>
      <c r="G2062" s="558" t="s">
        <v>2287</v>
      </c>
      <c r="H2062" s="564">
        <v>40015</v>
      </c>
      <c r="I2062" s="563">
        <v>727.35</v>
      </c>
      <c r="J2062" s="563">
        <v>-585</v>
      </c>
      <c r="K2062" s="582">
        <f t="shared" si="93"/>
        <v>142.35000000000002</v>
      </c>
      <c r="L2062" s="563">
        <f t="shared" si="94"/>
        <v>156.58500000000004</v>
      </c>
      <c r="M2062" s="563">
        <f t="shared" si="95"/>
        <v>800.08500000000004</v>
      </c>
      <c r="N2062" s="580"/>
    </row>
    <row r="2063" spans="4:14" x14ac:dyDescent="0.25">
      <c r="D2063" s="559" t="s">
        <v>867</v>
      </c>
      <c r="E2063" s="558">
        <v>312661</v>
      </c>
      <c r="F2063" s="559">
        <v>302328</v>
      </c>
      <c r="G2063" s="558" t="s">
        <v>2288</v>
      </c>
      <c r="H2063" s="564">
        <v>40015</v>
      </c>
      <c r="I2063" s="563">
        <v>727.35</v>
      </c>
      <c r="J2063" s="563">
        <v>-585</v>
      </c>
      <c r="K2063" s="582">
        <f t="shared" si="93"/>
        <v>142.35000000000002</v>
      </c>
      <c r="L2063" s="563">
        <f t="shared" si="94"/>
        <v>156.58500000000004</v>
      </c>
      <c r="M2063" s="563">
        <f t="shared" si="95"/>
        <v>800.08500000000004</v>
      </c>
      <c r="N2063" s="580"/>
    </row>
    <row r="2064" spans="4:14" x14ac:dyDescent="0.25">
      <c r="D2064" s="559" t="s">
        <v>867</v>
      </c>
      <c r="E2064" s="558">
        <v>312662</v>
      </c>
      <c r="F2064" s="559">
        <v>302329</v>
      </c>
      <c r="G2064" s="558" t="s">
        <v>2288</v>
      </c>
      <c r="H2064" s="564">
        <v>40015</v>
      </c>
      <c r="I2064" s="563">
        <v>727.35</v>
      </c>
      <c r="J2064" s="563">
        <v>-585</v>
      </c>
      <c r="K2064" s="582">
        <f t="shared" si="93"/>
        <v>142.35000000000002</v>
      </c>
      <c r="L2064" s="563">
        <f t="shared" si="94"/>
        <v>156.58500000000004</v>
      </c>
      <c r="M2064" s="563">
        <f t="shared" si="95"/>
        <v>800.08500000000004</v>
      </c>
      <c r="N2064" s="580"/>
    </row>
    <row r="2065" spans="4:14" x14ac:dyDescent="0.25">
      <c r="D2065" s="559" t="s">
        <v>867</v>
      </c>
      <c r="E2065" s="558">
        <v>312663</v>
      </c>
      <c r="F2065" s="559">
        <v>302330</v>
      </c>
      <c r="G2065" s="558" t="s">
        <v>2288</v>
      </c>
      <c r="H2065" s="564">
        <v>40015</v>
      </c>
      <c r="I2065" s="563">
        <v>727.35</v>
      </c>
      <c r="J2065" s="563">
        <v>-585</v>
      </c>
      <c r="K2065" s="582">
        <f t="shared" si="93"/>
        <v>142.35000000000002</v>
      </c>
      <c r="L2065" s="563">
        <f t="shared" si="94"/>
        <v>156.58500000000004</v>
      </c>
      <c r="M2065" s="563">
        <f t="shared" si="95"/>
        <v>800.08500000000004</v>
      </c>
      <c r="N2065" s="580"/>
    </row>
    <row r="2066" spans="4:14" x14ac:dyDescent="0.25">
      <c r="D2066" s="559" t="s">
        <v>867</v>
      </c>
      <c r="E2066" s="558">
        <v>312664</v>
      </c>
      <c r="F2066" s="559">
        <v>302331</v>
      </c>
      <c r="G2066" s="558" t="s">
        <v>2288</v>
      </c>
      <c r="H2066" s="564">
        <v>40015</v>
      </c>
      <c r="I2066" s="563">
        <v>727.35</v>
      </c>
      <c r="J2066" s="563">
        <v>-585</v>
      </c>
      <c r="K2066" s="582">
        <f t="shared" si="93"/>
        <v>142.35000000000002</v>
      </c>
      <c r="L2066" s="563">
        <f t="shared" si="94"/>
        <v>156.58500000000004</v>
      </c>
      <c r="M2066" s="563">
        <f t="shared" si="95"/>
        <v>800.08500000000004</v>
      </c>
      <c r="N2066" s="580"/>
    </row>
    <row r="2067" spans="4:14" x14ac:dyDescent="0.25">
      <c r="D2067" s="559" t="s">
        <v>867</v>
      </c>
      <c r="E2067" s="558">
        <v>312665</v>
      </c>
      <c r="F2067" s="559">
        <v>302332</v>
      </c>
      <c r="G2067" s="558" t="s">
        <v>2288</v>
      </c>
      <c r="H2067" s="564">
        <v>40015</v>
      </c>
      <c r="I2067" s="563">
        <v>727.35</v>
      </c>
      <c r="J2067" s="563">
        <v>-585</v>
      </c>
      <c r="K2067" s="582">
        <f t="shared" si="93"/>
        <v>142.35000000000002</v>
      </c>
      <c r="L2067" s="563">
        <f t="shared" si="94"/>
        <v>156.58500000000004</v>
      </c>
      <c r="M2067" s="563">
        <f t="shared" si="95"/>
        <v>800.08500000000004</v>
      </c>
      <c r="N2067" s="580"/>
    </row>
    <row r="2068" spans="4:14" x14ac:dyDescent="0.25">
      <c r="D2068" s="559" t="s">
        <v>867</v>
      </c>
      <c r="E2068" s="558">
        <v>312666</v>
      </c>
      <c r="F2068" s="559">
        <v>302333</v>
      </c>
      <c r="G2068" s="558" t="s">
        <v>2289</v>
      </c>
      <c r="H2068" s="564">
        <v>40015</v>
      </c>
      <c r="I2068" s="563">
        <v>727.35</v>
      </c>
      <c r="J2068" s="563">
        <v>-585</v>
      </c>
      <c r="K2068" s="582">
        <f t="shared" si="93"/>
        <v>142.35000000000002</v>
      </c>
      <c r="L2068" s="563">
        <f t="shared" si="94"/>
        <v>156.58500000000004</v>
      </c>
      <c r="M2068" s="563">
        <f t="shared" si="95"/>
        <v>800.08500000000004</v>
      </c>
      <c r="N2068" s="580"/>
    </row>
    <row r="2069" spans="4:14" x14ac:dyDescent="0.25">
      <c r="D2069" s="559" t="s">
        <v>867</v>
      </c>
      <c r="E2069" s="558">
        <v>312667</v>
      </c>
      <c r="F2069" s="559">
        <v>302334</v>
      </c>
      <c r="G2069" s="558" t="s">
        <v>2289</v>
      </c>
      <c r="H2069" s="564">
        <v>40015</v>
      </c>
      <c r="I2069" s="563">
        <v>727.35</v>
      </c>
      <c r="J2069" s="563">
        <v>-585</v>
      </c>
      <c r="K2069" s="582">
        <f t="shared" si="93"/>
        <v>142.35000000000002</v>
      </c>
      <c r="L2069" s="563">
        <f t="shared" si="94"/>
        <v>156.58500000000004</v>
      </c>
      <c r="M2069" s="563">
        <f t="shared" si="95"/>
        <v>800.08500000000004</v>
      </c>
      <c r="N2069" s="580"/>
    </row>
    <row r="2070" spans="4:14" x14ac:dyDescent="0.25">
      <c r="D2070" s="559" t="s">
        <v>867</v>
      </c>
      <c r="E2070" s="558">
        <v>312668</v>
      </c>
      <c r="F2070" s="559">
        <v>302335</v>
      </c>
      <c r="G2070" s="558" t="s">
        <v>2289</v>
      </c>
      <c r="H2070" s="564">
        <v>40015</v>
      </c>
      <c r="I2070" s="563">
        <v>727.35</v>
      </c>
      <c r="J2070" s="563">
        <v>-585</v>
      </c>
      <c r="K2070" s="582">
        <f t="shared" si="93"/>
        <v>142.35000000000002</v>
      </c>
      <c r="L2070" s="563">
        <f t="shared" si="94"/>
        <v>156.58500000000004</v>
      </c>
      <c r="M2070" s="563">
        <f t="shared" si="95"/>
        <v>800.08500000000004</v>
      </c>
      <c r="N2070" s="580"/>
    </row>
    <row r="2071" spans="4:14" x14ac:dyDescent="0.25">
      <c r="D2071" s="559" t="s">
        <v>867</v>
      </c>
      <c r="E2071" s="558">
        <v>312669</v>
      </c>
      <c r="F2071" s="559">
        <v>302336</v>
      </c>
      <c r="G2071" s="558" t="s">
        <v>2289</v>
      </c>
      <c r="H2071" s="564">
        <v>40015</v>
      </c>
      <c r="I2071" s="563">
        <v>727.35</v>
      </c>
      <c r="J2071" s="563">
        <v>-585</v>
      </c>
      <c r="K2071" s="582">
        <f t="shared" si="93"/>
        <v>142.35000000000002</v>
      </c>
      <c r="L2071" s="563">
        <f t="shared" si="94"/>
        <v>156.58500000000004</v>
      </c>
      <c r="M2071" s="563">
        <f t="shared" si="95"/>
        <v>800.08500000000004</v>
      </c>
      <c r="N2071" s="580"/>
    </row>
    <row r="2072" spans="4:14" x14ac:dyDescent="0.25">
      <c r="D2072" s="559" t="s">
        <v>867</v>
      </c>
      <c r="E2072" s="558">
        <v>312670</v>
      </c>
      <c r="F2072" s="559">
        <v>302337</v>
      </c>
      <c r="G2072" s="558" t="s">
        <v>2289</v>
      </c>
      <c r="H2072" s="564">
        <v>40015</v>
      </c>
      <c r="I2072" s="563">
        <v>727.35</v>
      </c>
      <c r="J2072" s="563">
        <v>-585</v>
      </c>
      <c r="K2072" s="582">
        <f t="shared" si="93"/>
        <v>142.35000000000002</v>
      </c>
      <c r="L2072" s="563">
        <f t="shared" si="94"/>
        <v>156.58500000000004</v>
      </c>
      <c r="M2072" s="563">
        <f t="shared" si="95"/>
        <v>800.08500000000004</v>
      </c>
      <c r="N2072" s="580"/>
    </row>
    <row r="2073" spans="4:14" x14ac:dyDescent="0.25">
      <c r="D2073" s="559" t="s">
        <v>867</v>
      </c>
      <c r="E2073" s="558">
        <v>312671</v>
      </c>
      <c r="F2073" s="559">
        <v>302338</v>
      </c>
      <c r="G2073" s="558" t="s">
        <v>2290</v>
      </c>
      <c r="H2073" s="564">
        <v>40015</v>
      </c>
      <c r="I2073" s="563">
        <v>727.35</v>
      </c>
      <c r="J2073" s="563">
        <v>-585</v>
      </c>
      <c r="K2073" s="582">
        <f t="shared" si="93"/>
        <v>142.35000000000002</v>
      </c>
      <c r="L2073" s="563">
        <f t="shared" si="94"/>
        <v>156.58500000000004</v>
      </c>
      <c r="M2073" s="563">
        <f t="shared" si="95"/>
        <v>800.08500000000004</v>
      </c>
      <c r="N2073" s="580"/>
    </row>
    <row r="2074" spans="4:14" x14ac:dyDescent="0.25">
      <c r="D2074" s="559" t="s">
        <v>867</v>
      </c>
      <c r="E2074" s="558">
        <v>312672</v>
      </c>
      <c r="F2074" s="559">
        <v>302339</v>
      </c>
      <c r="G2074" s="558" t="s">
        <v>2290</v>
      </c>
      <c r="H2074" s="564">
        <v>40015</v>
      </c>
      <c r="I2074" s="563">
        <v>25.35</v>
      </c>
      <c r="J2074" s="563">
        <v>-25.35</v>
      </c>
      <c r="K2074" s="582">
        <f t="shared" si="93"/>
        <v>0</v>
      </c>
      <c r="L2074" s="563">
        <f t="shared" si="94"/>
        <v>0</v>
      </c>
      <c r="M2074" s="563">
        <f t="shared" si="95"/>
        <v>27.885000000000005</v>
      </c>
      <c r="N2074" s="580"/>
    </row>
    <row r="2075" spans="4:14" x14ac:dyDescent="0.25">
      <c r="D2075" s="559" t="s">
        <v>867</v>
      </c>
      <c r="E2075" s="558">
        <v>312674</v>
      </c>
      <c r="F2075" s="559">
        <v>302341</v>
      </c>
      <c r="G2075" s="558" t="s">
        <v>2290</v>
      </c>
      <c r="H2075" s="564">
        <v>40015</v>
      </c>
      <c r="I2075" s="563">
        <v>727.35</v>
      </c>
      <c r="J2075" s="563">
        <v>-585</v>
      </c>
      <c r="K2075" s="582">
        <f t="shared" si="93"/>
        <v>142.35000000000002</v>
      </c>
      <c r="L2075" s="563">
        <f t="shared" si="94"/>
        <v>156.58500000000004</v>
      </c>
      <c r="M2075" s="563">
        <f t="shared" si="95"/>
        <v>800.08500000000004</v>
      </c>
      <c r="N2075" s="580"/>
    </row>
    <row r="2076" spans="4:14" x14ac:dyDescent="0.25">
      <c r="D2076" s="559" t="s">
        <v>867</v>
      </c>
      <c r="E2076" s="558">
        <v>312675</v>
      </c>
      <c r="F2076" s="559">
        <v>302342</v>
      </c>
      <c r="G2076" s="558" t="s">
        <v>2290</v>
      </c>
      <c r="H2076" s="564">
        <v>40015</v>
      </c>
      <c r="I2076" s="563">
        <v>727.35</v>
      </c>
      <c r="J2076" s="563">
        <v>-585</v>
      </c>
      <c r="K2076" s="582">
        <f t="shared" si="93"/>
        <v>142.35000000000002</v>
      </c>
      <c r="L2076" s="563">
        <f t="shared" si="94"/>
        <v>156.58500000000004</v>
      </c>
      <c r="M2076" s="563">
        <f t="shared" si="95"/>
        <v>800.08500000000004</v>
      </c>
      <c r="N2076" s="580"/>
    </row>
    <row r="2077" spans="4:14" x14ac:dyDescent="0.25">
      <c r="D2077" s="559" t="s">
        <v>867</v>
      </c>
      <c r="E2077" s="558">
        <v>312676</v>
      </c>
      <c r="F2077" s="559">
        <v>302343</v>
      </c>
      <c r="G2077" s="558" t="s">
        <v>2290</v>
      </c>
      <c r="H2077" s="564">
        <v>40015</v>
      </c>
      <c r="I2077" s="563">
        <v>727.35</v>
      </c>
      <c r="J2077" s="563">
        <v>-585</v>
      </c>
      <c r="K2077" s="582">
        <f t="shared" si="93"/>
        <v>142.35000000000002</v>
      </c>
      <c r="L2077" s="563">
        <f t="shared" si="94"/>
        <v>156.58500000000004</v>
      </c>
      <c r="M2077" s="563">
        <f t="shared" si="95"/>
        <v>800.08500000000004</v>
      </c>
      <c r="N2077" s="580"/>
    </row>
    <row r="2078" spans="4:14" x14ac:dyDescent="0.25">
      <c r="D2078" s="559" t="s">
        <v>867</v>
      </c>
      <c r="E2078" s="558">
        <v>312677</v>
      </c>
      <c r="F2078" s="559">
        <v>302344</v>
      </c>
      <c r="G2078" s="558" t="s">
        <v>2291</v>
      </c>
      <c r="H2078" s="564">
        <v>40015</v>
      </c>
      <c r="I2078" s="563">
        <v>727.35</v>
      </c>
      <c r="J2078" s="563">
        <v>-585</v>
      </c>
      <c r="K2078" s="582">
        <f t="shared" si="93"/>
        <v>142.35000000000002</v>
      </c>
      <c r="L2078" s="563">
        <f t="shared" si="94"/>
        <v>156.58500000000004</v>
      </c>
      <c r="M2078" s="563">
        <f t="shared" si="95"/>
        <v>800.08500000000004</v>
      </c>
      <c r="N2078" s="580"/>
    </row>
    <row r="2079" spans="4:14" x14ac:dyDescent="0.25">
      <c r="D2079" s="559" t="s">
        <v>867</v>
      </c>
      <c r="E2079" s="558">
        <v>312678</v>
      </c>
      <c r="F2079" s="559">
        <v>302345</v>
      </c>
      <c r="G2079" s="558" t="s">
        <v>2291</v>
      </c>
      <c r="H2079" s="564">
        <v>40015</v>
      </c>
      <c r="I2079" s="563">
        <v>727.35</v>
      </c>
      <c r="J2079" s="563">
        <v>-585</v>
      </c>
      <c r="K2079" s="582">
        <f t="shared" si="93"/>
        <v>142.35000000000002</v>
      </c>
      <c r="L2079" s="563">
        <f t="shared" si="94"/>
        <v>156.58500000000004</v>
      </c>
      <c r="M2079" s="563">
        <f t="shared" si="95"/>
        <v>800.08500000000004</v>
      </c>
      <c r="N2079" s="580"/>
    </row>
    <row r="2080" spans="4:14" x14ac:dyDescent="0.25">
      <c r="D2080" s="559" t="s">
        <v>867</v>
      </c>
      <c r="E2080" s="558">
        <v>312679</v>
      </c>
      <c r="F2080" s="559">
        <v>302346</v>
      </c>
      <c r="G2080" s="558" t="s">
        <v>2291</v>
      </c>
      <c r="H2080" s="564">
        <v>40015</v>
      </c>
      <c r="I2080" s="563">
        <v>727.35</v>
      </c>
      <c r="J2080" s="563">
        <v>-585</v>
      </c>
      <c r="K2080" s="582">
        <f t="shared" si="93"/>
        <v>142.35000000000002</v>
      </c>
      <c r="L2080" s="563">
        <f t="shared" si="94"/>
        <v>156.58500000000004</v>
      </c>
      <c r="M2080" s="563">
        <f t="shared" si="95"/>
        <v>800.08500000000004</v>
      </c>
      <c r="N2080" s="580"/>
    </row>
    <row r="2081" spans="4:14" x14ac:dyDescent="0.25">
      <c r="D2081" s="559" t="s">
        <v>867</v>
      </c>
      <c r="E2081" s="558">
        <v>312680</v>
      </c>
      <c r="F2081" s="559">
        <v>302347</v>
      </c>
      <c r="G2081" s="558" t="s">
        <v>2291</v>
      </c>
      <c r="H2081" s="564">
        <v>40015</v>
      </c>
      <c r="I2081" s="563">
        <v>727.35</v>
      </c>
      <c r="J2081" s="563">
        <v>-585</v>
      </c>
      <c r="K2081" s="582">
        <f t="shared" si="93"/>
        <v>142.35000000000002</v>
      </c>
      <c r="L2081" s="563">
        <f t="shared" si="94"/>
        <v>156.58500000000004</v>
      </c>
      <c r="M2081" s="563">
        <f t="shared" si="95"/>
        <v>800.08500000000004</v>
      </c>
      <c r="N2081" s="580"/>
    </row>
    <row r="2082" spans="4:14" x14ac:dyDescent="0.25">
      <c r="D2082" s="559" t="s">
        <v>867</v>
      </c>
      <c r="E2082" s="558">
        <v>312681</v>
      </c>
      <c r="F2082" s="559">
        <v>302348</v>
      </c>
      <c r="G2082" s="558" t="s">
        <v>2291</v>
      </c>
      <c r="H2082" s="564">
        <v>40015</v>
      </c>
      <c r="I2082" s="563">
        <v>727.35</v>
      </c>
      <c r="J2082" s="563">
        <v>-585</v>
      </c>
      <c r="K2082" s="582">
        <f t="shared" si="93"/>
        <v>142.35000000000002</v>
      </c>
      <c r="L2082" s="563">
        <f t="shared" si="94"/>
        <v>156.58500000000004</v>
      </c>
      <c r="M2082" s="563">
        <f t="shared" si="95"/>
        <v>800.08500000000004</v>
      </c>
      <c r="N2082" s="580"/>
    </row>
    <row r="2083" spans="4:14" x14ac:dyDescent="0.25">
      <c r="D2083" s="559" t="s">
        <v>867</v>
      </c>
      <c r="E2083" s="558">
        <v>312682</v>
      </c>
      <c r="F2083" s="559">
        <v>302349</v>
      </c>
      <c r="G2083" s="558" t="s">
        <v>2292</v>
      </c>
      <c r="H2083" s="564">
        <v>40015</v>
      </c>
      <c r="I2083" s="563">
        <v>727.35</v>
      </c>
      <c r="J2083" s="563">
        <v>-585</v>
      </c>
      <c r="K2083" s="582">
        <f t="shared" si="93"/>
        <v>142.35000000000002</v>
      </c>
      <c r="L2083" s="563">
        <f t="shared" si="94"/>
        <v>156.58500000000004</v>
      </c>
      <c r="M2083" s="563">
        <f t="shared" si="95"/>
        <v>800.08500000000004</v>
      </c>
      <c r="N2083" s="580"/>
    </row>
    <row r="2084" spans="4:14" x14ac:dyDescent="0.25">
      <c r="D2084" s="559" t="s">
        <v>867</v>
      </c>
      <c r="E2084" s="558">
        <v>312683</v>
      </c>
      <c r="F2084" s="559">
        <v>302350</v>
      </c>
      <c r="G2084" s="558" t="s">
        <v>2292</v>
      </c>
      <c r="H2084" s="564">
        <v>40015</v>
      </c>
      <c r="I2084" s="563">
        <v>727.35</v>
      </c>
      <c r="J2084" s="563">
        <v>-585</v>
      </c>
      <c r="K2084" s="582">
        <f t="shared" si="93"/>
        <v>142.35000000000002</v>
      </c>
      <c r="L2084" s="563">
        <f t="shared" si="94"/>
        <v>156.58500000000004</v>
      </c>
      <c r="M2084" s="563">
        <f t="shared" si="95"/>
        <v>800.08500000000004</v>
      </c>
      <c r="N2084" s="580"/>
    </row>
    <row r="2085" spans="4:14" x14ac:dyDescent="0.25">
      <c r="D2085" s="559" t="s">
        <v>867</v>
      </c>
      <c r="E2085" s="558">
        <v>312684</v>
      </c>
      <c r="F2085" s="559">
        <v>302351</v>
      </c>
      <c r="G2085" s="558" t="s">
        <v>2292</v>
      </c>
      <c r="H2085" s="564">
        <v>40015</v>
      </c>
      <c r="I2085" s="563">
        <v>727.35</v>
      </c>
      <c r="J2085" s="563">
        <v>-585</v>
      </c>
      <c r="K2085" s="582">
        <f t="shared" si="93"/>
        <v>142.35000000000002</v>
      </c>
      <c r="L2085" s="563">
        <f t="shared" si="94"/>
        <v>156.58500000000004</v>
      </c>
      <c r="M2085" s="563">
        <f t="shared" si="95"/>
        <v>800.08500000000004</v>
      </c>
      <c r="N2085" s="580"/>
    </row>
    <row r="2086" spans="4:14" x14ac:dyDescent="0.25">
      <c r="D2086" s="559" t="s">
        <v>867</v>
      </c>
      <c r="E2086" s="558">
        <v>312685</v>
      </c>
      <c r="F2086" s="559">
        <v>302352</v>
      </c>
      <c r="G2086" s="558" t="s">
        <v>2292</v>
      </c>
      <c r="H2086" s="564">
        <v>40015</v>
      </c>
      <c r="I2086" s="563">
        <v>727.35</v>
      </c>
      <c r="J2086" s="563">
        <v>-585</v>
      </c>
      <c r="K2086" s="582">
        <f t="shared" si="93"/>
        <v>142.35000000000002</v>
      </c>
      <c r="L2086" s="563">
        <f t="shared" si="94"/>
        <v>156.58500000000004</v>
      </c>
      <c r="M2086" s="563">
        <f t="shared" si="95"/>
        <v>800.08500000000004</v>
      </c>
      <c r="N2086" s="580"/>
    </row>
    <row r="2087" spans="4:14" x14ac:dyDescent="0.25">
      <c r="D2087" s="559" t="s">
        <v>867</v>
      </c>
      <c r="E2087" s="558">
        <v>312686</v>
      </c>
      <c r="F2087" s="559">
        <v>302353</v>
      </c>
      <c r="G2087" s="558" t="s">
        <v>2292</v>
      </c>
      <c r="H2087" s="564">
        <v>40015</v>
      </c>
      <c r="I2087" s="563">
        <v>727.35</v>
      </c>
      <c r="J2087" s="563">
        <v>-585</v>
      </c>
      <c r="K2087" s="582">
        <f t="shared" si="93"/>
        <v>142.35000000000002</v>
      </c>
      <c r="L2087" s="563">
        <f t="shared" si="94"/>
        <v>156.58500000000004</v>
      </c>
      <c r="M2087" s="563">
        <f t="shared" si="95"/>
        <v>800.08500000000004</v>
      </c>
      <c r="N2087" s="580"/>
    </row>
    <row r="2088" spans="4:14" x14ac:dyDescent="0.25">
      <c r="D2088" s="559" t="s">
        <v>867</v>
      </c>
      <c r="E2088" s="558">
        <v>312687</v>
      </c>
      <c r="F2088" s="559">
        <v>302354</v>
      </c>
      <c r="G2088" s="558" t="s">
        <v>2293</v>
      </c>
      <c r="H2088" s="564">
        <v>40015</v>
      </c>
      <c r="I2088" s="563">
        <v>727.35</v>
      </c>
      <c r="J2088" s="563">
        <v>-585</v>
      </c>
      <c r="K2088" s="582">
        <f t="shared" si="93"/>
        <v>142.35000000000002</v>
      </c>
      <c r="L2088" s="563">
        <f t="shared" si="94"/>
        <v>156.58500000000004</v>
      </c>
      <c r="M2088" s="563">
        <f t="shared" si="95"/>
        <v>800.08500000000004</v>
      </c>
      <c r="N2088" s="580"/>
    </row>
    <row r="2089" spans="4:14" x14ac:dyDescent="0.25">
      <c r="D2089" s="559" t="s">
        <v>867</v>
      </c>
      <c r="E2089" s="558">
        <v>312688</v>
      </c>
      <c r="F2089" s="559">
        <v>302355</v>
      </c>
      <c r="G2089" s="558" t="s">
        <v>2293</v>
      </c>
      <c r="H2089" s="564">
        <v>40015</v>
      </c>
      <c r="I2089" s="563">
        <v>727.35</v>
      </c>
      <c r="J2089" s="563">
        <v>-585</v>
      </c>
      <c r="K2089" s="582">
        <f t="shared" ref="K2089:K2152" si="96">+I2089+J2089</f>
        <v>142.35000000000002</v>
      </c>
      <c r="L2089" s="563">
        <f t="shared" ref="L2089:L2152" si="97">+K2089*1.1</f>
        <v>156.58500000000004</v>
      </c>
      <c r="M2089" s="563">
        <f t="shared" ref="M2089:M2152" si="98">+I2089*1.1</f>
        <v>800.08500000000004</v>
      </c>
      <c r="N2089" s="580"/>
    </row>
    <row r="2090" spans="4:14" x14ac:dyDescent="0.25">
      <c r="D2090" s="559" t="s">
        <v>867</v>
      </c>
      <c r="E2090" s="558">
        <v>312689</v>
      </c>
      <c r="F2090" s="559">
        <v>302356</v>
      </c>
      <c r="G2090" s="558" t="s">
        <v>2293</v>
      </c>
      <c r="H2090" s="564">
        <v>40015</v>
      </c>
      <c r="I2090" s="563">
        <v>234</v>
      </c>
      <c r="J2090" s="563">
        <v>-234</v>
      </c>
      <c r="K2090" s="582">
        <f t="shared" si="96"/>
        <v>0</v>
      </c>
      <c r="L2090" s="563">
        <f t="shared" si="97"/>
        <v>0</v>
      </c>
      <c r="M2090" s="563">
        <f t="shared" si="98"/>
        <v>257.40000000000003</v>
      </c>
      <c r="N2090" s="580"/>
    </row>
    <row r="2091" spans="4:14" x14ac:dyDescent="0.25">
      <c r="D2091" s="559" t="s">
        <v>867</v>
      </c>
      <c r="E2091" s="558">
        <v>312693</v>
      </c>
      <c r="F2091" s="559">
        <v>303049</v>
      </c>
      <c r="G2091" s="558" t="s">
        <v>2293</v>
      </c>
      <c r="H2091" s="564">
        <v>40015</v>
      </c>
      <c r="I2091" s="563">
        <v>727.35</v>
      </c>
      <c r="J2091" s="563">
        <v>-585</v>
      </c>
      <c r="K2091" s="582">
        <f t="shared" si="96"/>
        <v>142.35000000000002</v>
      </c>
      <c r="L2091" s="563">
        <f t="shared" si="97"/>
        <v>156.58500000000004</v>
      </c>
      <c r="M2091" s="563">
        <f t="shared" si="98"/>
        <v>800.08500000000004</v>
      </c>
      <c r="N2091" s="580"/>
    </row>
    <row r="2092" spans="4:14" x14ac:dyDescent="0.25">
      <c r="D2092" s="559" t="s">
        <v>867</v>
      </c>
      <c r="E2092" s="558">
        <v>312694</v>
      </c>
      <c r="F2092" s="559">
        <v>302359</v>
      </c>
      <c r="G2092" s="558" t="s">
        <v>2293</v>
      </c>
      <c r="H2092" s="564">
        <v>40015</v>
      </c>
      <c r="I2092" s="563">
        <v>727.35</v>
      </c>
      <c r="J2092" s="563">
        <v>-585</v>
      </c>
      <c r="K2092" s="582">
        <f t="shared" si="96"/>
        <v>142.35000000000002</v>
      </c>
      <c r="L2092" s="563">
        <f t="shared" si="97"/>
        <v>156.58500000000004</v>
      </c>
      <c r="M2092" s="563">
        <f t="shared" si="98"/>
        <v>800.08500000000004</v>
      </c>
      <c r="N2092" s="580"/>
    </row>
    <row r="2093" spans="4:14" x14ac:dyDescent="0.25">
      <c r="D2093" s="559" t="s">
        <v>867</v>
      </c>
      <c r="E2093" s="558">
        <v>312695</v>
      </c>
      <c r="F2093" s="559">
        <v>302360</v>
      </c>
      <c r="G2093" s="558" t="s">
        <v>2294</v>
      </c>
      <c r="H2093" s="564">
        <v>40015</v>
      </c>
      <c r="I2093" s="563">
        <v>727.35</v>
      </c>
      <c r="J2093" s="563">
        <v>-585</v>
      </c>
      <c r="K2093" s="582">
        <f t="shared" si="96"/>
        <v>142.35000000000002</v>
      </c>
      <c r="L2093" s="563">
        <f t="shared" si="97"/>
        <v>156.58500000000004</v>
      </c>
      <c r="M2093" s="563">
        <f t="shared" si="98"/>
        <v>800.08500000000004</v>
      </c>
      <c r="N2093" s="580"/>
    </row>
    <row r="2094" spans="4:14" x14ac:dyDescent="0.25">
      <c r="D2094" s="559" t="s">
        <v>867</v>
      </c>
      <c r="E2094" s="558">
        <v>312696</v>
      </c>
      <c r="F2094" s="559">
        <v>302361</v>
      </c>
      <c r="G2094" s="558" t="s">
        <v>2294</v>
      </c>
      <c r="H2094" s="564">
        <v>40015</v>
      </c>
      <c r="I2094" s="563">
        <v>727.35</v>
      </c>
      <c r="J2094" s="563">
        <v>-585</v>
      </c>
      <c r="K2094" s="582">
        <f t="shared" si="96"/>
        <v>142.35000000000002</v>
      </c>
      <c r="L2094" s="563">
        <f t="shared" si="97"/>
        <v>156.58500000000004</v>
      </c>
      <c r="M2094" s="563">
        <f t="shared" si="98"/>
        <v>800.08500000000004</v>
      </c>
      <c r="N2094" s="580"/>
    </row>
    <row r="2095" spans="4:14" x14ac:dyDescent="0.25">
      <c r="D2095" s="559" t="s">
        <v>867</v>
      </c>
      <c r="E2095" s="558">
        <v>312697</v>
      </c>
      <c r="F2095" s="559">
        <v>302362</v>
      </c>
      <c r="G2095" s="558" t="s">
        <v>2294</v>
      </c>
      <c r="H2095" s="564">
        <v>40015</v>
      </c>
      <c r="I2095" s="563">
        <v>727.35</v>
      </c>
      <c r="J2095" s="563">
        <v>-585</v>
      </c>
      <c r="K2095" s="582">
        <f t="shared" si="96"/>
        <v>142.35000000000002</v>
      </c>
      <c r="L2095" s="563">
        <f t="shared" si="97"/>
        <v>156.58500000000004</v>
      </c>
      <c r="M2095" s="563">
        <f t="shared" si="98"/>
        <v>800.08500000000004</v>
      </c>
      <c r="N2095" s="580"/>
    </row>
    <row r="2096" spans="4:14" x14ac:dyDescent="0.25">
      <c r="D2096" s="559" t="s">
        <v>867</v>
      </c>
      <c r="E2096" s="558">
        <v>312698</v>
      </c>
      <c r="F2096" s="559">
        <v>302363</v>
      </c>
      <c r="G2096" s="558" t="s">
        <v>2294</v>
      </c>
      <c r="H2096" s="564">
        <v>40015</v>
      </c>
      <c r="I2096" s="563">
        <v>727.35</v>
      </c>
      <c r="J2096" s="563">
        <v>-585</v>
      </c>
      <c r="K2096" s="582">
        <f t="shared" si="96"/>
        <v>142.35000000000002</v>
      </c>
      <c r="L2096" s="563">
        <f t="shared" si="97"/>
        <v>156.58500000000004</v>
      </c>
      <c r="M2096" s="563">
        <f t="shared" si="98"/>
        <v>800.08500000000004</v>
      </c>
      <c r="N2096" s="580"/>
    </row>
    <row r="2097" spans="4:14" x14ac:dyDescent="0.25">
      <c r="D2097" s="559" t="s">
        <v>867</v>
      </c>
      <c r="E2097" s="558">
        <v>312699</v>
      </c>
      <c r="F2097" s="559">
        <v>302364</v>
      </c>
      <c r="G2097" s="558" t="s">
        <v>2294</v>
      </c>
      <c r="H2097" s="564">
        <v>40015</v>
      </c>
      <c r="I2097" s="563">
        <v>727.35</v>
      </c>
      <c r="J2097" s="563">
        <v>-585</v>
      </c>
      <c r="K2097" s="582">
        <f t="shared" si="96"/>
        <v>142.35000000000002</v>
      </c>
      <c r="L2097" s="563">
        <f t="shared" si="97"/>
        <v>156.58500000000004</v>
      </c>
      <c r="M2097" s="563">
        <f t="shared" si="98"/>
        <v>800.08500000000004</v>
      </c>
      <c r="N2097" s="580"/>
    </row>
    <row r="2098" spans="4:14" x14ac:dyDescent="0.25">
      <c r="D2098" s="559" t="s">
        <v>867</v>
      </c>
      <c r="E2098" s="558">
        <v>312701</v>
      </c>
      <c r="F2098" s="559">
        <v>302734</v>
      </c>
      <c r="G2098" s="558" t="s">
        <v>2295</v>
      </c>
      <c r="H2098" s="564">
        <v>40015</v>
      </c>
      <c r="I2098" s="563">
        <v>64.349999999999994</v>
      </c>
      <c r="J2098" s="563">
        <v>-64.349999999999994</v>
      </c>
      <c r="K2098" s="582">
        <f t="shared" si="96"/>
        <v>0</v>
      </c>
      <c r="L2098" s="563">
        <f t="shared" si="97"/>
        <v>0</v>
      </c>
      <c r="M2098" s="563">
        <f t="shared" si="98"/>
        <v>70.784999999999997</v>
      </c>
      <c r="N2098" s="580"/>
    </row>
    <row r="2099" spans="4:14" x14ac:dyDescent="0.25">
      <c r="D2099" s="559" t="s">
        <v>867</v>
      </c>
      <c r="E2099" s="558">
        <v>312702</v>
      </c>
      <c r="F2099" s="559">
        <v>302735</v>
      </c>
      <c r="G2099" s="558" t="s">
        <v>2295</v>
      </c>
      <c r="H2099" s="564">
        <v>40015</v>
      </c>
      <c r="I2099" s="563">
        <v>64.349999999999994</v>
      </c>
      <c r="J2099" s="563">
        <v>-64.349999999999994</v>
      </c>
      <c r="K2099" s="582">
        <f t="shared" si="96"/>
        <v>0</v>
      </c>
      <c r="L2099" s="563">
        <f t="shared" si="97"/>
        <v>0</v>
      </c>
      <c r="M2099" s="563">
        <f t="shared" si="98"/>
        <v>70.784999999999997</v>
      </c>
      <c r="N2099" s="580"/>
    </row>
    <row r="2100" spans="4:14" x14ac:dyDescent="0.25">
      <c r="D2100" s="559" t="s">
        <v>867</v>
      </c>
      <c r="E2100" s="558">
        <v>312703</v>
      </c>
      <c r="F2100" s="559">
        <v>302736</v>
      </c>
      <c r="G2100" s="558" t="s">
        <v>2295</v>
      </c>
      <c r="H2100" s="564">
        <v>40015</v>
      </c>
      <c r="I2100" s="563">
        <v>64.349999999999994</v>
      </c>
      <c r="J2100" s="563">
        <v>-64.349999999999994</v>
      </c>
      <c r="K2100" s="582">
        <f t="shared" si="96"/>
        <v>0</v>
      </c>
      <c r="L2100" s="563">
        <f t="shared" si="97"/>
        <v>0</v>
      </c>
      <c r="M2100" s="563">
        <f t="shared" si="98"/>
        <v>70.784999999999997</v>
      </c>
      <c r="N2100" s="580"/>
    </row>
    <row r="2101" spans="4:14" x14ac:dyDescent="0.25">
      <c r="D2101" s="559" t="s">
        <v>867</v>
      </c>
      <c r="E2101" s="558">
        <v>312704</v>
      </c>
      <c r="F2101" s="559">
        <v>302737</v>
      </c>
      <c r="G2101" s="558" t="s">
        <v>2295</v>
      </c>
      <c r="H2101" s="564">
        <v>40015</v>
      </c>
      <c r="I2101" s="563">
        <v>64.349999999999994</v>
      </c>
      <c r="J2101" s="563">
        <v>-64.349999999999994</v>
      </c>
      <c r="K2101" s="582">
        <f t="shared" si="96"/>
        <v>0</v>
      </c>
      <c r="L2101" s="563">
        <f t="shared" si="97"/>
        <v>0</v>
      </c>
      <c r="M2101" s="563">
        <f t="shared" si="98"/>
        <v>70.784999999999997</v>
      </c>
      <c r="N2101" s="580"/>
    </row>
    <row r="2102" spans="4:14" x14ac:dyDescent="0.25">
      <c r="D2102" s="559" t="s">
        <v>867</v>
      </c>
      <c r="E2102" s="558">
        <v>312705</v>
      </c>
      <c r="F2102" s="559">
        <v>302738</v>
      </c>
      <c r="G2102" s="558" t="s">
        <v>2295</v>
      </c>
      <c r="H2102" s="564">
        <v>40015</v>
      </c>
      <c r="I2102" s="563">
        <v>64.349999999999994</v>
      </c>
      <c r="J2102" s="563">
        <v>-64.349999999999994</v>
      </c>
      <c r="K2102" s="582">
        <f t="shared" si="96"/>
        <v>0</v>
      </c>
      <c r="L2102" s="563">
        <f t="shared" si="97"/>
        <v>0</v>
      </c>
      <c r="M2102" s="563">
        <f t="shared" si="98"/>
        <v>70.784999999999997</v>
      </c>
      <c r="N2102" s="580"/>
    </row>
    <row r="2103" spans="4:14" x14ac:dyDescent="0.25">
      <c r="D2103" s="559" t="s">
        <v>867</v>
      </c>
      <c r="E2103" s="558">
        <v>312706</v>
      </c>
      <c r="F2103" s="559">
        <v>302739</v>
      </c>
      <c r="G2103" s="558" t="s">
        <v>2296</v>
      </c>
      <c r="H2103" s="564">
        <v>40015</v>
      </c>
      <c r="I2103" s="563">
        <v>64.349999999999994</v>
      </c>
      <c r="J2103" s="563">
        <v>-64.349999999999994</v>
      </c>
      <c r="K2103" s="582">
        <f t="shared" si="96"/>
        <v>0</v>
      </c>
      <c r="L2103" s="563">
        <f t="shared" si="97"/>
        <v>0</v>
      </c>
      <c r="M2103" s="563">
        <f t="shared" si="98"/>
        <v>70.784999999999997</v>
      </c>
      <c r="N2103" s="580"/>
    </row>
    <row r="2104" spans="4:14" x14ac:dyDescent="0.25">
      <c r="D2104" s="559" t="s">
        <v>867</v>
      </c>
      <c r="E2104" s="558">
        <v>312708</v>
      </c>
      <c r="F2104" s="559">
        <v>302741</v>
      </c>
      <c r="G2104" s="558" t="s">
        <v>2296</v>
      </c>
      <c r="H2104" s="564">
        <v>40015</v>
      </c>
      <c r="I2104" s="563">
        <v>64.349999999999994</v>
      </c>
      <c r="J2104" s="563">
        <v>-64.349999999999994</v>
      </c>
      <c r="K2104" s="582">
        <f t="shared" si="96"/>
        <v>0</v>
      </c>
      <c r="L2104" s="563">
        <f t="shared" si="97"/>
        <v>0</v>
      </c>
      <c r="M2104" s="563">
        <f t="shared" si="98"/>
        <v>70.784999999999997</v>
      </c>
      <c r="N2104" s="580"/>
    </row>
    <row r="2105" spans="4:14" x14ac:dyDescent="0.25">
      <c r="D2105" s="559" t="s">
        <v>867</v>
      </c>
      <c r="E2105" s="558">
        <v>312709</v>
      </c>
      <c r="F2105" s="559">
        <v>302742</v>
      </c>
      <c r="G2105" s="558" t="s">
        <v>2296</v>
      </c>
      <c r="H2105" s="564">
        <v>40015</v>
      </c>
      <c r="I2105" s="563">
        <v>64.349999999999994</v>
      </c>
      <c r="J2105" s="563">
        <v>-64.349999999999994</v>
      </c>
      <c r="K2105" s="582">
        <f t="shared" si="96"/>
        <v>0</v>
      </c>
      <c r="L2105" s="563">
        <f t="shared" si="97"/>
        <v>0</v>
      </c>
      <c r="M2105" s="563">
        <f t="shared" si="98"/>
        <v>70.784999999999997</v>
      </c>
      <c r="N2105" s="580"/>
    </row>
    <row r="2106" spans="4:14" x14ac:dyDescent="0.25">
      <c r="D2106" s="559" t="s">
        <v>867</v>
      </c>
      <c r="E2106" s="558">
        <v>312710</v>
      </c>
      <c r="F2106" s="559">
        <v>302743</v>
      </c>
      <c r="G2106" s="558" t="s">
        <v>2296</v>
      </c>
      <c r="H2106" s="564">
        <v>40015</v>
      </c>
      <c r="I2106" s="563">
        <v>64.349999999999994</v>
      </c>
      <c r="J2106" s="563">
        <v>-64.349999999999994</v>
      </c>
      <c r="K2106" s="582">
        <f t="shared" si="96"/>
        <v>0</v>
      </c>
      <c r="L2106" s="563">
        <f t="shared" si="97"/>
        <v>0</v>
      </c>
      <c r="M2106" s="563">
        <f t="shared" si="98"/>
        <v>70.784999999999997</v>
      </c>
      <c r="N2106" s="580"/>
    </row>
    <row r="2107" spans="4:14" x14ac:dyDescent="0.25">
      <c r="D2107" s="559" t="s">
        <v>867</v>
      </c>
      <c r="E2107" s="558">
        <v>312711</v>
      </c>
      <c r="F2107" s="559">
        <v>302744</v>
      </c>
      <c r="G2107" s="558" t="s">
        <v>2296</v>
      </c>
      <c r="H2107" s="564">
        <v>40015</v>
      </c>
      <c r="I2107" s="563">
        <v>64.349999999999994</v>
      </c>
      <c r="J2107" s="563">
        <v>-64.349999999999994</v>
      </c>
      <c r="K2107" s="582">
        <f t="shared" si="96"/>
        <v>0</v>
      </c>
      <c r="L2107" s="563">
        <f t="shared" si="97"/>
        <v>0</v>
      </c>
      <c r="M2107" s="563">
        <f t="shared" si="98"/>
        <v>70.784999999999997</v>
      </c>
      <c r="N2107" s="580"/>
    </row>
    <row r="2108" spans="4:14" x14ac:dyDescent="0.25">
      <c r="D2108" s="559" t="s">
        <v>867</v>
      </c>
      <c r="E2108" s="558">
        <v>312712</v>
      </c>
      <c r="F2108" s="559">
        <v>302745</v>
      </c>
      <c r="G2108" s="558" t="s">
        <v>2297</v>
      </c>
      <c r="H2108" s="564">
        <v>40015</v>
      </c>
      <c r="I2108" s="563">
        <v>64.349999999999994</v>
      </c>
      <c r="J2108" s="563">
        <v>-64.349999999999994</v>
      </c>
      <c r="K2108" s="582">
        <f t="shared" si="96"/>
        <v>0</v>
      </c>
      <c r="L2108" s="563">
        <f t="shared" si="97"/>
        <v>0</v>
      </c>
      <c r="M2108" s="563">
        <f t="shared" si="98"/>
        <v>70.784999999999997</v>
      </c>
      <c r="N2108" s="580"/>
    </row>
    <row r="2109" spans="4:14" x14ac:dyDescent="0.25">
      <c r="D2109" s="559" t="s">
        <v>867</v>
      </c>
      <c r="E2109" s="558">
        <v>312713</v>
      </c>
      <c r="F2109" s="559">
        <v>302746</v>
      </c>
      <c r="G2109" s="558" t="s">
        <v>2297</v>
      </c>
      <c r="H2109" s="564">
        <v>40015</v>
      </c>
      <c r="I2109" s="563">
        <v>64.349999999999994</v>
      </c>
      <c r="J2109" s="563">
        <v>-64.349999999999994</v>
      </c>
      <c r="K2109" s="582">
        <f t="shared" si="96"/>
        <v>0</v>
      </c>
      <c r="L2109" s="563">
        <f t="shared" si="97"/>
        <v>0</v>
      </c>
      <c r="M2109" s="563">
        <f t="shared" si="98"/>
        <v>70.784999999999997</v>
      </c>
      <c r="N2109" s="580"/>
    </row>
    <row r="2110" spans="4:14" x14ac:dyDescent="0.25">
      <c r="D2110" s="559" t="s">
        <v>867</v>
      </c>
      <c r="E2110" s="558">
        <v>312714</v>
      </c>
      <c r="F2110" s="559">
        <v>302747</v>
      </c>
      <c r="G2110" s="558" t="s">
        <v>2297</v>
      </c>
      <c r="H2110" s="564">
        <v>40015</v>
      </c>
      <c r="I2110" s="563">
        <v>64.349999999999994</v>
      </c>
      <c r="J2110" s="563">
        <v>-64.349999999999994</v>
      </c>
      <c r="K2110" s="582">
        <f t="shared" si="96"/>
        <v>0</v>
      </c>
      <c r="L2110" s="563">
        <f t="shared" si="97"/>
        <v>0</v>
      </c>
      <c r="M2110" s="563">
        <f t="shared" si="98"/>
        <v>70.784999999999997</v>
      </c>
      <c r="N2110" s="580"/>
    </row>
    <row r="2111" spans="4:14" x14ac:dyDescent="0.25">
      <c r="D2111" s="559" t="s">
        <v>867</v>
      </c>
      <c r="E2111" s="558">
        <v>312715</v>
      </c>
      <c r="F2111" s="559">
        <v>302748</v>
      </c>
      <c r="G2111" s="558" t="s">
        <v>2297</v>
      </c>
      <c r="H2111" s="564">
        <v>40015</v>
      </c>
      <c r="I2111" s="563">
        <v>649.35</v>
      </c>
      <c r="J2111" s="563">
        <v>-585</v>
      </c>
      <c r="K2111" s="582">
        <f t="shared" si="96"/>
        <v>64.350000000000023</v>
      </c>
      <c r="L2111" s="563">
        <f t="shared" si="97"/>
        <v>70.785000000000025</v>
      </c>
      <c r="M2111" s="563">
        <f t="shared" si="98"/>
        <v>714.28500000000008</v>
      </c>
      <c r="N2111" s="580"/>
    </row>
    <row r="2112" spans="4:14" x14ac:dyDescent="0.25">
      <c r="D2112" s="559" t="s">
        <v>867</v>
      </c>
      <c r="E2112" s="558">
        <v>312716</v>
      </c>
      <c r="F2112" s="559">
        <v>302749</v>
      </c>
      <c r="G2112" s="558" t="s">
        <v>2297</v>
      </c>
      <c r="H2112" s="564">
        <v>40015</v>
      </c>
      <c r="I2112" s="563">
        <v>727.35</v>
      </c>
      <c r="J2112" s="563">
        <v>-585</v>
      </c>
      <c r="K2112" s="582">
        <f t="shared" si="96"/>
        <v>142.35000000000002</v>
      </c>
      <c r="L2112" s="563">
        <f t="shared" si="97"/>
        <v>156.58500000000004</v>
      </c>
      <c r="M2112" s="563">
        <f t="shared" si="98"/>
        <v>800.08500000000004</v>
      </c>
      <c r="N2112" s="580"/>
    </row>
    <row r="2113" spans="4:14" x14ac:dyDescent="0.25">
      <c r="D2113" s="559" t="s">
        <v>867</v>
      </c>
      <c r="E2113" s="558">
        <v>312717</v>
      </c>
      <c r="F2113" s="559">
        <v>302750</v>
      </c>
      <c r="G2113" s="558" t="s">
        <v>2298</v>
      </c>
      <c r="H2113" s="564">
        <v>40015</v>
      </c>
      <c r="I2113" s="563">
        <v>25.35</v>
      </c>
      <c r="J2113" s="563">
        <v>-25.35</v>
      </c>
      <c r="K2113" s="582">
        <f t="shared" si="96"/>
        <v>0</v>
      </c>
      <c r="L2113" s="563">
        <f t="shared" si="97"/>
        <v>0</v>
      </c>
      <c r="M2113" s="563">
        <f t="shared" si="98"/>
        <v>27.885000000000005</v>
      </c>
      <c r="N2113" s="580"/>
    </row>
    <row r="2114" spans="4:14" x14ac:dyDescent="0.25">
      <c r="D2114" s="559" t="s">
        <v>867</v>
      </c>
      <c r="E2114" s="558">
        <v>312718</v>
      </c>
      <c r="F2114" s="559">
        <v>302751</v>
      </c>
      <c r="G2114" s="558" t="s">
        <v>2298</v>
      </c>
      <c r="H2114" s="564">
        <v>40015</v>
      </c>
      <c r="I2114" s="563">
        <v>64.349999999999994</v>
      </c>
      <c r="J2114" s="563">
        <v>-64.349999999999994</v>
      </c>
      <c r="K2114" s="582">
        <f t="shared" si="96"/>
        <v>0</v>
      </c>
      <c r="L2114" s="563">
        <f t="shared" si="97"/>
        <v>0</v>
      </c>
      <c r="M2114" s="563">
        <f t="shared" si="98"/>
        <v>70.784999999999997</v>
      </c>
      <c r="N2114" s="580"/>
    </row>
    <row r="2115" spans="4:14" x14ac:dyDescent="0.25">
      <c r="D2115" s="559" t="s">
        <v>867</v>
      </c>
      <c r="E2115" s="558">
        <v>312719</v>
      </c>
      <c r="F2115" s="559">
        <v>302752</v>
      </c>
      <c r="G2115" s="558" t="s">
        <v>2298</v>
      </c>
      <c r="H2115" s="564">
        <v>40015</v>
      </c>
      <c r="I2115" s="563">
        <v>64.349999999999994</v>
      </c>
      <c r="J2115" s="563">
        <v>-64.349999999999994</v>
      </c>
      <c r="K2115" s="582">
        <f t="shared" si="96"/>
        <v>0</v>
      </c>
      <c r="L2115" s="563">
        <f t="shared" si="97"/>
        <v>0</v>
      </c>
      <c r="M2115" s="563">
        <f t="shared" si="98"/>
        <v>70.784999999999997</v>
      </c>
      <c r="N2115" s="580"/>
    </row>
    <row r="2116" spans="4:14" x14ac:dyDescent="0.25">
      <c r="D2116" s="559" t="s">
        <v>867</v>
      </c>
      <c r="E2116" s="558">
        <v>312720</v>
      </c>
      <c r="F2116" s="559">
        <v>302753</v>
      </c>
      <c r="G2116" s="558" t="s">
        <v>2298</v>
      </c>
      <c r="H2116" s="564">
        <v>40015</v>
      </c>
      <c r="I2116" s="563">
        <v>64.349999999999994</v>
      </c>
      <c r="J2116" s="563">
        <v>-64.349999999999994</v>
      </c>
      <c r="K2116" s="582">
        <f t="shared" si="96"/>
        <v>0</v>
      </c>
      <c r="L2116" s="563">
        <f t="shared" si="97"/>
        <v>0</v>
      </c>
      <c r="M2116" s="563">
        <f t="shared" si="98"/>
        <v>70.784999999999997</v>
      </c>
      <c r="N2116" s="580"/>
    </row>
    <row r="2117" spans="4:14" x14ac:dyDescent="0.25">
      <c r="D2117" s="559" t="s">
        <v>867</v>
      </c>
      <c r="E2117" s="558">
        <v>312721</v>
      </c>
      <c r="F2117" s="559">
        <v>302754</v>
      </c>
      <c r="G2117" s="558" t="s">
        <v>2298</v>
      </c>
      <c r="H2117" s="564">
        <v>40015</v>
      </c>
      <c r="I2117" s="563">
        <v>64.349999999999994</v>
      </c>
      <c r="J2117" s="563">
        <v>-64.349999999999994</v>
      </c>
      <c r="K2117" s="582">
        <f t="shared" si="96"/>
        <v>0</v>
      </c>
      <c r="L2117" s="563">
        <f t="shared" si="97"/>
        <v>0</v>
      </c>
      <c r="M2117" s="563">
        <f t="shared" si="98"/>
        <v>70.784999999999997</v>
      </c>
      <c r="N2117" s="580"/>
    </row>
    <row r="2118" spans="4:14" x14ac:dyDescent="0.25">
      <c r="D2118" s="559" t="s">
        <v>867</v>
      </c>
      <c r="E2118" s="558">
        <v>312722</v>
      </c>
      <c r="F2118" s="559">
        <v>302755</v>
      </c>
      <c r="G2118" s="558" t="s">
        <v>2299</v>
      </c>
      <c r="H2118" s="564">
        <v>40015</v>
      </c>
      <c r="I2118" s="563">
        <v>64.349999999999994</v>
      </c>
      <c r="J2118" s="563">
        <v>-64.349999999999994</v>
      </c>
      <c r="K2118" s="582">
        <f t="shared" si="96"/>
        <v>0</v>
      </c>
      <c r="L2118" s="563">
        <f t="shared" si="97"/>
        <v>0</v>
      </c>
      <c r="M2118" s="563">
        <f t="shared" si="98"/>
        <v>70.784999999999997</v>
      </c>
      <c r="N2118" s="580"/>
    </row>
    <row r="2119" spans="4:14" x14ac:dyDescent="0.25">
      <c r="D2119" s="559" t="s">
        <v>867</v>
      </c>
      <c r="E2119" s="558">
        <v>312723</v>
      </c>
      <c r="F2119" s="559">
        <v>302756</v>
      </c>
      <c r="G2119" s="558" t="s">
        <v>2299</v>
      </c>
      <c r="H2119" s="564">
        <v>40015</v>
      </c>
      <c r="I2119" s="563">
        <v>64.349999999999994</v>
      </c>
      <c r="J2119" s="563">
        <v>-64.349999999999994</v>
      </c>
      <c r="K2119" s="582">
        <f t="shared" si="96"/>
        <v>0</v>
      </c>
      <c r="L2119" s="563">
        <f t="shared" si="97"/>
        <v>0</v>
      </c>
      <c r="M2119" s="563">
        <f t="shared" si="98"/>
        <v>70.784999999999997</v>
      </c>
      <c r="N2119" s="580"/>
    </row>
    <row r="2120" spans="4:14" x14ac:dyDescent="0.25">
      <c r="D2120" s="559" t="s">
        <v>867</v>
      </c>
      <c r="E2120" s="558">
        <v>312724</v>
      </c>
      <c r="F2120" s="559">
        <v>302757</v>
      </c>
      <c r="G2120" s="558" t="s">
        <v>2299</v>
      </c>
      <c r="H2120" s="564">
        <v>40015</v>
      </c>
      <c r="I2120" s="563">
        <v>64.349999999999994</v>
      </c>
      <c r="J2120" s="563">
        <v>-64.349999999999994</v>
      </c>
      <c r="K2120" s="582">
        <f t="shared" si="96"/>
        <v>0</v>
      </c>
      <c r="L2120" s="563">
        <f t="shared" si="97"/>
        <v>0</v>
      </c>
      <c r="M2120" s="563">
        <f t="shared" si="98"/>
        <v>70.784999999999997</v>
      </c>
      <c r="N2120" s="580"/>
    </row>
    <row r="2121" spans="4:14" x14ac:dyDescent="0.25">
      <c r="D2121" s="559" t="s">
        <v>867</v>
      </c>
      <c r="E2121" s="558">
        <v>312725</v>
      </c>
      <c r="F2121" s="559">
        <v>302758</v>
      </c>
      <c r="G2121" s="558" t="s">
        <v>2299</v>
      </c>
      <c r="H2121" s="564">
        <v>40015</v>
      </c>
      <c r="I2121" s="563">
        <v>64.349999999999994</v>
      </c>
      <c r="J2121" s="563">
        <v>-64.349999999999994</v>
      </c>
      <c r="K2121" s="582">
        <f t="shared" si="96"/>
        <v>0</v>
      </c>
      <c r="L2121" s="563">
        <f t="shared" si="97"/>
        <v>0</v>
      </c>
      <c r="M2121" s="563">
        <f t="shared" si="98"/>
        <v>70.784999999999997</v>
      </c>
      <c r="N2121" s="580"/>
    </row>
    <row r="2122" spans="4:14" x14ac:dyDescent="0.25">
      <c r="D2122" s="559" t="s">
        <v>867</v>
      </c>
      <c r="E2122" s="558">
        <v>312726</v>
      </c>
      <c r="F2122" s="559">
        <v>302759</v>
      </c>
      <c r="G2122" s="558" t="s">
        <v>2299</v>
      </c>
      <c r="H2122" s="564">
        <v>40015</v>
      </c>
      <c r="I2122" s="563">
        <v>64.349999999999994</v>
      </c>
      <c r="J2122" s="563">
        <v>-64.349999999999994</v>
      </c>
      <c r="K2122" s="582">
        <f t="shared" si="96"/>
        <v>0</v>
      </c>
      <c r="L2122" s="563">
        <f t="shared" si="97"/>
        <v>0</v>
      </c>
      <c r="M2122" s="563">
        <f t="shared" si="98"/>
        <v>70.784999999999997</v>
      </c>
      <c r="N2122" s="580"/>
    </row>
    <row r="2123" spans="4:14" x14ac:dyDescent="0.25">
      <c r="D2123" s="559" t="s">
        <v>867</v>
      </c>
      <c r="E2123" s="558">
        <v>312727</v>
      </c>
      <c r="F2123" s="559">
        <v>302760</v>
      </c>
      <c r="G2123" s="558" t="s">
        <v>2300</v>
      </c>
      <c r="H2123" s="564">
        <v>40015</v>
      </c>
      <c r="I2123" s="563">
        <v>64.349999999999994</v>
      </c>
      <c r="J2123" s="563">
        <v>-64.349999999999994</v>
      </c>
      <c r="K2123" s="582">
        <f t="shared" si="96"/>
        <v>0</v>
      </c>
      <c r="L2123" s="563">
        <f t="shared" si="97"/>
        <v>0</v>
      </c>
      <c r="M2123" s="563">
        <f t="shared" si="98"/>
        <v>70.784999999999997</v>
      </c>
      <c r="N2123" s="580"/>
    </row>
    <row r="2124" spans="4:14" x14ac:dyDescent="0.25">
      <c r="D2124" s="559" t="s">
        <v>867</v>
      </c>
      <c r="E2124" s="558">
        <v>312728</v>
      </c>
      <c r="F2124" s="559">
        <v>302761</v>
      </c>
      <c r="G2124" s="558" t="s">
        <v>2300</v>
      </c>
      <c r="H2124" s="564">
        <v>40015</v>
      </c>
      <c r="I2124" s="563">
        <v>64.349999999999994</v>
      </c>
      <c r="J2124" s="563">
        <v>-64.349999999999994</v>
      </c>
      <c r="K2124" s="582">
        <f t="shared" si="96"/>
        <v>0</v>
      </c>
      <c r="L2124" s="563">
        <f t="shared" si="97"/>
        <v>0</v>
      </c>
      <c r="M2124" s="563">
        <f t="shared" si="98"/>
        <v>70.784999999999997</v>
      </c>
      <c r="N2124" s="580"/>
    </row>
    <row r="2125" spans="4:14" x14ac:dyDescent="0.25">
      <c r="D2125" s="559" t="s">
        <v>867</v>
      </c>
      <c r="E2125" s="558">
        <v>312730</v>
      </c>
      <c r="F2125" s="559">
        <v>302763</v>
      </c>
      <c r="G2125" s="558" t="s">
        <v>2300</v>
      </c>
      <c r="H2125" s="564">
        <v>40015</v>
      </c>
      <c r="I2125" s="563">
        <v>64.349999999999994</v>
      </c>
      <c r="J2125" s="563">
        <v>-64.349999999999994</v>
      </c>
      <c r="K2125" s="582">
        <f t="shared" si="96"/>
        <v>0</v>
      </c>
      <c r="L2125" s="563">
        <f t="shared" si="97"/>
        <v>0</v>
      </c>
      <c r="M2125" s="563">
        <f t="shared" si="98"/>
        <v>70.784999999999997</v>
      </c>
      <c r="N2125" s="580"/>
    </row>
    <row r="2126" spans="4:14" x14ac:dyDescent="0.25">
      <c r="D2126" s="559" t="s">
        <v>867</v>
      </c>
      <c r="E2126" s="558">
        <v>312731</v>
      </c>
      <c r="F2126" s="559">
        <v>302764</v>
      </c>
      <c r="G2126" s="558" t="s">
        <v>2300</v>
      </c>
      <c r="H2126" s="564">
        <v>40015</v>
      </c>
      <c r="I2126" s="563">
        <v>64.349999999999994</v>
      </c>
      <c r="J2126" s="563">
        <v>-64.349999999999994</v>
      </c>
      <c r="K2126" s="582">
        <f t="shared" si="96"/>
        <v>0</v>
      </c>
      <c r="L2126" s="563">
        <f t="shared" si="97"/>
        <v>0</v>
      </c>
      <c r="M2126" s="563">
        <f t="shared" si="98"/>
        <v>70.784999999999997</v>
      </c>
      <c r="N2126" s="580"/>
    </row>
    <row r="2127" spans="4:14" x14ac:dyDescent="0.25">
      <c r="D2127" s="559" t="s">
        <v>867</v>
      </c>
      <c r="E2127" s="558">
        <v>312732</v>
      </c>
      <c r="F2127" s="559">
        <v>302765</v>
      </c>
      <c r="G2127" s="558" t="s">
        <v>2300</v>
      </c>
      <c r="H2127" s="564">
        <v>40015</v>
      </c>
      <c r="I2127" s="563">
        <v>64.349999999999994</v>
      </c>
      <c r="J2127" s="563">
        <v>-64.349999999999994</v>
      </c>
      <c r="K2127" s="582">
        <f t="shared" si="96"/>
        <v>0</v>
      </c>
      <c r="L2127" s="563">
        <f t="shared" si="97"/>
        <v>0</v>
      </c>
      <c r="M2127" s="563">
        <f t="shared" si="98"/>
        <v>70.784999999999997</v>
      </c>
      <c r="N2127" s="580"/>
    </row>
    <row r="2128" spans="4:14" x14ac:dyDescent="0.25">
      <c r="D2128" s="559" t="s">
        <v>867</v>
      </c>
      <c r="E2128" s="558">
        <v>312733</v>
      </c>
      <c r="F2128" s="559">
        <v>302766</v>
      </c>
      <c r="G2128" s="558" t="s">
        <v>2301</v>
      </c>
      <c r="H2128" s="564">
        <v>40015</v>
      </c>
      <c r="I2128" s="563">
        <v>64.349999999999994</v>
      </c>
      <c r="J2128" s="563">
        <v>-64.349999999999994</v>
      </c>
      <c r="K2128" s="582">
        <f t="shared" si="96"/>
        <v>0</v>
      </c>
      <c r="L2128" s="563">
        <f t="shared" si="97"/>
        <v>0</v>
      </c>
      <c r="M2128" s="563">
        <f t="shared" si="98"/>
        <v>70.784999999999997</v>
      </c>
      <c r="N2128" s="580"/>
    </row>
    <row r="2129" spans="4:14" x14ac:dyDescent="0.25">
      <c r="D2129" s="559" t="s">
        <v>867</v>
      </c>
      <c r="E2129" s="558">
        <v>312734</v>
      </c>
      <c r="F2129" s="559">
        <v>301371</v>
      </c>
      <c r="G2129" s="558" t="s">
        <v>2301</v>
      </c>
      <c r="H2129" s="564">
        <v>40015</v>
      </c>
      <c r="I2129" s="563">
        <v>64.349999999999994</v>
      </c>
      <c r="J2129" s="563">
        <v>-64.349999999999994</v>
      </c>
      <c r="K2129" s="582">
        <f t="shared" si="96"/>
        <v>0</v>
      </c>
      <c r="L2129" s="563">
        <f t="shared" si="97"/>
        <v>0</v>
      </c>
      <c r="M2129" s="563">
        <f t="shared" si="98"/>
        <v>70.784999999999997</v>
      </c>
      <c r="N2129" s="580"/>
    </row>
    <row r="2130" spans="4:14" x14ac:dyDescent="0.25">
      <c r="D2130" s="559" t="s">
        <v>867</v>
      </c>
      <c r="E2130" s="558">
        <v>312735</v>
      </c>
      <c r="F2130" s="559">
        <v>302767</v>
      </c>
      <c r="G2130" s="558" t="s">
        <v>2301</v>
      </c>
      <c r="H2130" s="564">
        <v>40015</v>
      </c>
      <c r="I2130" s="563">
        <v>64.349999999999994</v>
      </c>
      <c r="J2130" s="563">
        <v>-64.349999999999994</v>
      </c>
      <c r="K2130" s="582">
        <f t="shared" si="96"/>
        <v>0</v>
      </c>
      <c r="L2130" s="563">
        <f t="shared" si="97"/>
        <v>0</v>
      </c>
      <c r="M2130" s="563">
        <f t="shared" si="98"/>
        <v>70.784999999999997</v>
      </c>
      <c r="N2130" s="580"/>
    </row>
    <row r="2131" spans="4:14" x14ac:dyDescent="0.25">
      <c r="D2131" s="559" t="s">
        <v>867</v>
      </c>
      <c r="E2131" s="558">
        <v>312737</v>
      </c>
      <c r="F2131" s="559">
        <v>302769</v>
      </c>
      <c r="G2131" s="558" t="s">
        <v>2301</v>
      </c>
      <c r="H2131" s="564">
        <v>40015</v>
      </c>
      <c r="I2131" s="563">
        <v>64.349999999999994</v>
      </c>
      <c r="J2131" s="563">
        <v>-64.349999999999994</v>
      </c>
      <c r="K2131" s="582">
        <f t="shared" si="96"/>
        <v>0</v>
      </c>
      <c r="L2131" s="563">
        <f t="shared" si="97"/>
        <v>0</v>
      </c>
      <c r="M2131" s="563">
        <f t="shared" si="98"/>
        <v>70.784999999999997</v>
      </c>
      <c r="N2131" s="580"/>
    </row>
    <row r="2132" spans="4:14" x14ac:dyDescent="0.25">
      <c r="D2132" s="559" t="s">
        <v>867</v>
      </c>
      <c r="E2132" s="558">
        <v>312743</v>
      </c>
      <c r="F2132" s="559">
        <v>302775</v>
      </c>
      <c r="G2132" s="558" t="s">
        <v>2301</v>
      </c>
      <c r="H2132" s="564">
        <v>40015</v>
      </c>
      <c r="I2132" s="563">
        <v>610.35</v>
      </c>
      <c r="J2132" s="563">
        <v>-585</v>
      </c>
      <c r="K2132" s="582">
        <f t="shared" si="96"/>
        <v>25.350000000000023</v>
      </c>
      <c r="L2132" s="563">
        <f t="shared" si="97"/>
        <v>27.885000000000026</v>
      </c>
      <c r="M2132" s="563">
        <f t="shared" si="98"/>
        <v>671.3850000000001</v>
      </c>
      <c r="N2132" s="580"/>
    </row>
    <row r="2133" spans="4:14" x14ac:dyDescent="0.25">
      <c r="D2133" s="559" t="s">
        <v>867</v>
      </c>
      <c r="E2133" s="558">
        <v>312746</v>
      </c>
      <c r="F2133" s="559">
        <v>302778</v>
      </c>
      <c r="G2133" s="558" t="s">
        <v>2302</v>
      </c>
      <c r="H2133" s="564">
        <v>40015</v>
      </c>
      <c r="I2133" s="563">
        <v>64.349999999999994</v>
      </c>
      <c r="J2133" s="563">
        <v>-64.349999999999994</v>
      </c>
      <c r="K2133" s="582">
        <f t="shared" si="96"/>
        <v>0</v>
      </c>
      <c r="L2133" s="563">
        <f t="shared" si="97"/>
        <v>0</v>
      </c>
      <c r="M2133" s="563">
        <f t="shared" si="98"/>
        <v>70.784999999999997</v>
      </c>
      <c r="N2133" s="580"/>
    </row>
    <row r="2134" spans="4:14" x14ac:dyDescent="0.25">
      <c r="D2134" s="559" t="s">
        <v>867</v>
      </c>
      <c r="E2134" s="558">
        <v>312750</v>
      </c>
      <c r="F2134" s="559">
        <v>302782</v>
      </c>
      <c r="G2134" s="558" t="s">
        <v>2302</v>
      </c>
      <c r="H2134" s="564">
        <v>40015</v>
      </c>
      <c r="I2134" s="563">
        <v>64.349999999999994</v>
      </c>
      <c r="J2134" s="563">
        <v>-64.349999999999994</v>
      </c>
      <c r="K2134" s="582">
        <f t="shared" si="96"/>
        <v>0</v>
      </c>
      <c r="L2134" s="563">
        <f t="shared" si="97"/>
        <v>0</v>
      </c>
      <c r="M2134" s="563">
        <f t="shared" si="98"/>
        <v>70.784999999999997</v>
      </c>
      <c r="N2134" s="580"/>
    </row>
    <row r="2135" spans="4:14" x14ac:dyDescent="0.25">
      <c r="D2135" s="559" t="s">
        <v>867</v>
      </c>
      <c r="E2135" s="558">
        <v>312752</v>
      </c>
      <c r="F2135" s="559">
        <v>302784</v>
      </c>
      <c r="G2135" s="558" t="s">
        <v>2302</v>
      </c>
      <c r="H2135" s="564">
        <v>40015</v>
      </c>
      <c r="I2135" s="563">
        <v>64.349999999999994</v>
      </c>
      <c r="J2135" s="563">
        <v>-64.349999999999994</v>
      </c>
      <c r="K2135" s="582">
        <f t="shared" si="96"/>
        <v>0</v>
      </c>
      <c r="L2135" s="563">
        <f t="shared" si="97"/>
        <v>0</v>
      </c>
      <c r="M2135" s="563">
        <f t="shared" si="98"/>
        <v>70.784999999999997</v>
      </c>
      <c r="N2135" s="580"/>
    </row>
    <row r="2136" spans="4:14" x14ac:dyDescent="0.25">
      <c r="D2136" s="559" t="s">
        <v>867</v>
      </c>
      <c r="E2136" s="558">
        <v>312759</v>
      </c>
      <c r="F2136" s="559">
        <v>302791</v>
      </c>
      <c r="G2136" s="558" t="s">
        <v>2302</v>
      </c>
      <c r="H2136" s="564">
        <v>40015</v>
      </c>
      <c r="I2136" s="563">
        <v>64.349999999999994</v>
      </c>
      <c r="J2136" s="563">
        <v>-64.349999999999994</v>
      </c>
      <c r="K2136" s="582">
        <f t="shared" si="96"/>
        <v>0</v>
      </c>
      <c r="L2136" s="563">
        <f t="shared" si="97"/>
        <v>0</v>
      </c>
      <c r="M2136" s="563">
        <f t="shared" si="98"/>
        <v>70.784999999999997</v>
      </c>
      <c r="N2136" s="580"/>
    </row>
    <row r="2137" spans="4:14" x14ac:dyDescent="0.25">
      <c r="D2137" s="559" t="s">
        <v>867</v>
      </c>
      <c r="E2137" s="558">
        <v>312760</v>
      </c>
      <c r="F2137" s="559">
        <v>302792</v>
      </c>
      <c r="G2137" s="558" t="s">
        <v>2302</v>
      </c>
      <c r="H2137" s="564">
        <v>40015</v>
      </c>
      <c r="I2137" s="563">
        <v>64.349999999999994</v>
      </c>
      <c r="J2137" s="563">
        <v>-64.349999999999994</v>
      </c>
      <c r="K2137" s="582">
        <f t="shared" si="96"/>
        <v>0</v>
      </c>
      <c r="L2137" s="563">
        <f t="shared" si="97"/>
        <v>0</v>
      </c>
      <c r="M2137" s="563">
        <f t="shared" si="98"/>
        <v>70.784999999999997</v>
      </c>
      <c r="N2137" s="580"/>
    </row>
    <row r="2138" spans="4:14" x14ac:dyDescent="0.25">
      <c r="D2138" s="559" t="s">
        <v>867</v>
      </c>
      <c r="E2138" s="558">
        <v>312761</v>
      </c>
      <c r="F2138" s="559">
        <v>302793</v>
      </c>
      <c r="G2138" s="558" t="s">
        <v>2303</v>
      </c>
      <c r="H2138" s="564">
        <v>40015</v>
      </c>
      <c r="I2138" s="563">
        <v>64.349999999999994</v>
      </c>
      <c r="J2138" s="563">
        <v>-64.349999999999994</v>
      </c>
      <c r="K2138" s="582">
        <f t="shared" si="96"/>
        <v>0</v>
      </c>
      <c r="L2138" s="563">
        <f t="shared" si="97"/>
        <v>0</v>
      </c>
      <c r="M2138" s="563">
        <f t="shared" si="98"/>
        <v>70.784999999999997</v>
      </c>
      <c r="N2138" s="580"/>
    </row>
    <row r="2139" spans="4:14" x14ac:dyDescent="0.25">
      <c r="D2139" s="559" t="s">
        <v>867</v>
      </c>
      <c r="E2139" s="558">
        <v>312763</v>
      </c>
      <c r="F2139" s="559">
        <v>302795</v>
      </c>
      <c r="G2139" s="558" t="s">
        <v>2303</v>
      </c>
      <c r="H2139" s="564">
        <v>40015</v>
      </c>
      <c r="I2139" s="563">
        <v>64.349999999999994</v>
      </c>
      <c r="J2139" s="563">
        <v>-64.349999999999994</v>
      </c>
      <c r="K2139" s="582">
        <f t="shared" si="96"/>
        <v>0</v>
      </c>
      <c r="L2139" s="563">
        <f t="shared" si="97"/>
        <v>0</v>
      </c>
      <c r="M2139" s="563">
        <f t="shared" si="98"/>
        <v>70.784999999999997</v>
      </c>
      <c r="N2139" s="580"/>
    </row>
    <row r="2140" spans="4:14" x14ac:dyDescent="0.25">
      <c r="D2140" s="559" t="s">
        <v>867</v>
      </c>
      <c r="E2140" s="558">
        <v>312767</v>
      </c>
      <c r="F2140" s="559">
        <v>302799</v>
      </c>
      <c r="G2140" s="558" t="s">
        <v>2303</v>
      </c>
      <c r="H2140" s="564">
        <v>40015</v>
      </c>
      <c r="I2140" s="563">
        <v>64.349999999999994</v>
      </c>
      <c r="J2140" s="563">
        <v>-64.349999999999994</v>
      </c>
      <c r="K2140" s="582">
        <f t="shared" si="96"/>
        <v>0</v>
      </c>
      <c r="L2140" s="563">
        <f t="shared" si="97"/>
        <v>0</v>
      </c>
      <c r="M2140" s="563">
        <f t="shared" si="98"/>
        <v>70.784999999999997</v>
      </c>
      <c r="N2140" s="580"/>
    </row>
    <row r="2141" spans="4:14" x14ac:dyDescent="0.25">
      <c r="D2141" s="559" t="s">
        <v>867</v>
      </c>
      <c r="E2141" s="558">
        <v>312768</v>
      </c>
      <c r="F2141" s="559">
        <v>302800</v>
      </c>
      <c r="G2141" s="558" t="s">
        <v>2303</v>
      </c>
      <c r="H2141" s="564">
        <v>40015</v>
      </c>
      <c r="I2141" s="563">
        <v>64.349999999999994</v>
      </c>
      <c r="J2141" s="563">
        <v>-64.349999999999994</v>
      </c>
      <c r="K2141" s="582">
        <f t="shared" si="96"/>
        <v>0</v>
      </c>
      <c r="L2141" s="563">
        <f t="shared" si="97"/>
        <v>0</v>
      </c>
      <c r="M2141" s="563">
        <f t="shared" si="98"/>
        <v>70.784999999999997</v>
      </c>
      <c r="N2141" s="580"/>
    </row>
    <row r="2142" spans="4:14" x14ac:dyDescent="0.25">
      <c r="D2142" s="559" t="s">
        <v>867</v>
      </c>
      <c r="E2142" s="558">
        <v>312769</v>
      </c>
      <c r="F2142" s="559">
        <v>302801</v>
      </c>
      <c r="G2142" s="558" t="s">
        <v>2303</v>
      </c>
      <c r="H2142" s="564">
        <v>40015</v>
      </c>
      <c r="I2142" s="563">
        <v>64.349999999999994</v>
      </c>
      <c r="J2142" s="563">
        <v>-64.349999999999994</v>
      </c>
      <c r="K2142" s="582">
        <f t="shared" si="96"/>
        <v>0</v>
      </c>
      <c r="L2142" s="563">
        <f t="shared" si="97"/>
        <v>0</v>
      </c>
      <c r="M2142" s="563">
        <f t="shared" si="98"/>
        <v>70.784999999999997</v>
      </c>
      <c r="N2142" s="580"/>
    </row>
    <row r="2143" spans="4:14" x14ac:dyDescent="0.25">
      <c r="D2143" s="559" t="s">
        <v>867</v>
      </c>
      <c r="E2143" s="558">
        <v>312771</v>
      </c>
      <c r="F2143" s="559">
        <v>302802</v>
      </c>
      <c r="G2143" s="558" t="s">
        <v>2304</v>
      </c>
      <c r="H2143" s="564">
        <v>40015</v>
      </c>
      <c r="I2143" s="563">
        <v>64.349999999999994</v>
      </c>
      <c r="J2143" s="563">
        <v>-64.349999999999994</v>
      </c>
      <c r="K2143" s="582">
        <f t="shared" si="96"/>
        <v>0</v>
      </c>
      <c r="L2143" s="563">
        <f t="shared" si="97"/>
        <v>0</v>
      </c>
      <c r="M2143" s="563">
        <f t="shared" si="98"/>
        <v>70.784999999999997</v>
      </c>
      <c r="N2143" s="580"/>
    </row>
    <row r="2144" spans="4:14" x14ac:dyDescent="0.25">
      <c r="D2144" s="559" t="s">
        <v>867</v>
      </c>
      <c r="E2144" s="558">
        <v>312772</v>
      </c>
      <c r="F2144" s="559">
        <v>302803</v>
      </c>
      <c r="G2144" s="558" t="s">
        <v>2304</v>
      </c>
      <c r="H2144" s="564">
        <v>40015</v>
      </c>
      <c r="I2144" s="563">
        <v>64.349999999999994</v>
      </c>
      <c r="J2144" s="563">
        <v>-64.349999999999994</v>
      </c>
      <c r="K2144" s="582">
        <f t="shared" si="96"/>
        <v>0</v>
      </c>
      <c r="L2144" s="563">
        <f t="shared" si="97"/>
        <v>0</v>
      </c>
      <c r="M2144" s="563">
        <f t="shared" si="98"/>
        <v>70.784999999999997</v>
      </c>
      <c r="N2144" s="580"/>
    </row>
    <row r="2145" spans="4:14" x14ac:dyDescent="0.25">
      <c r="D2145" s="559" t="s">
        <v>867</v>
      </c>
      <c r="E2145" s="558">
        <v>312773</v>
      </c>
      <c r="F2145" s="559">
        <v>302804</v>
      </c>
      <c r="G2145" s="558" t="s">
        <v>2304</v>
      </c>
      <c r="H2145" s="564">
        <v>40015</v>
      </c>
      <c r="I2145" s="563">
        <v>64.349999999999994</v>
      </c>
      <c r="J2145" s="563">
        <v>-64.349999999999994</v>
      </c>
      <c r="K2145" s="582">
        <f t="shared" si="96"/>
        <v>0</v>
      </c>
      <c r="L2145" s="563">
        <f t="shared" si="97"/>
        <v>0</v>
      </c>
      <c r="M2145" s="563">
        <f t="shared" si="98"/>
        <v>70.784999999999997</v>
      </c>
      <c r="N2145" s="580"/>
    </row>
    <row r="2146" spans="4:14" x14ac:dyDescent="0.25">
      <c r="D2146" s="559" t="s">
        <v>867</v>
      </c>
      <c r="E2146" s="558">
        <v>312774</v>
      </c>
      <c r="F2146" s="559">
        <v>302805</v>
      </c>
      <c r="G2146" s="558" t="s">
        <v>2304</v>
      </c>
      <c r="H2146" s="564">
        <v>40015</v>
      </c>
      <c r="I2146" s="563">
        <v>64.349999999999994</v>
      </c>
      <c r="J2146" s="563">
        <v>-64.349999999999994</v>
      </c>
      <c r="K2146" s="582">
        <f t="shared" si="96"/>
        <v>0</v>
      </c>
      <c r="L2146" s="563">
        <f t="shared" si="97"/>
        <v>0</v>
      </c>
      <c r="M2146" s="563">
        <f t="shared" si="98"/>
        <v>70.784999999999997</v>
      </c>
      <c r="N2146" s="580"/>
    </row>
    <row r="2147" spans="4:14" x14ac:dyDescent="0.25">
      <c r="D2147" s="559" t="s">
        <v>867</v>
      </c>
      <c r="E2147" s="558">
        <v>312775</v>
      </c>
      <c r="F2147" s="559">
        <v>302806</v>
      </c>
      <c r="G2147" s="558" t="s">
        <v>2304</v>
      </c>
      <c r="H2147" s="564">
        <v>40015</v>
      </c>
      <c r="I2147" s="563">
        <v>64.349999999999994</v>
      </c>
      <c r="J2147" s="563">
        <v>-64.349999999999994</v>
      </c>
      <c r="K2147" s="582">
        <f t="shared" si="96"/>
        <v>0</v>
      </c>
      <c r="L2147" s="563">
        <f t="shared" si="97"/>
        <v>0</v>
      </c>
      <c r="M2147" s="563">
        <f t="shared" si="98"/>
        <v>70.784999999999997</v>
      </c>
      <c r="N2147" s="580"/>
    </row>
    <row r="2148" spans="4:14" x14ac:dyDescent="0.25">
      <c r="D2148" s="559" t="s">
        <v>867</v>
      </c>
      <c r="E2148" s="558">
        <v>312776</v>
      </c>
      <c r="F2148" s="559">
        <v>302807</v>
      </c>
      <c r="G2148" s="558" t="s">
        <v>2305</v>
      </c>
      <c r="H2148" s="564">
        <v>40015</v>
      </c>
      <c r="I2148" s="563">
        <v>64.349999999999994</v>
      </c>
      <c r="J2148" s="563">
        <v>-64.349999999999994</v>
      </c>
      <c r="K2148" s="582">
        <f t="shared" si="96"/>
        <v>0</v>
      </c>
      <c r="L2148" s="563">
        <f t="shared" si="97"/>
        <v>0</v>
      </c>
      <c r="M2148" s="563">
        <f t="shared" si="98"/>
        <v>70.784999999999997</v>
      </c>
      <c r="N2148" s="580"/>
    </row>
    <row r="2149" spans="4:14" x14ac:dyDescent="0.25">
      <c r="D2149" s="559" t="s">
        <v>867</v>
      </c>
      <c r="E2149" s="558">
        <v>312777</v>
      </c>
      <c r="F2149" s="559">
        <v>302808</v>
      </c>
      <c r="G2149" s="558" t="s">
        <v>2305</v>
      </c>
      <c r="H2149" s="564">
        <v>40015</v>
      </c>
      <c r="I2149" s="563">
        <v>64.349999999999994</v>
      </c>
      <c r="J2149" s="563">
        <v>-64.349999999999994</v>
      </c>
      <c r="K2149" s="582">
        <f t="shared" si="96"/>
        <v>0</v>
      </c>
      <c r="L2149" s="563">
        <f t="shared" si="97"/>
        <v>0</v>
      </c>
      <c r="M2149" s="563">
        <f t="shared" si="98"/>
        <v>70.784999999999997</v>
      </c>
      <c r="N2149" s="580"/>
    </row>
    <row r="2150" spans="4:14" x14ac:dyDescent="0.25">
      <c r="D2150" s="559" t="s">
        <v>867</v>
      </c>
      <c r="E2150" s="558">
        <v>312778</v>
      </c>
      <c r="F2150" s="559">
        <v>302809</v>
      </c>
      <c r="G2150" s="558" t="s">
        <v>2305</v>
      </c>
      <c r="H2150" s="564">
        <v>40015</v>
      </c>
      <c r="I2150" s="563">
        <v>64.349999999999994</v>
      </c>
      <c r="J2150" s="563">
        <v>-64.349999999999994</v>
      </c>
      <c r="K2150" s="582">
        <f t="shared" si="96"/>
        <v>0</v>
      </c>
      <c r="L2150" s="563">
        <f t="shared" si="97"/>
        <v>0</v>
      </c>
      <c r="M2150" s="563">
        <f t="shared" si="98"/>
        <v>70.784999999999997</v>
      </c>
      <c r="N2150" s="580"/>
    </row>
    <row r="2151" spans="4:14" x14ac:dyDescent="0.25">
      <c r="D2151" s="559" t="s">
        <v>867</v>
      </c>
      <c r="E2151" s="558">
        <v>312779</v>
      </c>
      <c r="F2151" s="559">
        <v>302810</v>
      </c>
      <c r="G2151" s="558" t="s">
        <v>2305</v>
      </c>
      <c r="H2151" s="564">
        <v>40015</v>
      </c>
      <c r="I2151" s="563">
        <v>64.349999999999994</v>
      </c>
      <c r="J2151" s="563">
        <v>-64.349999999999994</v>
      </c>
      <c r="K2151" s="582">
        <f t="shared" si="96"/>
        <v>0</v>
      </c>
      <c r="L2151" s="563">
        <f t="shared" si="97"/>
        <v>0</v>
      </c>
      <c r="M2151" s="563">
        <f t="shared" si="98"/>
        <v>70.784999999999997</v>
      </c>
      <c r="N2151" s="580"/>
    </row>
    <row r="2152" spans="4:14" x14ac:dyDescent="0.25">
      <c r="D2152" s="559" t="s">
        <v>867</v>
      </c>
      <c r="E2152" s="558">
        <v>312780</v>
      </c>
      <c r="F2152" s="559">
        <v>302811</v>
      </c>
      <c r="G2152" s="558" t="s">
        <v>2305</v>
      </c>
      <c r="H2152" s="564">
        <v>40015</v>
      </c>
      <c r="I2152" s="563">
        <v>64.349999999999994</v>
      </c>
      <c r="J2152" s="563">
        <v>-64.349999999999994</v>
      </c>
      <c r="K2152" s="582">
        <f t="shared" si="96"/>
        <v>0</v>
      </c>
      <c r="L2152" s="563">
        <f t="shared" si="97"/>
        <v>0</v>
      </c>
      <c r="M2152" s="563">
        <f t="shared" si="98"/>
        <v>70.784999999999997</v>
      </c>
      <c r="N2152" s="580"/>
    </row>
    <row r="2153" spans="4:14" x14ac:dyDescent="0.25">
      <c r="D2153" s="559" t="s">
        <v>867</v>
      </c>
      <c r="E2153" s="558">
        <v>312782</v>
      </c>
      <c r="F2153" s="559">
        <v>302812</v>
      </c>
      <c r="G2153" s="558" t="s">
        <v>2306</v>
      </c>
      <c r="H2153" s="564">
        <v>40015</v>
      </c>
      <c r="I2153" s="563">
        <v>64.349999999999994</v>
      </c>
      <c r="J2153" s="563">
        <v>-64.349999999999994</v>
      </c>
      <c r="K2153" s="582">
        <f t="shared" ref="K2153:K2216" si="99">+I2153+J2153</f>
        <v>0</v>
      </c>
      <c r="L2153" s="563">
        <f t="shared" ref="L2153:L2216" si="100">+K2153*1.1</f>
        <v>0</v>
      </c>
      <c r="M2153" s="563">
        <f t="shared" ref="M2153:M2216" si="101">+I2153*1.1</f>
        <v>70.784999999999997</v>
      </c>
      <c r="N2153" s="580"/>
    </row>
    <row r="2154" spans="4:14" x14ac:dyDescent="0.25">
      <c r="D2154" s="559" t="s">
        <v>867</v>
      </c>
      <c r="E2154" s="558">
        <v>312783</v>
      </c>
      <c r="F2154" s="559">
        <v>302813</v>
      </c>
      <c r="G2154" s="558" t="s">
        <v>2306</v>
      </c>
      <c r="H2154" s="564">
        <v>40015</v>
      </c>
      <c r="I2154" s="563">
        <v>64.349999999999994</v>
      </c>
      <c r="J2154" s="563">
        <v>-64.349999999999994</v>
      </c>
      <c r="K2154" s="582">
        <f t="shared" si="99"/>
        <v>0</v>
      </c>
      <c r="L2154" s="563">
        <f t="shared" si="100"/>
        <v>0</v>
      </c>
      <c r="M2154" s="563">
        <f t="shared" si="101"/>
        <v>70.784999999999997</v>
      </c>
      <c r="N2154" s="580"/>
    </row>
    <row r="2155" spans="4:14" x14ac:dyDescent="0.25">
      <c r="D2155" s="559" t="s">
        <v>867</v>
      </c>
      <c r="E2155" s="558">
        <v>312784</v>
      </c>
      <c r="F2155" s="559">
        <v>302814</v>
      </c>
      <c r="G2155" s="558" t="s">
        <v>2306</v>
      </c>
      <c r="H2155" s="564">
        <v>40015</v>
      </c>
      <c r="I2155" s="563">
        <v>64.349999999999994</v>
      </c>
      <c r="J2155" s="563">
        <v>-64.349999999999994</v>
      </c>
      <c r="K2155" s="582">
        <f t="shared" si="99"/>
        <v>0</v>
      </c>
      <c r="L2155" s="563">
        <f t="shared" si="100"/>
        <v>0</v>
      </c>
      <c r="M2155" s="563">
        <f t="shared" si="101"/>
        <v>70.784999999999997</v>
      </c>
      <c r="N2155" s="580"/>
    </row>
    <row r="2156" spans="4:14" x14ac:dyDescent="0.25">
      <c r="D2156" s="559" t="s">
        <v>867</v>
      </c>
      <c r="E2156" s="558">
        <v>312785</v>
      </c>
      <c r="F2156" s="559">
        <v>302815</v>
      </c>
      <c r="G2156" s="558" t="s">
        <v>2306</v>
      </c>
      <c r="H2156" s="564">
        <v>40015</v>
      </c>
      <c r="I2156" s="563">
        <v>64.349999999999994</v>
      </c>
      <c r="J2156" s="563">
        <v>-64.349999999999994</v>
      </c>
      <c r="K2156" s="582">
        <f t="shared" si="99"/>
        <v>0</v>
      </c>
      <c r="L2156" s="563">
        <f t="shared" si="100"/>
        <v>0</v>
      </c>
      <c r="M2156" s="563">
        <f t="shared" si="101"/>
        <v>70.784999999999997</v>
      </c>
      <c r="N2156" s="580"/>
    </row>
    <row r="2157" spans="4:14" x14ac:dyDescent="0.25">
      <c r="D2157" s="559" t="s">
        <v>867</v>
      </c>
      <c r="E2157" s="558">
        <v>312786</v>
      </c>
      <c r="F2157" s="559">
        <v>302816</v>
      </c>
      <c r="G2157" s="558" t="s">
        <v>2306</v>
      </c>
      <c r="H2157" s="564">
        <v>40015</v>
      </c>
      <c r="I2157" s="563">
        <v>64.349999999999994</v>
      </c>
      <c r="J2157" s="563">
        <v>-64.349999999999994</v>
      </c>
      <c r="K2157" s="582">
        <f t="shared" si="99"/>
        <v>0</v>
      </c>
      <c r="L2157" s="563">
        <f t="shared" si="100"/>
        <v>0</v>
      </c>
      <c r="M2157" s="563">
        <f t="shared" si="101"/>
        <v>70.784999999999997</v>
      </c>
      <c r="N2157" s="580"/>
    </row>
    <row r="2158" spans="4:14" x14ac:dyDescent="0.25">
      <c r="D2158" s="559" t="s">
        <v>867</v>
      </c>
      <c r="E2158" s="558">
        <v>312787</v>
      </c>
      <c r="F2158" s="559">
        <v>302817</v>
      </c>
      <c r="G2158" s="558" t="s">
        <v>2307</v>
      </c>
      <c r="H2158" s="564">
        <v>40015</v>
      </c>
      <c r="I2158" s="563">
        <v>64.349999999999994</v>
      </c>
      <c r="J2158" s="563">
        <v>-64.349999999999994</v>
      </c>
      <c r="K2158" s="582">
        <f t="shared" si="99"/>
        <v>0</v>
      </c>
      <c r="L2158" s="563">
        <f t="shared" si="100"/>
        <v>0</v>
      </c>
      <c r="M2158" s="563">
        <f t="shared" si="101"/>
        <v>70.784999999999997</v>
      </c>
      <c r="N2158" s="580"/>
    </row>
    <row r="2159" spans="4:14" x14ac:dyDescent="0.25">
      <c r="D2159" s="559" t="s">
        <v>867</v>
      </c>
      <c r="E2159" s="558">
        <v>312788</v>
      </c>
      <c r="F2159" s="559">
        <v>302818</v>
      </c>
      <c r="G2159" s="558" t="s">
        <v>2307</v>
      </c>
      <c r="H2159" s="564">
        <v>40015</v>
      </c>
      <c r="I2159" s="563">
        <v>64.349999999999994</v>
      </c>
      <c r="J2159" s="563">
        <v>-64.349999999999994</v>
      </c>
      <c r="K2159" s="582">
        <f t="shared" si="99"/>
        <v>0</v>
      </c>
      <c r="L2159" s="563">
        <f t="shared" si="100"/>
        <v>0</v>
      </c>
      <c r="M2159" s="563">
        <f t="shared" si="101"/>
        <v>70.784999999999997</v>
      </c>
      <c r="N2159" s="580"/>
    </row>
    <row r="2160" spans="4:14" x14ac:dyDescent="0.25">
      <c r="D2160" s="559" t="s">
        <v>867</v>
      </c>
      <c r="E2160" s="558">
        <v>312789</v>
      </c>
      <c r="F2160" s="559">
        <v>302690</v>
      </c>
      <c r="G2160" s="558" t="s">
        <v>2307</v>
      </c>
      <c r="H2160" s="564">
        <v>40015</v>
      </c>
      <c r="I2160" s="563">
        <v>64.349999999999994</v>
      </c>
      <c r="J2160" s="563">
        <v>-64.349999999999994</v>
      </c>
      <c r="K2160" s="582">
        <f t="shared" si="99"/>
        <v>0</v>
      </c>
      <c r="L2160" s="563">
        <f t="shared" si="100"/>
        <v>0</v>
      </c>
      <c r="M2160" s="563">
        <f t="shared" si="101"/>
        <v>70.784999999999997</v>
      </c>
      <c r="N2160" s="580"/>
    </row>
    <row r="2161" spans="4:14" x14ac:dyDescent="0.25">
      <c r="D2161" s="559" t="s">
        <v>867</v>
      </c>
      <c r="E2161" s="558">
        <v>312790</v>
      </c>
      <c r="F2161" s="559">
        <v>302819</v>
      </c>
      <c r="G2161" s="558" t="s">
        <v>2307</v>
      </c>
      <c r="H2161" s="564">
        <v>40015</v>
      </c>
      <c r="I2161" s="563">
        <v>64.349999999999994</v>
      </c>
      <c r="J2161" s="563">
        <v>-64.349999999999994</v>
      </c>
      <c r="K2161" s="582">
        <f t="shared" si="99"/>
        <v>0</v>
      </c>
      <c r="L2161" s="563">
        <f t="shared" si="100"/>
        <v>0</v>
      </c>
      <c r="M2161" s="563">
        <f t="shared" si="101"/>
        <v>70.784999999999997</v>
      </c>
      <c r="N2161" s="580"/>
    </row>
    <row r="2162" spans="4:14" x14ac:dyDescent="0.25">
      <c r="D2162" s="559" t="s">
        <v>867</v>
      </c>
      <c r="E2162" s="558">
        <v>312791</v>
      </c>
      <c r="F2162" s="559">
        <v>302822</v>
      </c>
      <c r="G2162" s="558" t="s">
        <v>2307</v>
      </c>
      <c r="H2162" s="564">
        <v>40015</v>
      </c>
      <c r="I2162" s="563">
        <v>64.349999999999994</v>
      </c>
      <c r="J2162" s="563">
        <v>-64.349999999999994</v>
      </c>
      <c r="K2162" s="582">
        <f t="shared" si="99"/>
        <v>0</v>
      </c>
      <c r="L2162" s="563">
        <f t="shared" si="100"/>
        <v>0</v>
      </c>
      <c r="M2162" s="563">
        <f t="shared" si="101"/>
        <v>70.784999999999997</v>
      </c>
      <c r="N2162" s="580"/>
    </row>
    <row r="2163" spans="4:14" x14ac:dyDescent="0.25">
      <c r="D2163" s="559" t="s">
        <v>867</v>
      </c>
      <c r="E2163" s="558">
        <v>312792</v>
      </c>
      <c r="F2163" s="559">
        <v>302823</v>
      </c>
      <c r="G2163" s="558" t="s">
        <v>2308</v>
      </c>
      <c r="H2163" s="564">
        <v>40015</v>
      </c>
      <c r="I2163" s="563">
        <v>1404</v>
      </c>
      <c r="J2163" s="563">
        <v>-585</v>
      </c>
      <c r="K2163" s="582">
        <f t="shared" si="99"/>
        <v>819</v>
      </c>
      <c r="L2163" s="563">
        <f t="shared" si="100"/>
        <v>900.90000000000009</v>
      </c>
      <c r="M2163" s="563">
        <f t="shared" si="101"/>
        <v>1544.4</v>
      </c>
      <c r="N2163" s="580"/>
    </row>
    <row r="2164" spans="4:14" x14ac:dyDescent="0.25">
      <c r="D2164" s="559" t="s">
        <v>867</v>
      </c>
      <c r="E2164" s="558">
        <v>312794</v>
      </c>
      <c r="F2164" s="559">
        <v>302824</v>
      </c>
      <c r="G2164" s="558" t="s">
        <v>2308</v>
      </c>
      <c r="H2164" s="564">
        <v>40015</v>
      </c>
      <c r="I2164" s="563">
        <v>64.349999999999994</v>
      </c>
      <c r="J2164" s="563">
        <v>-64.349999999999994</v>
      </c>
      <c r="K2164" s="582">
        <f t="shared" si="99"/>
        <v>0</v>
      </c>
      <c r="L2164" s="563">
        <f t="shared" si="100"/>
        <v>0</v>
      </c>
      <c r="M2164" s="563">
        <f t="shared" si="101"/>
        <v>70.784999999999997</v>
      </c>
      <c r="N2164" s="580"/>
    </row>
    <row r="2165" spans="4:14" x14ac:dyDescent="0.25">
      <c r="D2165" s="559" t="s">
        <v>867</v>
      </c>
      <c r="E2165" s="558">
        <v>312795</v>
      </c>
      <c r="F2165" s="559">
        <v>302825</v>
      </c>
      <c r="G2165" s="558" t="s">
        <v>2308</v>
      </c>
      <c r="H2165" s="564">
        <v>40015</v>
      </c>
      <c r="I2165" s="563">
        <v>25.35</v>
      </c>
      <c r="J2165" s="563">
        <v>-25.35</v>
      </c>
      <c r="K2165" s="582">
        <f t="shared" si="99"/>
        <v>0</v>
      </c>
      <c r="L2165" s="563">
        <f t="shared" si="100"/>
        <v>0</v>
      </c>
      <c r="M2165" s="563">
        <f t="shared" si="101"/>
        <v>27.885000000000005</v>
      </c>
      <c r="N2165" s="580"/>
    </row>
    <row r="2166" spans="4:14" x14ac:dyDescent="0.25">
      <c r="D2166" s="559" t="s">
        <v>867</v>
      </c>
      <c r="E2166" s="558">
        <v>312797</v>
      </c>
      <c r="F2166" s="559">
        <v>302826</v>
      </c>
      <c r="G2166" s="558" t="s">
        <v>2308</v>
      </c>
      <c r="H2166" s="564">
        <v>40015</v>
      </c>
      <c r="I2166" s="563">
        <v>25.35</v>
      </c>
      <c r="J2166" s="563">
        <v>-25.35</v>
      </c>
      <c r="K2166" s="582">
        <f t="shared" si="99"/>
        <v>0</v>
      </c>
      <c r="L2166" s="563">
        <f t="shared" si="100"/>
        <v>0</v>
      </c>
      <c r="M2166" s="563">
        <f t="shared" si="101"/>
        <v>27.885000000000005</v>
      </c>
      <c r="N2166" s="580"/>
    </row>
    <row r="2167" spans="4:14" x14ac:dyDescent="0.25">
      <c r="D2167" s="559" t="s">
        <v>867</v>
      </c>
      <c r="E2167" s="558">
        <v>312798</v>
      </c>
      <c r="F2167" s="559">
        <v>302827</v>
      </c>
      <c r="G2167" s="558" t="s">
        <v>2308</v>
      </c>
      <c r="H2167" s="564">
        <v>40015</v>
      </c>
      <c r="I2167" s="563">
        <v>25.35</v>
      </c>
      <c r="J2167" s="563">
        <v>-25.35</v>
      </c>
      <c r="K2167" s="582">
        <f t="shared" si="99"/>
        <v>0</v>
      </c>
      <c r="L2167" s="563">
        <f t="shared" si="100"/>
        <v>0</v>
      </c>
      <c r="M2167" s="563">
        <f t="shared" si="101"/>
        <v>27.885000000000005</v>
      </c>
      <c r="N2167" s="580"/>
    </row>
    <row r="2168" spans="4:14" x14ac:dyDescent="0.25">
      <c r="D2168" s="559" t="s">
        <v>867</v>
      </c>
      <c r="E2168" s="558">
        <v>312800</v>
      </c>
      <c r="F2168" s="559">
        <v>302828</v>
      </c>
      <c r="G2168" s="558" t="s">
        <v>2309</v>
      </c>
      <c r="H2168" s="564">
        <v>40015</v>
      </c>
      <c r="I2168" s="563">
        <v>25.35</v>
      </c>
      <c r="J2168" s="563">
        <v>-25.35</v>
      </c>
      <c r="K2168" s="582">
        <f t="shared" si="99"/>
        <v>0</v>
      </c>
      <c r="L2168" s="563">
        <f t="shared" si="100"/>
        <v>0</v>
      </c>
      <c r="M2168" s="563">
        <f t="shared" si="101"/>
        <v>27.885000000000005</v>
      </c>
      <c r="N2168" s="580"/>
    </row>
    <row r="2169" spans="4:14" x14ac:dyDescent="0.25">
      <c r="D2169" s="559" t="s">
        <v>867</v>
      </c>
      <c r="E2169" s="558">
        <v>312801</v>
      </c>
      <c r="F2169" s="559">
        <v>302829</v>
      </c>
      <c r="G2169" s="558" t="s">
        <v>2309</v>
      </c>
      <c r="H2169" s="564">
        <v>40015</v>
      </c>
      <c r="I2169" s="563">
        <v>25.35</v>
      </c>
      <c r="J2169" s="563">
        <v>-25.35</v>
      </c>
      <c r="K2169" s="582">
        <f t="shared" si="99"/>
        <v>0</v>
      </c>
      <c r="L2169" s="563">
        <f t="shared" si="100"/>
        <v>0</v>
      </c>
      <c r="M2169" s="563">
        <f t="shared" si="101"/>
        <v>27.885000000000005</v>
      </c>
      <c r="N2169" s="580"/>
    </row>
    <row r="2170" spans="4:14" x14ac:dyDescent="0.25">
      <c r="D2170" s="559" t="s">
        <v>867</v>
      </c>
      <c r="E2170" s="558">
        <v>312802</v>
      </c>
      <c r="F2170" s="559">
        <v>302830</v>
      </c>
      <c r="G2170" s="558" t="s">
        <v>2309</v>
      </c>
      <c r="H2170" s="564">
        <v>40015</v>
      </c>
      <c r="I2170" s="563">
        <v>25.35</v>
      </c>
      <c r="J2170" s="563">
        <v>-25.35</v>
      </c>
      <c r="K2170" s="582">
        <f t="shared" si="99"/>
        <v>0</v>
      </c>
      <c r="L2170" s="563">
        <f t="shared" si="100"/>
        <v>0</v>
      </c>
      <c r="M2170" s="563">
        <f t="shared" si="101"/>
        <v>27.885000000000005</v>
      </c>
      <c r="N2170" s="580"/>
    </row>
    <row r="2171" spans="4:14" x14ac:dyDescent="0.25">
      <c r="D2171" s="559" t="s">
        <v>867</v>
      </c>
      <c r="E2171" s="558">
        <v>312803</v>
      </c>
      <c r="F2171" s="559">
        <v>302831</v>
      </c>
      <c r="G2171" s="558" t="s">
        <v>2309</v>
      </c>
      <c r="H2171" s="564">
        <v>40015</v>
      </c>
      <c r="I2171" s="563">
        <v>493.35</v>
      </c>
      <c r="J2171" s="563">
        <v>-493.35</v>
      </c>
      <c r="K2171" s="582">
        <f t="shared" si="99"/>
        <v>0</v>
      </c>
      <c r="L2171" s="563">
        <f t="shared" si="100"/>
        <v>0</v>
      </c>
      <c r="M2171" s="563">
        <f t="shared" si="101"/>
        <v>542.68500000000006</v>
      </c>
      <c r="N2171" s="580"/>
    </row>
    <row r="2172" spans="4:14" x14ac:dyDescent="0.25">
      <c r="D2172" s="559" t="s">
        <v>867</v>
      </c>
      <c r="E2172" s="558">
        <v>312804</v>
      </c>
      <c r="F2172" s="559">
        <v>302832</v>
      </c>
      <c r="G2172" s="558" t="s">
        <v>2309</v>
      </c>
      <c r="H2172" s="564">
        <v>40015</v>
      </c>
      <c r="I2172" s="563">
        <v>25.35</v>
      </c>
      <c r="J2172" s="563">
        <v>-25.35</v>
      </c>
      <c r="K2172" s="582">
        <f t="shared" si="99"/>
        <v>0</v>
      </c>
      <c r="L2172" s="563">
        <f t="shared" si="100"/>
        <v>0</v>
      </c>
      <c r="M2172" s="563">
        <f t="shared" si="101"/>
        <v>27.885000000000005</v>
      </c>
      <c r="N2172" s="580"/>
    </row>
    <row r="2173" spans="4:14" x14ac:dyDescent="0.25">
      <c r="D2173" s="559" t="s">
        <v>867</v>
      </c>
      <c r="E2173" s="558">
        <v>312805</v>
      </c>
      <c r="F2173" s="559">
        <v>302833</v>
      </c>
      <c r="G2173" s="558" t="s">
        <v>2310</v>
      </c>
      <c r="H2173" s="564">
        <v>40015</v>
      </c>
      <c r="I2173" s="563">
        <v>532.35</v>
      </c>
      <c r="J2173" s="563">
        <v>-532.35</v>
      </c>
      <c r="K2173" s="582">
        <f t="shared" si="99"/>
        <v>0</v>
      </c>
      <c r="L2173" s="563">
        <f t="shared" si="100"/>
        <v>0</v>
      </c>
      <c r="M2173" s="563">
        <f t="shared" si="101"/>
        <v>585.58500000000004</v>
      </c>
      <c r="N2173" s="580"/>
    </row>
    <row r="2174" spans="4:14" x14ac:dyDescent="0.25">
      <c r="D2174" s="559" t="s">
        <v>867</v>
      </c>
      <c r="E2174" s="558">
        <v>312806</v>
      </c>
      <c r="F2174" s="559">
        <v>302834</v>
      </c>
      <c r="G2174" s="558" t="s">
        <v>2310</v>
      </c>
      <c r="H2174" s="564">
        <v>40015</v>
      </c>
      <c r="I2174" s="563">
        <v>25.35</v>
      </c>
      <c r="J2174" s="563">
        <v>-25.35</v>
      </c>
      <c r="K2174" s="582">
        <f t="shared" si="99"/>
        <v>0</v>
      </c>
      <c r="L2174" s="563">
        <f t="shared" si="100"/>
        <v>0</v>
      </c>
      <c r="M2174" s="563">
        <f t="shared" si="101"/>
        <v>27.885000000000005</v>
      </c>
      <c r="N2174" s="580"/>
    </row>
    <row r="2175" spans="4:14" x14ac:dyDescent="0.25">
      <c r="D2175" s="559" t="s">
        <v>867</v>
      </c>
      <c r="E2175" s="558">
        <v>312807</v>
      </c>
      <c r="F2175" s="559">
        <v>302835</v>
      </c>
      <c r="G2175" s="558" t="s">
        <v>2310</v>
      </c>
      <c r="H2175" s="564">
        <v>40015</v>
      </c>
      <c r="I2175" s="563">
        <v>25.35</v>
      </c>
      <c r="J2175" s="563">
        <v>-25.35</v>
      </c>
      <c r="K2175" s="582">
        <f t="shared" si="99"/>
        <v>0</v>
      </c>
      <c r="L2175" s="563">
        <f t="shared" si="100"/>
        <v>0</v>
      </c>
      <c r="M2175" s="563">
        <f t="shared" si="101"/>
        <v>27.885000000000005</v>
      </c>
      <c r="N2175" s="580"/>
    </row>
    <row r="2176" spans="4:14" x14ac:dyDescent="0.25">
      <c r="D2176" s="559" t="s">
        <v>867</v>
      </c>
      <c r="E2176" s="558">
        <v>312808</v>
      </c>
      <c r="F2176" s="559">
        <v>302836</v>
      </c>
      <c r="G2176" s="558" t="s">
        <v>2310</v>
      </c>
      <c r="H2176" s="564">
        <v>40015</v>
      </c>
      <c r="I2176" s="563">
        <v>25.35</v>
      </c>
      <c r="J2176" s="563">
        <v>-25.35</v>
      </c>
      <c r="K2176" s="582">
        <f t="shared" si="99"/>
        <v>0</v>
      </c>
      <c r="L2176" s="563">
        <f t="shared" si="100"/>
        <v>0</v>
      </c>
      <c r="M2176" s="563">
        <f t="shared" si="101"/>
        <v>27.885000000000005</v>
      </c>
      <c r="N2176" s="580"/>
    </row>
    <row r="2177" spans="4:14" x14ac:dyDescent="0.25">
      <c r="D2177" s="559" t="s">
        <v>867</v>
      </c>
      <c r="E2177" s="558">
        <v>312809</v>
      </c>
      <c r="F2177" s="559">
        <v>302837</v>
      </c>
      <c r="G2177" s="558" t="s">
        <v>2310</v>
      </c>
      <c r="H2177" s="564">
        <v>40015</v>
      </c>
      <c r="I2177" s="563">
        <v>64.349999999999994</v>
      </c>
      <c r="J2177" s="563">
        <v>-64.349999999999994</v>
      </c>
      <c r="K2177" s="582">
        <f t="shared" si="99"/>
        <v>0</v>
      </c>
      <c r="L2177" s="563">
        <f t="shared" si="100"/>
        <v>0</v>
      </c>
      <c r="M2177" s="563">
        <f t="shared" si="101"/>
        <v>70.784999999999997</v>
      </c>
      <c r="N2177" s="580"/>
    </row>
    <row r="2178" spans="4:14" x14ac:dyDescent="0.25">
      <c r="D2178" s="559" t="s">
        <v>867</v>
      </c>
      <c r="E2178" s="558">
        <v>312810</v>
      </c>
      <c r="F2178" s="559">
        <v>302838</v>
      </c>
      <c r="G2178" s="558" t="s">
        <v>2311</v>
      </c>
      <c r="H2178" s="564">
        <v>40015</v>
      </c>
      <c r="I2178" s="563">
        <v>64.349999999999994</v>
      </c>
      <c r="J2178" s="563">
        <v>-64.349999999999994</v>
      </c>
      <c r="K2178" s="582">
        <f t="shared" si="99"/>
        <v>0</v>
      </c>
      <c r="L2178" s="563">
        <f t="shared" si="100"/>
        <v>0</v>
      </c>
      <c r="M2178" s="563">
        <f t="shared" si="101"/>
        <v>70.784999999999997</v>
      </c>
      <c r="N2178" s="580"/>
    </row>
    <row r="2179" spans="4:14" x14ac:dyDescent="0.25">
      <c r="D2179" s="559" t="s">
        <v>867</v>
      </c>
      <c r="E2179" s="558">
        <v>312811</v>
      </c>
      <c r="F2179" s="559">
        <v>302839</v>
      </c>
      <c r="G2179" s="558" t="s">
        <v>2311</v>
      </c>
      <c r="H2179" s="564">
        <v>40015</v>
      </c>
      <c r="I2179" s="563">
        <v>64.349999999999994</v>
      </c>
      <c r="J2179" s="563">
        <v>-64.349999999999994</v>
      </c>
      <c r="K2179" s="582">
        <f t="shared" si="99"/>
        <v>0</v>
      </c>
      <c r="L2179" s="563">
        <f t="shared" si="100"/>
        <v>0</v>
      </c>
      <c r="M2179" s="563">
        <f t="shared" si="101"/>
        <v>70.784999999999997</v>
      </c>
      <c r="N2179" s="580"/>
    </row>
    <row r="2180" spans="4:14" x14ac:dyDescent="0.25">
      <c r="D2180" s="559" t="s">
        <v>867</v>
      </c>
      <c r="E2180" s="558">
        <v>312812</v>
      </c>
      <c r="F2180" s="559">
        <v>302840</v>
      </c>
      <c r="G2180" s="558" t="s">
        <v>2311</v>
      </c>
      <c r="H2180" s="564">
        <v>40015</v>
      </c>
      <c r="I2180" s="563">
        <v>25.35</v>
      </c>
      <c r="J2180" s="563">
        <v>-25.35</v>
      </c>
      <c r="K2180" s="582">
        <f t="shared" si="99"/>
        <v>0</v>
      </c>
      <c r="L2180" s="563">
        <f t="shared" si="100"/>
        <v>0</v>
      </c>
      <c r="M2180" s="563">
        <f t="shared" si="101"/>
        <v>27.885000000000005</v>
      </c>
      <c r="N2180" s="580"/>
    </row>
    <row r="2181" spans="4:14" x14ac:dyDescent="0.25">
      <c r="D2181" s="559" t="s">
        <v>867</v>
      </c>
      <c r="E2181" s="558">
        <v>312813</v>
      </c>
      <c r="F2181" s="559">
        <v>302841</v>
      </c>
      <c r="G2181" s="558" t="s">
        <v>2311</v>
      </c>
      <c r="H2181" s="564">
        <v>40015</v>
      </c>
      <c r="I2181" s="563">
        <v>727.35</v>
      </c>
      <c r="J2181" s="563">
        <v>-585</v>
      </c>
      <c r="K2181" s="582">
        <f t="shared" si="99"/>
        <v>142.35000000000002</v>
      </c>
      <c r="L2181" s="563">
        <f t="shared" si="100"/>
        <v>156.58500000000004</v>
      </c>
      <c r="M2181" s="563">
        <f t="shared" si="101"/>
        <v>800.08500000000004</v>
      </c>
      <c r="N2181" s="580"/>
    </row>
    <row r="2182" spans="4:14" x14ac:dyDescent="0.25">
      <c r="D2182" s="559" t="s">
        <v>867</v>
      </c>
      <c r="E2182" s="558">
        <v>312814</v>
      </c>
      <c r="F2182" s="559">
        <v>302842</v>
      </c>
      <c r="G2182" s="558" t="s">
        <v>2311</v>
      </c>
      <c r="H2182" s="564">
        <v>40015</v>
      </c>
      <c r="I2182" s="563">
        <v>64.349999999999994</v>
      </c>
      <c r="J2182" s="563">
        <v>-64.349999999999994</v>
      </c>
      <c r="K2182" s="582">
        <f t="shared" si="99"/>
        <v>0</v>
      </c>
      <c r="L2182" s="563">
        <f t="shared" si="100"/>
        <v>0</v>
      </c>
      <c r="M2182" s="563">
        <f t="shared" si="101"/>
        <v>70.784999999999997</v>
      </c>
      <c r="N2182" s="580"/>
    </row>
    <row r="2183" spans="4:14" x14ac:dyDescent="0.25">
      <c r="D2183" s="559" t="s">
        <v>867</v>
      </c>
      <c r="E2183" s="558">
        <v>312815</v>
      </c>
      <c r="F2183" s="559">
        <v>302843</v>
      </c>
      <c r="G2183" s="558" t="s">
        <v>2312</v>
      </c>
      <c r="H2183" s="564">
        <v>40015</v>
      </c>
      <c r="I2183" s="563">
        <v>493.35</v>
      </c>
      <c r="J2183" s="563">
        <v>-493.35</v>
      </c>
      <c r="K2183" s="582">
        <f t="shared" si="99"/>
        <v>0</v>
      </c>
      <c r="L2183" s="563">
        <f t="shared" si="100"/>
        <v>0</v>
      </c>
      <c r="M2183" s="563">
        <f t="shared" si="101"/>
        <v>542.68500000000006</v>
      </c>
      <c r="N2183" s="580"/>
    </row>
    <row r="2184" spans="4:14" x14ac:dyDescent="0.25">
      <c r="D2184" s="559" t="s">
        <v>867</v>
      </c>
      <c r="E2184" s="558">
        <v>312816</v>
      </c>
      <c r="F2184" s="559">
        <v>302844</v>
      </c>
      <c r="G2184" s="558" t="s">
        <v>2312</v>
      </c>
      <c r="H2184" s="564">
        <v>40015</v>
      </c>
      <c r="I2184" s="563">
        <v>64.349999999999994</v>
      </c>
      <c r="J2184" s="563">
        <v>-64.349999999999994</v>
      </c>
      <c r="K2184" s="582">
        <f t="shared" si="99"/>
        <v>0</v>
      </c>
      <c r="L2184" s="563">
        <f t="shared" si="100"/>
        <v>0</v>
      </c>
      <c r="M2184" s="563">
        <f t="shared" si="101"/>
        <v>70.784999999999997</v>
      </c>
      <c r="N2184" s="580"/>
    </row>
    <row r="2185" spans="4:14" x14ac:dyDescent="0.25">
      <c r="D2185" s="559" t="s">
        <v>867</v>
      </c>
      <c r="E2185" s="558">
        <v>312817</v>
      </c>
      <c r="F2185" s="559">
        <v>302845</v>
      </c>
      <c r="G2185" s="558" t="s">
        <v>2312</v>
      </c>
      <c r="H2185" s="564">
        <v>40015</v>
      </c>
      <c r="I2185" s="563">
        <v>64.349999999999994</v>
      </c>
      <c r="J2185" s="563">
        <v>-64.349999999999994</v>
      </c>
      <c r="K2185" s="582">
        <f t="shared" si="99"/>
        <v>0</v>
      </c>
      <c r="L2185" s="563">
        <f t="shared" si="100"/>
        <v>0</v>
      </c>
      <c r="M2185" s="563">
        <f t="shared" si="101"/>
        <v>70.784999999999997</v>
      </c>
      <c r="N2185" s="580"/>
    </row>
    <row r="2186" spans="4:14" x14ac:dyDescent="0.25">
      <c r="D2186" s="559" t="s">
        <v>867</v>
      </c>
      <c r="E2186" s="558">
        <v>312818</v>
      </c>
      <c r="F2186" s="559">
        <v>302846</v>
      </c>
      <c r="G2186" s="558" t="s">
        <v>2312</v>
      </c>
      <c r="H2186" s="564">
        <v>40015</v>
      </c>
      <c r="I2186" s="563">
        <v>64.349999999999994</v>
      </c>
      <c r="J2186" s="563">
        <v>-64.349999999999994</v>
      </c>
      <c r="K2186" s="582">
        <f t="shared" si="99"/>
        <v>0</v>
      </c>
      <c r="L2186" s="563">
        <f t="shared" si="100"/>
        <v>0</v>
      </c>
      <c r="M2186" s="563">
        <f t="shared" si="101"/>
        <v>70.784999999999997</v>
      </c>
      <c r="N2186" s="580"/>
    </row>
    <row r="2187" spans="4:14" x14ac:dyDescent="0.25">
      <c r="D2187" s="559" t="s">
        <v>867</v>
      </c>
      <c r="E2187" s="558">
        <v>312819</v>
      </c>
      <c r="F2187" s="559">
        <v>302847</v>
      </c>
      <c r="G2187" s="558" t="s">
        <v>2312</v>
      </c>
      <c r="H2187" s="564">
        <v>40015</v>
      </c>
      <c r="I2187" s="563">
        <v>64.349999999999994</v>
      </c>
      <c r="J2187" s="563">
        <v>-64.349999999999994</v>
      </c>
      <c r="K2187" s="582">
        <f t="shared" si="99"/>
        <v>0</v>
      </c>
      <c r="L2187" s="563">
        <f t="shared" si="100"/>
        <v>0</v>
      </c>
      <c r="M2187" s="563">
        <f t="shared" si="101"/>
        <v>70.784999999999997</v>
      </c>
      <c r="N2187" s="580"/>
    </row>
    <row r="2188" spans="4:14" x14ac:dyDescent="0.25">
      <c r="D2188" s="559" t="s">
        <v>867</v>
      </c>
      <c r="E2188" s="558">
        <v>312820</v>
      </c>
      <c r="F2188" s="559">
        <v>302848</v>
      </c>
      <c r="G2188" s="558" t="s">
        <v>2313</v>
      </c>
      <c r="H2188" s="564">
        <v>40015</v>
      </c>
      <c r="I2188" s="563">
        <v>64.349999999999994</v>
      </c>
      <c r="J2188" s="563">
        <v>-64.349999999999994</v>
      </c>
      <c r="K2188" s="582">
        <f t="shared" si="99"/>
        <v>0</v>
      </c>
      <c r="L2188" s="563">
        <f t="shared" si="100"/>
        <v>0</v>
      </c>
      <c r="M2188" s="563">
        <f t="shared" si="101"/>
        <v>70.784999999999997</v>
      </c>
      <c r="N2188" s="580"/>
    </row>
    <row r="2189" spans="4:14" x14ac:dyDescent="0.25">
      <c r="D2189" s="559" t="s">
        <v>867</v>
      </c>
      <c r="E2189" s="558">
        <v>312821</v>
      </c>
      <c r="F2189" s="559">
        <v>302849</v>
      </c>
      <c r="G2189" s="558" t="s">
        <v>2313</v>
      </c>
      <c r="H2189" s="564">
        <v>40015</v>
      </c>
      <c r="I2189" s="563">
        <v>64.349999999999994</v>
      </c>
      <c r="J2189" s="563">
        <v>-64.349999999999994</v>
      </c>
      <c r="K2189" s="582">
        <f t="shared" si="99"/>
        <v>0</v>
      </c>
      <c r="L2189" s="563">
        <f t="shared" si="100"/>
        <v>0</v>
      </c>
      <c r="M2189" s="563">
        <f t="shared" si="101"/>
        <v>70.784999999999997</v>
      </c>
      <c r="N2189" s="580"/>
    </row>
    <row r="2190" spans="4:14" x14ac:dyDescent="0.25">
      <c r="D2190" s="559" t="s">
        <v>867</v>
      </c>
      <c r="E2190" s="558">
        <v>312822</v>
      </c>
      <c r="F2190" s="559">
        <v>302850</v>
      </c>
      <c r="G2190" s="558" t="s">
        <v>2313</v>
      </c>
      <c r="H2190" s="564">
        <v>40015</v>
      </c>
      <c r="I2190" s="563">
        <v>64.349999999999994</v>
      </c>
      <c r="J2190" s="563">
        <v>-64.349999999999994</v>
      </c>
      <c r="K2190" s="582">
        <f t="shared" si="99"/>
        <v>0</v>
      </c>
      <c r="L2190" s="563">
        <f t="shared" si="100"/>
        <v>0</v>
      </c>
      <c r="M2190" s="563">
        <f t="shared" si="101"/>
        <v>70.784999999999997</v>
      </c>
      <c r="N2190" s="580"/>
    </row>
    <row r="2191" spans="4:14" x14ac:dyDescent="0.25">
      <c r="D2191" s="559" t="s">
        <v>867</v>
      </c>
      <c r="E2191" s="558">
        <v>312823</v>
      </c>
      <c r="F2191" s="559">
        <v>302851</v>
      </c>
      <c r="G2191" s="558" t="s">
        <v>2313</v>
      </c>
      <c r="H2191" s="564">
        <v>40015</v>
      </c>
      <c r="I2191" s="563">
        <v>64.349999999999994</v>
      </c>
      <c r="J2191" s="563">
        <v>-64.349999999999994</v>
      </c>
      <c r="K2191" s="582">
        <f t="shared" si="99"/>
        <v>0</v>
      </c>
      <c r="L2191" s="563">
        <f t="shared" si="100"/>
        <v>0</v>
      </c>
      <c r="M2191" s="563">
        <f t="shared" si="101"/>
        <v>70.784999999999997</v>
      </c>
      <c r="N2191" s="580"/>
    </row>
    <row r="2192" spans="4:14" x14ac:dyDescent="0.25">
      <c r="D2192" s="559" t="s">
        <v>867</v>
      </c>
      <c r="E2192" s="558">
        <v>312824</v>
      </c>
      <c r="F2192" s="559">
        <v>302852</v>
      </c>
      <c r="G2192" s="558" t="s">
        <v>2313</v>
      </c>
      <c r="H2192" s="564">
        <v>40015</v>
      </c>
      <c r="I2192" s="563">
        <v>64.349999999999994</v>
      </c>
      <c r="J2192" s="563">
        <v>-64.349999999999994</v>
      </c>
      <c r="K2192" s="582">
        <f t="shared" si="99"/>
        <v>0</v>
      </c>
      <c r="L2192" s="563">
        <f t="shared" si="100"/>
        <v>0</v>
      </c>
      <c r="M2192" s="563">
        <f t="shared" si="101"/>
        <v>70.784999999999997</v>
      </c>
      <c r="N2192" s="580"/>
    </row>
    <row r="2193" spans="4:14" x14ac:dyDescent="0.25">
      <c r="D2193" s="559" t="s">
        <v>867</v>
      </c>
      <c r="E2193" s="558">
        <v>312825</v>
      </c>
      <c r="F2193" s="559">
        <v>302853</v>
      </c>
      <c r="G2193" s="558" t="s">
        <v>2314</v>
      </c>
      <c r="H2193" s="564">
        <v>40015</v>
      </c>
      <c r="I2193" s="563">
        <v>64.349999999999994</v>
      </c>
      <c r="J2193" s="563">
        <v>-64.349999999999994</v>
      </c>
      <c r="K2193" s="582">
        <f t="shared" si="99"/>
        <v>0</v>
      </c>
      <c r="L2193" s="563">
        <f t="shared" si="100"/>
        <v>0</v>
      </c>
      <c r="M2193" s="563">
        <f t="shared" si="101"/>
        <v>70.784999999999997</v>
      </c>
      <c r="N2193" s="580"/>
    </row>
    <row r="2194" spans="4:14" x14ac:dyDescent="0.25">
      <c r="D2194" s="559" t="s">
        <v>867</v>
      </c>
      <c r="E2194" s="558">
        <v>312826</v>
      </c>
      <c r="F2194" s="559">
        <v>302854</v>
      </c>
      <c r="G2194" s="558" t="s">
        <v>2314</v>
      </c>
      <c r="H2194" s="564">
        <v>40015</v>
      </c>
      <c r="I2194" s="563">
        <v>493.35</v>
      </c>
      <c r="J2194" s="563">
        <v>-493.35</v>
      </c>
      <c r="K2194" s="582">
        <f t="shared" si="99"/>
        <v>0</v>
      </c>
      <c r="L2194" s="563">
        <f t="shared" si="100"/>
        <v>0</v>
      </c>
      <c r="M2194" s="563">
        <f t="shared" si="101"/>
        <v>542.68500000000006</v>
      </c>
      <c r="N2194" s="580"/>
    </row>
    <row r="2195" spans="4:14" x14ac:dyDescent="0.25">
      <c r="D2195" s="559" t="s">
        <v>867</v>
      </c>
      <c r="E2195" s="558">
        <v>312827</v>
      </c>
      <c r="F2195" s="559">
        <v>302855</v>
      </c>
      <c r="G2195" s="558" t="s">
        <v>2314</v>
      </c>
      <c r="H2195" s="564">
        <v>40015</v>
      </c>
      <c r="I2195" s="563">
        <v>25.35</v>
      </c>
      <c r="J2195" s="563">
        <v>-25.35</v>
      </c>
      <c r="K2195" s="582">
        <f t="shared" si="99"/>
        <v>0</v>
      </c>
      <c r="L2195" s="563">
        <f t="shared" si="100"/>
        <v>0</v>
      </c>
      <c r="M2195" s="563">
        <f t="shared" si="101"/>
        <v>27.885000000000005</v>
      </c>
      <c r="N2195" s="580"/>
    </row>
    <row r="2196" spans="4:14" x14ac:dyDescent="0.25">
      <c r="D2196" s="559" t="s">
        <v>867</v>
      </c>
      <c r="E2196" s="558">
        <v>312828</v>
      </c>
      <c r="F2196" s="559">
        <v>302755</v>
      </c>
      <c r="G2196" s="558" t="s">
        <v>2314</v>
      </c>
      <c r="H2196" s="564">
        <v>40015</v>
      </c>
      <c r="I2196" s="563">
        <v>64.349999999999994</v>
      </c>
      <c r="J2196" s="563">
        <v>-64.349999999999994</v>
      </c>
      <c r="K2196" s="582">
        <f t="shared" si="99"/>
        <v>0</v>
      </c>
      <c r="L2196" s="563">
        <f t="shared" si="100"/>
        <v>0</v>
      </c>
      <c r="M2196" s="563">
        <f t="shared" si="101"/>
        <v>70.784999999999997</v>
      </c>
      <c r="N2196" s="580"/>
    </row>
    <row r="2197" spans="4:14" x14ac:dyDescent="0.25">
      <c r="D2197" s="559" t="s">
        <v>867</v>
      </c>
      <c r="E2197" s="558">
        <v>312829</v>
      </c>
      <c r="F2197" s="559">
        <v>302856</v>
      </c>
      <c r="G2197" s="558" t="s">
        <v>2314</v>
      </c>
      <c r="H2197" s="564">
        <v>40015</v>
      </c>
      <c r="I2197" s="563">
        <v>64.349999999999994</v>
      </c>
      <c r="J2197" s="563">
        <v>-64.349999999999994</v>
      </c>
      <c r="K2197" s="582">
        <f t="shared" si="99"/>
        <v>0</v>
      </c>
      <c r="L2197" s="563">
        <f t="shared" si="100"/>
        <v>0</v>
      </c>
      <c r="M2197" s="563">
        <f t="shared" si="101"/>
        <v>70.784999999999997</v>
      </c>
      <c r="N2197" s="580"/>
    </row>
    <row r="2198" spans="4:14" x14ac:dyDescent="0.25">
      <c r="D2198" s="559" t="s">
        <v>867</v>
      </c>
      <c r="E2198" s="558">
        <v>312830</v>
      </c>
      <c r="F2198" s="559">
        <v>302857</v>
      </c>
      <c r="G2198" s="558" t="s">
        <v>2315</v>
      </c>
      <c r="H2198" s="564">
        <v>40015</v>
      </c>
      <c r="I2198" s="563">
        <v>649.35</v>
      </c>
      <c r="J2198" s="563">
        <v>-585</v>
      </c>
      <c r="K2198" s="582">
        <f t="shared" si="99"/>
        <v>64.350000000000023</v>
      </c>
      <c r="L2198" s="563">
        <f t="shared" si="100"/>
        <v>70.785000000000025</v>
      </c>
      <c r="M2198" s="563">
        <f t="shared" si="101"/>
        <v>714.28500000000008</v>
      </c>
      <c r="N2198" s="580"/>
    </row>
    <row r="2199" spans="4:14" x14ac:dyDescent="0.25">
      <c r="D2199" s="559" t="s">
        <v>867</v>
      </c>
      <c r="E2199" s="558">
        <v>312831</v>
      </c>
      <c r="F2199" s="559">
        <v>302858</v>
      </c>
      <c r="G2199" s="558" t="s">
        <v>2315</v>
      </c>
      <c r="H2199" s="564">
        <v>40015</v>
      </c>
      <c r="I2199" s="563">
        <v>64.349999999999994</v>
      </c>
      <c r="J2199" s="563">
        <v>-64.349999999999994</v>
      </c>
      <c r="K2199" s="582">
        <f t="shared" si="99"/>
        <v>0</v>
      </c>
      <c r="L2199" s="563">
        <f t="shared" si="100"/>
        <v>0</v>
      </c>
      <c r="M2199" s="563">
        <f t="shared" si="101"/>
        <v>70.784999999999997</v>
      </c>
      <c r="N2199" s="580"/>
    </row>
    <row r="2200" spans="4:14" x14ac:dyDescent="0.25">
      <c r="D2200" s="559" t="s">
        <v>867</v>
      </c>
      <c r="E2200" s="558">
        <v>312832</v>
      </c>
      <c r="F2200" s="559">
        <v>302859</v>
      </c>
      <c r="G2200" s="558" t="s">
        <v>2315</v>
      </c>
      <c r="H2200" s="564">
        <v>40015</v>
      </c>
      <c r="I2200" s="563">
        <v>64.349999999999994</v>
      </c>
      <c r="J2200" s="563">
        <v>-64.349999999999994</v>
      </c>
      <c r="K2200" s="582">
        <f t="shared" si="99"/>
        <v>0</v>
      </c>
      <c r="L2200" s="563">
        <f t="shared" si="100"/>
        <v>0</v>
      </c>
      <c r="M2200" s="563">
        <f t="shared" si="101"/>
        <v>70.784999999999997</v>
      </c>
      <c r="N2200" s="580"/>
    </row>
    <row r="2201" spans="4:14" x14ac:dyDescent="0.25">
      <c r="D2201" s="559" t="s">
        <v>867</v>
      </c>
      <c r="E2201" s="558">
        <v>312833</v>
      </c>
      <c r="F2201" s="559">
        <v>303448</v>
      </c>
      <c r="G2201" s="558" t="s">
        <v>2315</v>
      </c>
      <c r="H2201" s="564">
        <v>40015</v>
      </c>
      <c r="I2201" s="563">
        <v>64.349999999999994</v>
      </c>
      <c r="J2201" s="563">
        <v>-64.349999999999994</v>
      </c>
      <c r="K2201" s="582">
        <f t="shared" si="99"/>
        <v>0</v>
      </c>
      <c r="L2201" s="563">
        <f t="shared" si="100"/>
        <v>0</v>
      </c>
      <c r="M2201" s="563">
        <f t="shared" si="101"/>
        <v>70.784999999999997</v>
      </c>
      <c r="N2201" s="580"/>
    </row>
    <row r="2202" spans="4:14" x14ac:dyDescent="0.25">
      <c r="D2202" s="559" t="s">
        <v>867</v>
      </c>
      <c r="E2202" s="558">
        <v>312834</v>
      </c>
      <c r="F2202" s="559">
        <v>303448</v>
      </c>
      <c r="G2202" s="558" t="s">
        <v>2315</v>
      </c>
      <c r="H2202" s="564">
        <v>40015</v>
      </c>
      <c r="I2202" s="563">
        <v>64.349999999999994</v>
      </c>
      <c r="J2202" s="563">
        <v>-64.349999999999994</v>
      </c>
      <c r="K2202" s="582">
        <f t="shared" si="99"/>
        <v>0</v>
      </c>
      <c r="L2202" s="563">
        <f t="shared" si="100"/>
        <v>0</v>
      </c>
      <c r="M2202" s="563">
        <f t="shared" si="101"/>
        <v>70.784999999999997</v>
      </c>
      <c r="N2202" s="580"/>
    </row>
    <row r="2203" spans="4:14" x14ac:dyDescent="0.25">
      <c r="D2203" s="559" t="s">
        <v>867</v>
      </c>
      <c r="E2203" s="558">
        <v>312835</v>
      </c>
      <c r="F2203" s="559">
        <v>302862</v>
      </c>
      <c r="G2203" s="558" t="s">
        <v>2316</v>
      </c>
      <c r="H2203" s="564">
        <v>40015</v>
      </c>
      <c r="I2203" s="563">
        <v>25.35</v>
      </c>
      <c r="J2203" s="563">
        <v>-25.35</v>
      </c>
      <c r="K2203" s="582">
        <f t="shared" si="99"/>
        <v>0</v>
      </c>
      <c r="L2203" s="563">
        <f t="shared" si="100"/>
        <v>0</v>
      </c>
      <c r="M2203" s="563">
        <f t="shared" si="101"/>
        <v>27.885000000000005</v>
      </c>
      <c r="N2203" s="580"/>
    </row>
    <row r="2204" spans="4:14" x14ac:dyDescent="0.25">
      <c r="D2204" s="559" t="s">
        <v>867</v>
      </c>
      <c r="E2204" s="558">
        <v>312836</v>
      </c>
      <c r="F2204" s="559">
        <v>303442</v>
      </c>
      <c r="G2204" s="558" t="s">
        <v>2316</v>
      </c>
      <c r="H2204" s="564">
        <v>40015</v>
      </c>
      <c r="I2204" s="563">
        <v>649.35</v>
      </c>
      <c r="J2204" s="563">
        <v>-585</v>
      </c>
      <c r="K2204" s="582">
        <f t="shared" si="99"/>
        <v>64.350000000000023</v>
      </c>
      <c r="L2204" s="563">
        <f t="shared" si="100"/>
        <v>70.785000000000025</v>
      </c>
      <c r="M2204" s="563">
        <f t="shared" si="101"/>
        <v>714.28500000000008</v>
      </c>
      <c r="N2204" s="580"/>
    </row>
    <row r="2205" spans="4:14" x14ac:dyDescent="0.25">
      <c r="D2205" s="559" t="s">
        <v>867</v>
      </c>
      <c r="E2205" s="558">
        <v>312837</v>
      </c>
      <c r="F2205" s="559">
        <v>302864</v>
      </c>
      <c r="G2205" s="558" t="s">
        <v>2316</v>
      </c>
      <c r="H2205" s="564">
        <v>40015</v>
      </c>
      <c r="I2205" s="563">
        <v>64.349999999999994</v>
      </c>
      <c r="J2205" s="563">
        <v>-64.349999999999994</v>
      </c>
      <c r="K2205" s="582">
        <f t="shared" si="99"/>
        <v>0</v>
      </c>
      <c r="L2205" s="563">
        <f t="shared" si="100"/>
        <v>0</v>
      </c>
      <c r="M2205" s="563">
        <f t="shared" si="101"/>
        <v>70.784999999999997</v>
      </c>
      <c r="N2205" s="580"/>
    </row>
    <row r="2206" spans="4:14" x14ac:dyDescent="0.25">
      <c r="D2206" s="559" t="s">
        <v>867</v>
      </c>
      <c r="E2206" s="558">
        <v>312838</v>
      </c>
      <c r="F2206" s="559">
        <v>302865</v>
      </c>
      <c r="G2206" s="558" t="s">
        <v>2316</v>
      </c>
      <c r="H2206" s="564">
        <v>40015</v>
      </c>
      <c r="I2206" s="563">
        <v>64.349999999999994</v>
      </c>
      <c r="J2206" s="563">
        <v>-64.349999999999994</v>
      </c>
      <c r="K2206" s="582">
        <f t="shared" si="99"/>
        <v>0</v>
      </c>
      <c r="L2206" s="563">
        <f t="shared" si="100"/>
        <v>0</v>
      </c>
      <c r="M2206" s="563">
        <f t="shared" si="101"/>
        <v>70.784999999999997</v>
      </c>
      <c r="N2206" s="580"/>
    </row>
    <row r="2207" spans="4:14" x14ac:dyDescent="0.25">
      <c r="D2207" s="559" t="s">
        <v>867</v>
      </c>
      <c r="E2207" s="558">
        <v>312840</v>
      </c>
      <c r="F2207" s="559">
        <v>302866</v>
      </c>
      <c r="G2207" s="558" t="s">
        <v>2316</v>
      </c>
      <c r="H2207" s="564">
        <v>40015</v>
      </c>
      <c r="I2207" s="563">
        <v>64.349999999999994</v>
      </c>
      <c r="J2207" s="563">
        <v>-64.349999999999994</v>
      </c>
      <c r="K2207" s="582">
        <f t="shared" si="99"/>
        <v>0</v>
      </c>
      <c r="L2207" s="563">
        <f t="shared" si="100"/>
        <v>0</v>
      </c>
      <c r="M2207" s="563">
        <f t="shared" si="101"/>
        <v>70.784999999999997</v>
      </c>
      <c r="N2207" s="580"/>
    </row>
    <row r="2208" spans="4:14" x14ac:dyDescent="0.25">
      <c r="D2208" s="559" t="s">
        <v>867</v>
      </c>
      <c r="E2208" s="558">
        <v>312841</v>
      </c>
      <c r="F2208" s="559">
        <v>302867</v>
      </c>
      <c r="G2208" s="558" t="s">
        <v>2317</v>
      </c>
      <c r="H2208" s="564">
        <v>40015</v>
      </c>
      <c r="I2208" s="563">
        <v>64.349999999999994</v>
      </c>
      <c r="J2208" s="563">
        <v>-64.349999999999994</v>
      </c>
      <c r="K2208" s="582">
        <f t="shared" si="99"/>
        <v>0</v>
      </c>
      <c r="L2208" s="563">
        <f t="shared" si="100"/>
        <v>0</v>
      </c>
      <c r="M2208" s="563">
        <f t="shared" si="101"/>
        <v>70.784999999999997</v>
      </c>
      <c r="N2208" s="580"/>
    </row>
    <row r="2209" spans="4:14" x14ac:dyDescent="0.25">
      <c r="D2209" s="559" t="s">
        <v>867</v>
      </c>
      <c r="E2209" s="558">
        <v>312842</v>
      </c>
      <c r="F2209" s="559">
        <v>302868</v>
      </c>
      <c r="G2209" s="558" t="s">
        <v>2317</v>
      </c>
      <c r="H2209" s="564">
        <v>40015</v>
      </c>
      <c r="I2209" s="563">
        <v>64.349999999999994</v>
      </c>
      <c r="J2209" s="563">
        <v>-64.349999999999994</v>
      </c>
      <c r="K2209" s="582">
        <f t="shared" si="99"/>
        <v>0</v>
      </c>
      <c r="L2209" s="563">
        <f t="shared" si="100"/>
        <v>0</v>
      </c>
      <c r="M2209" s="563">
        <f t="shared" si="101"/>
        <v>70.784999999999997</v>
      </c>
      <c r="N2209" s="580"/>
    </row>
    <row r="2210" spans="4:14" x14ac:dyDescent="0.25">
      <c r="D2210" s="559" t="s">
        <v>867</v>
      </c>
      <c r="E2210" s="558">
        <v>312843</v>
      </c>
      <c r="F2210" s="559">
        <v>302869</v>
      </c>
      <c r="G2210" s="558" t="s">
        <v>2317</v>
      </c>
      <c r="H2210" s="564">
        <v>40015</v>
      </c>
      <c r="I2210" s="563">
        <v>64.349999999999994</v>
      </c>
      <c r="J2210" s="563">
        <v>-64.349999999999994</v>
      </c>
      <c r="K2210" s="582">
        <f t="shared" si="99"/>
        <v>0</v>
      </c>
      <c r="L2210" s="563">
        <f t="shared" si="100"/>
        <v>0</v>
      </c>
      <c r="M2210" s="563">
        <f t="shared" si="101"/>
        <v>70.784999999999997</v>
      </c>
      <c r="N2210" s="580"/>
    </row>
    <row r="2211" spans="4:14" x14ac:dyDescent="0.25">
      <c r="D2211" s="559" t="s">
        <v>867</v>
      </c>
      <c r="E2211" s="558">
        <v>312844</v>
      </c>
      <c r="F2211" s="559">
        <v>302870</v>
      </c>
      <c r="G2211" s="558" t="s">
        <v>2317</v>
      </c>
      <c r="H2211" s="564">
        <v>40015</v>
      </c>
      <c r="I2211" s="563">
        <v>376.35</v>
      </c>
      <c r="J2211" s="563">
        <v>-376.35</v>
      </c>
      <c r="K2211" s="582">
        <f t="shared" si="99"/>
        <v>0</v>
      </c>
      <c r="L2211" s="563">
        <f t="shared" si="100"/>
        <v>0</v>
      </c>
      <c r="M2211" s="563">
        <f t="shared" si="101"/>
        <v>413.98500000000007</v>
      </c>
      <c r="N2211" s="580"/>
    </row>
    <row r="2212" spans="4:14" x14ac:dyDescent="0.25">
      <c r="D2212" s="559" t="s">
        <v>867</v>
      </c>
      <c r="E2212" s="558">
        <v>312845</v>
      </c>
      <c r="F2212" s="559">
        <v>302871</v>
      </c>
      <c r="G2212" s="558" t="s">
        <v>2317</v>
      </c>
      <c r="H2212" s="564">
        <v>40015</v>
      </c>
      <c r="I2212" s="563">
        <v>649.35</v>
      </c>
      <c r="J2212" s="563">
        <v>-585</v>
      </c>
      <c r="K2212" s="582">
        <f t="shared" si="99"/>
        <v>64.350000000000023</v>
      </c>
      <c r="L2212" s="563">
        <f t="shared" si="100"/>
        <v>70.785000000000025</v>
      </c>
      <c r="M2212" s="563">
        <f t="shared" si="101"/>
        <v>714.28500000000008</v>
      </c>
      <c r="N2212" s="580"/>
    </row>
    <row r="2213" spans="4:14" x14ac:dyDescent="0.25">
      <c r="D2213" s="559" t="s">
        <v>867</v>
      </c>
      <c r="E2213" s="558">
        <v>312846</v>
      </c>
      <c r="F2213" s="559">
        <v>302872</v>
      </c>
      <c r="G2213" s="558" t="s">
        <v>2318</v>
      </c>
      <c r="H2213" s="564">
        <v>40015</v>
      </c>
      <c r="I2213" s="563">
        <v>64.349999999999994</v>
      </c>
      <c r="J2213" s="563">
        <v>-64.349999999999994</v>
      </c>
      <c r="K2213" s="582">
        <f t="shared" si="99"/>
        <v>0</v>
      </c>
      <c r="L2213" s="563">
        <f t="shared" si="100"/>
        <v>0</v>
      </c>
      <c r="M2213" s="563">
        <f t="shared" si="101"/>
        <v>70.784999999999997</v>
      </c>
      <c r="N2213" s="580"/>
    </row>
    <row r="2214" spans="4:14" x14ac:dyDescent="0.25">
      <c r="D2214" s="559" t="s">
        <v>867</v>
      </c>
      <c r="E2214" s="558">
        <v>312847</v>
      </c>
      <c r="F2214" s="559">
        <v>302873</v>
      </c>
      <c r="G2214" s="558" t="s">
        <v>2318</v>
      </c>
      <c r="H2214" s="564">
        <v>40015</v>
      </c>
      <c r="I2214" s="563">
        <v>727.35</v>
      </c>
      <c r="J2214" s="563">
        <v>-585</v>
      </c>
      <c r="K2214" s="582">
        <f t="shared" si="99"/>
        <v>142.35000000000002</v>
      </c>
      <c r="L2214" s="563">
        <f t="shared" si="100"/>
        <v>156.58500000000004</v>
      </c>
      <c r="M2214" s="563">
        <f t="shared" si="101"/>
        <v>800.08500000000004</v>
      </c>
      <c r="N2214" s="580"/>
    </row>
    <row r="2215" spans="4:14" x14ac:dyDescent="0.25">
      <c r="D2215" s="559" t="s">
        <v>867</v>
      </c>
      <c r="E2215" s="558">
        <v>312848</v>
      </c>
      <c r="F2215" s="559">
        <v>302874</v>
      </c>
      <c r="G2215" s="558" t="s">
        <v>2318</v>
      </c>
      <c r="H2215" s="564">
        <v>40015</v>
      </c>
      <c r="I2215" s="563">
        <v>64.349999999999994</v>
      </c>
      <c r="J2215" s="563">
        <v>-64.349999999999994</v>
      </c>
      <c r="K2215" s="582">
        <f t="shared" si="99"/>
        <v>0</v>
      </c>
      <c r="L2215" s="563">
        <f t="shared" si="100"/>
        <v>0</v>
      </c>
      <c r="M2215" s="563">
        <f t="shared" si="101"/>
        <v>70.784999999999997</v>
      </c>
      <c r="N2215" s="580"/>
    </row>
    <row r="2216" spans="4:14" x14ac:dyDescent="0.25">
      <c r="D2216" s="559" t="s">
        <v>867</v>
      </c>
      <c r="E2216" s="558">
        <v>312849</v>
      </c>
      <c r="F2216" s="559">
        <v>302875</v>
      </c>
      <c r="G2216" s="558" t="s">
        <v>2318</v>
      </c>
      <c r="H2216" s="564">
        <v>40015</v>
      </c>
      <c r="I2216" s="563">
        <v>2574</v>
      </c>
      <c r="J2216" s="563">
        <v>-585</v>
      </c>
      <c r="K2216" s="582">
        <f t="shared" si="99"/>
        <v>1989</v>
      </c>
      <c r="L2216" s="563">
        <f t="shared" si="100"/>
        <v>2187.9</v>
      </c>
      <c r="M2216" s="563">
        <f t="shared" si="101"/>
        <v>2831.4</v>
      </c>
      <c r="N2216" s="580"/>
    </row>
    <row r="2217" spans="4:14" x14ac:dyDescent="0.25">
      <c r="D2217" s="559" t="s">
        <v>867</v>
      </c>
      <c r="E2217" s="558">
        <v>312851</v>
      </c>
      <c r="F2217" s="559">
        <v>302876</v>
      </c>
      <c r="G2217" s="558" t="s">
        <v>2318</v>
      </c>
      <c r="H2217" s="564">
        <v>40015</v>
      </c>
      <c r="I2217" s="563">
        <v>64.349999999999994</v>
      </c>
      <c r="J2217" s="563">
        <v>-64.349999999999994</v>
      </c>
      <c r="K2217" s="582">
        <f t="shared" ref="K2217:K2280" si="102">+I2217+J2217</f>
        <v>0</v>
      </c>
      <c r="L2217" s="563">
        <f t="shared" ref="L2217:L2280" si="103">+K2217*1.1</f>
        <v>0</v>
      </c>
      <c r="M2217" s="563">
        <f t="shared" ref="M2217:M2280" si="104">+I2217*1.1</f>
        <v>70.784999999999997</v>
      </c>
      <c r="N2217" s="580"/>
    </row>
    <row r="2218" spans="4:14" x14ac:dyDescent="0.25">
      <c r="D2218" s="559" t="s">
        <v>867</v>
      </c>
      <c r="E2218" s="558">
        <v>312852</v>
      </c>
      <c r="F2218" s="559">
        <v>302877</v>
      </c>
      <c r="G2218" s="558" t="s">
        <v>2319</v>
      </c>
      <c r="H2218" s="564">
        <v>40015</v>
      </c>
      <c r="I2218" s="563">
        <v>64.349999999999994</v>
      </c>
      <c r="J2218" s="563">
        <v>-64.349999999999994</v>
      </c>
      <c r="K2218" s="582">
        <f t="shared" si="102"/>
        <v>0</v>
      </c>
      <c r="L2218" s="563">
        <f t="shared" si="103"/>
        <v>0</v>
      </c>
      <c r="M2218" s="563">
        <f t="shared" si="104"/>
        <v>70.784999999999997</v>
      </c>
      <c r="N2218" s="580"/>
    </row>
    <row r="2219" spans="4:14" x14ac:dyDescent="0.25">
      <c r="D2219" s="559" t="s">
        <v>867</v>
      </c>
      <c r="E2219" s="558">
        <v>312853</v>
      </c>
      <c r="F2219" s="559">
        <v>302878</v>
      </c>
      <c r="G2219" s="558" t="s">
        <v>2319</v>
      </c>
      <c r="H2219" s="564">
        <v>40015</v>
      </c>
      <c r="I2219" s="563">
        <v>64.349999999999994</v>
      </c>
      <c r="J2219" s="563">
        <v>-64.349999999999994</v>
      </c>
      <c r="K2219" s="582">
        <f t="shared" si="102"/>
        <v>0</v>
      </c>
      <c r="L2219" s="563">
        <f t="shared" si="103"/>
        <v>0</v>
      </c>
      <c r="M2219" s="563">
        <f t="shared" si="104"/>
        <v>70.784999999999997</v>
      </c>
      <c r="N2219" s="580"/>
    </row>
    <row r="2220" spans="4:14" x14ac:dyDescent="0.25">
      <c r="D2220" s="559" t="s">
        <v>867</v>
      </c>
      <c r="E2220" s="558">
        <v>312857</v>
      </c>
      <c r="F2220" s="559">
        <v>302879</v>
      </c>
      <c r="G2220" s="558" t="s">
        <v>2319</v>
      </c>
      <c r="H2220" s="564">
        <v>40015</v>
      </c>
      <c r="I2220" s="563">
        <v>64.349999999999994</v>
      </c>
      <c r="J2220" s="563">
        <v>-64.349999999999994</v>
      </c>
      <c r="K2220" s="582">
        <f t="shared" si="102"/>
        <v>0</v>
      </c>
      <c r="L2220" s="563">
        <f t="shared" si="103"/>
        <v>0</v>
      </c>
      <c r="M2220" s="563">
        <f t="shared" si="104"/>
        <v>70.784999999999997</v>
      </c>
      <c r="N2220" s="580"/>
    </row>
    <row r="2221" spans="4:14" x14ac:dyDescent="0.25">
      <c r="D2221" s="559" t="s">
        <v>867</v>
      </c>
      <c r="E2221" s="558">
        <v>312858</v>
      </c>
      <c r="F2221" s="559">
        <v>302880</v>
      </c>
      <c r="G2221" s="558" t="s">
        <v>2319</v>
      </c>
      <c r="H2221" s="564">
        <v>40015</v>
      </c>
      <c r="I2221" s="563">
        <v>64.349999999999994</v>
      </c>
      <c r="J2221" s="563">
        <v>-64.349999999999994</v>
      </c>
      <c r="K2221" s="582">
        <f t="shared" si="102"/>
        <v>0</v>
      </c>
      <c r="L2221" s="563">
        <f t="shared" si="103"/>
        <v>0</v>
      </c>
      <c r="M2221" s="563">
        <f t="shared" si="104"/>
        <v>70.784999999999997</v>
      </c>
      <c r="N2221" s="580"/>
    </row>
    <row r="2222" spans="4:14" x14ac:dyDescent="0.25">
      <c r="D2222" s="559" t="s">
        <v>867</v>
      </c>
      <c r="E2222" s="558">
        <v>312859</v>
      </c>
      <c r="F2222" s="559">
        <v>302881</v>
      </c>
      <c r="G2222" s="558" t="s">
        <v>2319</v>
      </c>
      <c r="H2222" s="564">
        <v>40015</v>
      </c>
      <c r="I2222" s="563">
        <v>64.349999999999994</v>
      </c>
      <c r="J2222" s="563">
        <v>-64.349999999999994</v>
      </c>
      <c r="K2222" s="582">
        <f t="shared" si="102"/>
        <v>0</v>
      </c>
      <c r="L2222" s="563">
        <f t="shared" si="103"/>
        <v>0</v>
      </c>
      <c r="M2222" s="563">
        <f t="shared" si="104"/>
        <v>70.784999999999997</v>
      </c>
      <c r="N2222" s="580"/>
    </row>
    <row r="2223" spans="4:14" x14ac:dyDescent="0.25">
      <c r="D2223" s="559" t="s">
        <v>867</v>
      </c>
      <c r="E2223" s="558">
        <v>312860</v>
      </c>
      <c r="F2223" s="559">
        <v>302882</v>
      </c>
      <c r="G2223" s="558" t="s">
        <v>2320</v>
      </c>
      <c r="H2223" s="564">
        <v>40015</v>
      </c>
      <c r="I2223" s="563">
        <v>64.349999999999994</v>
      </c>
      <c r="J2223" s="563">
        <v>-64.349999999999994</v>
      </c>
      <c r="K2223" s="582">
        <f t="shared" si="102"/>
        <v>0</v>
      </c>
      <c r="L2223" s="563">
        <f t="shared" si="103"/>
        <v>0</v>
      </c>
      <c r="M2223" s="563">
        <f t="shared" si="104"/>
        <v>70.784999999999997</v>
      </c>
      <c r="N2223" s="580"/>
    </row>
    <row r="2224" spans="4:14" x14ac:dyDescent="0.25">
      <c r="D2224" s="559" t="s">
        <v>867</v>
      </c>
      <c r="E2224" s="558">
        <v>312861</v>
      </c>
      <c r="F2224" s="559">
        <v>302883</v>
      </c>
      <c r="G2224" s="558" t="s">
        <v>2320</v>
      </c>
      <c r="H2224" s="564">
        <v>40015</v>
      </c>
      <c r="I2224" s="563">
        <v>64.349999999999994</v>
      </c>
      <c r="J2224" s="563">
        <v>-64.349999999999994</v>
      </c>
      <c r="K2224" s="582">
        <f t="shared" si="102"/>
        <v>0</v>
      </c>
      <c r="L2224" s="563">
        <f t="shared" si="103"/>
        <v>0</v>
      </c>
      <c r="M2224" s="563">
        <f t="shared" si="104"/>
        <v>70.784999999999997</v>
      </c>
      <c r="N2224" s="580"/>
    </row>
    <row r="2225" spans="4:14" x14ac:dyDescent="0.25">
      <c r="D2225" s="559" t="s">
        <v>867</v>
      </c>
      <c r="E2225" s="558">
        <v>312862</v>
      </c>
      <c r="F2225" s="559">
        <v>302884</v>
      </c>
      <c r="G2225" s="558" t="s">
        <v>2320</v>
      </c>
      <c r="H2225" s="564">
        <v>40015</v>
      </c>
      <c r="I2225" s="563">
        <v>64.349999999999994</v>
      </c>
      <c r="J2225" s="563">
        <v>-64.349999999999994</v>
      </c>
      <c r="K2225" s="582">
        <f t="shared" si="102"/>
        <v>0</v>
      </c>
      <c r="L2225" s="563">
        <f t="shared" si="103"/>
        <v>0</v>
      </c>
      <c r="M2225" s="563">
        <f t="shared" si="104"/>
        <v>70.784999999999997</v>
      </c>
      <c r="N2225" s="580"/>
    </row>
    <row r="2226" spans="4:14" x14ac:dyDescent="0.25">
      <c r="D2226" s="559" t="s">
        <v>867</v>
      </c>
      <c r="E2226" s="558">
        <v>312863</v>
      </c>
      <c r="F2226" s="559">
        <v>302885</v>
      </c>
      <c r="G2226" s="558" t="s">
        <v>2320</v>
      </c>
      <c r="H2226" s="564">
        <v>40015</v>
      </c>
      <c r="I2226" s="563">
        <v>64.349999999999994</v>
      </c>
      <c r="J2226" s="563">
        <v>-64.349999999999994</v>
      </c>
      <c r="K2226" s="582">
        <f t="shared" si="102"/>
        <v>0</v>
      </c>
      <c r="L2226" s="563">
        <f t="shared" si="103"/>
        <v>0</v>
      </c>
      <c r="M2226" s="563">
        <f t="shared" si="104"/>
        <v>70.784999999999997</v>
      </c>
      <c r="N2226" s="580"/>
    </row>
    <row r="2227" spans="4:14" x14ac:dyDescent="0.25">
      <c r="D2227" s="559" t="s">
        <v>867</v>
      </c>
      <c r="E2227" s="558">
        <v>312864</v>
      </c>
      <c r="F2227" s="559">
        <v>302886</v>
      </c>
      <c r="G2227" s="558" t="s">
        <v>2320</v>
      </c>
      <c r="H2227" s="564">
        <v>40015</v>
      </c>
      <c r="I2227" s="563">
        <v>64.349999999999994</v>
      </c>
      <c r="J2227" s="563">
        <v>-64.349999999999994</v>
      </c>
      <c r="K2227" s="582">
        <f t="shared" si="102"/>
        <v>0</v>
      </c>
      <c r="L2227" s="563">
        <f t="shared" si="103"/>
        <v>0</v>
      </c>
      <c r="M2227" s="563">
        <f t="shared" si="104"/>
        <v>70.784999999999997</v>
      </c>
      <c r="N2227" s="580"/>
    </row>
    <row r="2228" spans="4:14" x14ac:dyDescent="0.25">
      <c r="D2228" s="559" t="s">
        <v>867</v>
      </c>
      <c r="E2228" s="558">
        <v>312865</v>
      </c>
      <c r="F2228" s="559">
        <v>302887</v>
      </c>
      <c r="G2228" s="558" t="s">
        <v>2321</v>
      </c>
      <c r="H2228" s="564">
        <v>40015</v>
      </c>
      <c r="I2228" s="563">
        <v>64.349999999999994</v>
      </c>
      <c r="J2228" s="563">
        <v>-64.349999999999994</v>
      </c>
      <c r="K2228" s="582">
        <f t="shared" si="102"/>
        <v>0</v>
      </c>
      <c r="L2228" s="563">
        <f t="shared" si="103"/>
        <v>0</v>
      </c>
      <c r="M2228" s="563">
        <f t="shared" si="104"/>
        <v>70.784999999999997</v>
      </c>
      <c r="N2228" s="580"/>
    </row>
    <row r="2229" spans="4:14" x14ac:dyDescent="0.25">
      <c r="D2229" s="559" t="s">
        <v>867</v>
      </c>
      <c r="E2229" s="558">
        <v>312866</v>
      </c>
      <c r="F2229" s="559">
        <v>302888</v>
      </c>
      <c r="G2229" s="558" t="s">
        <v>2321</v>
      </c>
      <c r="H2229" s="564">
        <v>40015</v>
      </c>
      <c r="I2229" s="563">
        <v>64.349999999999994</v>
      </c>
      <c r="J2229" s="563">
        <v>-64.349999999999994</v>
      </c>
      <c r="K2229" s="582">
        <f t="shared" si="102"/>
        <v>0</v>
      </c>
      <c r="L2229" s="563">
        <f t="shared" si="103"/>
        <v>0</v>
      </c>
      <c r="M2229" s="563">
        <f t="shared" si="104"/>
        <v>70.784999999999997</v>
      </c>
      <c r="N2229" s="580"/>
    </row>
    <row r="2230" spans="4:14" x14ac:dyDescent="0.25">
      <c r="D2230" s="559" t="s">
        <v>867</v>
      </c>
      <c r="E2230" s="558">
        <v>312867</v>
      </c>
      <c r="F2230" s="559">
        <v>302889</v>
      </c>
      <c r="G2230" s="558" t="s">
        <v>2321</v>
      </c>
      <c r="H2230" s="564">
        <v>40015</v>
      </c>
      <c r="I2230" s="563">
        <v>64.349999999999994</v>
      </c>
      <c r="J2230" s="563">
        <v>-64.349999999999994</v>
      </c>
      <c r="K2230" s="582">
        <f t="shared" si="102"/>
        <v>0</v>
      </c>
      <c r="L2230" s="563">
        <f t="shared" si="103"/>
        <v>0</v>
      </c>
      <c r="M2230" s="563">
        <f t="shared" si="104"/>
        <v>70.784999999999997</v>
      </c>
      <c r="N2230" s="580"/>
    </row>
    <row r="2231" spans="4:14" x14ac:dyDescent="0.25">
      <c r="D2231" s="559" t="s">
        <v>867</v>
      </c>
      <c r="E2231" s="558">
        <v>312868</v>
      </c>
      <c r="F2231" s="559">
        <v>302890</v>
      </c>
      <c r="G2231" s="558" t="s">
        <v>2321</v>
      </c>
      <c r="H2231" s="564">
        <v>40015</v>
      </c>
      <c r="I2231" s="563">
        <v>64.349999999999994</v>
      </c>
      <c r="J2231" s="563">
        <v>-64.349999999999994</v>
      </c>
      <c r="K2231" s="582">
        <f t="shared" si="102"/>
        <v>0</v>
      </c>
      <c r="L2231" s="563">
        <f t="shared" si="103"/>
        <v>0</v>
      </c>
      <c r="M2231" s="563">
        <f t="shared" si="104"/>
        <v>70.784999999999997</v>
      </c>
      <c r="N2231" s="580"/>
    </row>
    <row r="2232" spans="4:14" x14ac:dyDescent="0.25">
      <c r="D2232" s="559" t="s">
        <v>867</v>
      </c>
      <c r="E2232" s="558">
        <v>312869</v>
      </c>
      <c r="F2232" s="559">
        <v>302891</v>
      </c>
      <c r="G2232" s="558" t="s">
        <v>2321</v>
      </c>
      <c r="H2232" s="564">
        <v>40015</v>
      </c>
      <c r="I2232" s="563">
        <v>64.349999999999994</v>
      </c>
      <c r="J2232" s="563">
        <v>-64.349999999999994</v>
      </c>
      <c r="K2232" s="582">
        <f t="shared" si="102"/>
        <v>0</v>
      </c>
      <c r="L2232" s="563">
        <f t="shared" si="103"/>
        <v>0</v>
      </c>
      <c r="M2232" s="563">
        <f t="shared" si="104"/>
        <v>70.784999999999997</v>
      </c>
      <c r="N2232" s="580"/>
    </row>
    <row r="2233" spans="4:14" x14ac:dyDescent="0.25">
      <c r="D2233" s="559" t="s">
        <v>867</v>
      </c>
      <c r="E2233" s="558">
        <v>312870</v>
      </c>
      <c r="F2233" s="559">
        <v>302892</v>
      </c>
      <c r="G2233" s="558" t="s">
        <v>2322</v>
      </c>
      <c r="H2233" s="564">
        <v>40015</v>
      </c>
      <c r="I2233" s="563">
        <v>64.349999999999994</v>
      </c>
      <c r="J2233" s="563">
        <v>-64.349999999999994</v>
      </c>
      <c r="K2233" s="582">
        <f t="shared" si="102"/>
        <v>0</v>
      </c>
      <c r="L2233" s="563">
        <f t="shared" si="103"/>
        <v>0</v>
      </c>
      <c r="M2233" s="563">
        <f t="shared" si="104"/>
        <v>70.784999999999997</v>
      </c>
      <c r="N2233" s="580"/>
    </row>
    <row r="2234" spans="4:14" x14ac:dyDescent="0.25">
      <c r="D2234" s="559" t="s">
        <v>867</v>
      </c>
      <c r="E2234" s="558">
        <v>312871</v>
      </c>
      <c r="F2234" s="559">
        <v>302893</v>
      </c>
      <c r="G2234" s="558" t="s">
        <v>2322</v>
      </c>
      <c r="H2234" s="564">
        <v>40015</v>
      </c>
      <c r="I2234" s="563">
        <v>64.349999999999994</v>
      </c>
      <c r="J2234" s="563">
        <v>-64.349999999999994</v>
      </c>
      <c r="K2234" s="582">
        <f t="shared" si="102"/>
        <v>0</v>
      </c>
      <c r="L2234" s="563">
        <f t="shared" si="103"/>
        <v>0</v>
      </c>
      <c r="M2234" s="563">
        <f t="shared" si="104"/>
        <v>70.784999999999997</v>
      </c>
      <c r="N2234" s="580"/>
    </row>
    <row r="2235" spans="4:14" x14ac:dyDescent="0.25">
      <c r="D2235" s="559" t="s">
        <v>867</v>
      </c>
      <c r="E2235" s="558">
        <v>312872</v>
      </c>
      <c r="F2235" s="559">
        <v>302894</v>
      </c>
      <c r="G2235" s="558" t="s">
        <v>2322</v>
      </c>
      <c r="H2235" s="564">
        <v>40015</v>
      </c>
      <c r="I2235" s="563">
        <v>64.349999999999994</v>
      </c>
      <c r="J2235" s="563">
        <v>-64.349999999999994</v>
      </c>
      <c r="K2235" s="582">
        <f t="shared" si="102"/>
        <v>0</v>
      </c>
      <c r="L2235" s="563">
        <f t="shared" si="103"/>
        <v>0</v>
      </c>
      <c r="M2235" s="563">
        <f t="shared" si="104"/>
        <v>70.784999999999997</v>
      </c>
      <c r="N2235" s="580"/>
    </row>
    <row r="2236" spans="4:14" x14ac:dyDescent="0.25">
      <c r="D2236" s="559" t="s">
        <v>867</v>
      </c>
      <c r="E2236" s="558">
        <v>312873</v>
      </c>
      <c r="F2236" s="559">
        <v>302895</v>
      </c>
      <c r="G2236" s="558" t="s">
        <v>2322</v>
      </c>
      <c r="H2236" s="564">
        <v>40015</v>
      </c>
      <c r="I2236" s="563">
        <v>64.349999999999994</v>
      </c>
      <c r="J2236" s="563">
        <v>-64.349999999999994</v>
      </c>
      <c r="K2236" s="582">
        <f t="shared" si="102"/>
        <v>0</v>
      </c>
      <c r="L2236" s="563">
        <f t="shared" si="103"/>
        <v>0</v>
      </c>
      <c r="M2236" s="563">
        <f t="shared" si="104"/>
        <v>70.784999999999997</v>
      </c>
      <c r="N2236" s="580"/>
    </row>
    <row r="2237" spans="4:14" x14ac:dyDescent="0.25">
      <c r="D2237" s="559" t="s">
        <v>867</v>
      </c>
      <c r="E2237" s="558">
        <v>312874</v>
      </c>
      <c r="F2237" s="559">
        <v>302896</v>
      </c>
      <c r="G2237" s="558" t="s">
        <v>2322</v>
      </c>
      <c r="H2237" s="564">
        <v>40015</v>
      </c>
      <c r="I2237" s="563">
        <v>64.349999999999994</v>
      </c>
      <c r="J2237" s="563">
        <v>-64.349999999999994</v>
      </c>
      <c r="K2237" s="582">
        <f t="shared" si="102"/>
        <v>0</v>
      </c>
      <c r="L2237" s="563">
        <f t="shared" si="103"/>
        <v>0</v>
      </c>
      <c r="M2237" s="563">
        <f t="shared" si="104"/>
        <v>70.784999999999997</v>
      </c>
      <c r="N2237" s="580"/>
    </row>
    <row r="2238" spans="4:14" x14ac:dyDescent="0.25">
      <c r="D2238" s="559" t="s">
        <v>867</v>
      </c>
      <c r="E2238" s="558">
        <v>312875</v>
      </c>
      <c r="F2238" s="559">
        <v>302897</v>
      </c>
      <c r="G2238" s="558" t="s">
        <v>2323</v>
      </c>
      <c r="H2238" s="564">
        <v>40015</v>
      </c>
      <c r="I2238" s="563">
        <v>64.349999999999994</v>
      </c>
      <c r="J2238" s="563">
        <v>-64.349999999999994</v>
      </c>
      <c r="K2238" s="582">
        <f t="shared" si="102"/>
        <v>0</v>
      </c>
      <c r="L2238" s="563">
        <f t="shared" si="103"/>
        <v>0</v>
      </c>
      <c r="M2238" s="563">
        <f t="shared" si="104"/>
        <v>70.784999999999997</v>
      </c>
      <c r="N2238" s="580"/>
    </row>
    <row r="2239" spans="4:14" x14ac:dyDescent="0.25">
      <c r="D2239" s="559" t="s">
        <v>867</v>
      </c>
      <c r="E2239" s="558">
        <v>312876</v>
      </c>
      <c r="F2239" s="559">
        <v>302898</v>
      </c>
      <c r="G2239" s="558" t="s">
        <v>2323</v>
      </c>
      <c r="H2239" s="564">
        <v>40015</v>
      </c>
      <c r="I2239" s="563">
        <v>64.349999999999994</v>
      </c>
      <c r="J2239" s="563">
        <v>-64.349999999999994</v>
      </c>
      <c r="K2239" s="582">
        <f t="shared" si="102"/>
        <v>0</v>
      </c>
      <c r="L2239" s="563">
        <f t="shared" si="103"/>
        <v>0</v>
      </c>
      <c r="M2239" s="563">
        <f t="shared" si="104"/>
        <v>70.784999999999997</v>
      </c>
      <c r="N2239" s="580"/>
    </row>
    <row r="2240" spans="4:14" x14ac:dyDescent="0.25">
      <c r="D2240" s="559" t="s">
        <v>867</v>
      </c>
      <c r="E2240" s="558">
        <v>312878</v>
      </c>
      <c r="F2240" s="559">
        <v>302899</v>
      </c>
      <c r="G2240" s="558" t="s">
        <v>2323</v>
      </c>
      <c r="H2240" s="564">
        <v>40015</v>
      </c>
      <c r="I2240" s="563">
        <v>64.349999999999994</v>
      </c>
      <c r="J2240" s="563">
        <v>-64.349999999999994</v>
      </c>
      <c r="K2240" s="582">
        <f t="shared" si="102"/>
        <v>0</v>
      </c>
      <c r="L2240" s="563">
        <f t="shared" si="103"/>
        <v>0</v>
      </c>
      <c r="M2240" s="563">
        <f t="shared" si="104"/>
        <v>70.784999999999997</v>
      </c>
      <c r="N2240" s="580"/>
    </row>
    <row r="2241" spans="4:14" x14ac:dyDescent="0.25">
      <c r="D2241" s="559" t="s">
        <v>867</v>
      </c>
      <c r="E2241" s="558">
        <v>312879</v>
      </c>
      <c r="F2241" s="559">
        <v>302900</v>
      </c>
      <c r="G2241" s="558" t="s">
        <v>2323</v>
      </c>
      <c r="H2241" s="564">
        <v>40015</v>
      </c>
      <c r="I2241" s="563">
        <v>64.349999999999994</v>
      </c>
      <c r="J2241" s="563">
        <v>-64.349999999999994</v>
      </c>
      <c r="K2241" s="582">
        <f t="shared" si="102"/>
        <v>0</v>
      </c>
      <c r="L2241" s="563">
        <f t="shared" si="103"/>
        <v>0</v>
      </c>
      <c r="M2241" s="563">
        <f t="shared" si="104"/>
        <v>70.784999999999997</v>
      </c>
      <c r="N2241" s="580"/>
    </row>
    <row r="2242" spans="4:14" x14ac:dyDescent="0.25">
      <c r="D2242" s="559" t="s">
        <v>867</v>
      </c>
      <c r="E2242" s="558">
        <v>312880</v>
      </c>
      <c r="F2242" s="559">
        <v>302901</v>
      </c>
      <c r="G2242" s="558" t="s">
        <v>2323</v>
      </c>
      <c r="H2242" s="564">
        <v>40015</v>
      </c>
      <c r="I2242" s="563">
        <v>702</v>
      </c>
      <c r="J2242" s="563">
        <v>-585</v>
      </c>
      <c r="K2242" s="582">
        <f t="shared" si="102"/>
        <v>117</v>
      </c>
      <c r="L2242" s="563">
        <f t="shared" si="103"/>
        <v>128.70000000000002</v>
      </c>
      <c r="M2242" s="563">
        <f t="shared" si="104"/>
        <v>772.2</v>
      </c>
      <c r="N2242" s="580"/>
    </row>
    <row r="2243" spans="4:14" x14ac:dyDescent="0.25">
      <c r="D2243" s="559" t="s">
        <v>867</v>
      </c>
      <c r="E2243" s="558">
        <v>312882</v>
      </c>
      <c r="F2243" s="559">
        <v>302902</v>
      </c>
      <c r="G2243" s="558" t="s">
        <v>2324</v>
      </c>
      <c r="H2243" s="564">
        <v>40015</v>
      </c>
      <c r="I2243" s="563">
        <v>64.349999999999994</v>
      </c>
      <c r="J2243" s="563">
        <v>-64.349999999999994</v>
      </c>
      <c r="K2243" s="582">
        <f t="shared" si="102"/>
        <v>0</v>
      </c>
      <c r="L2243" s="563">
        <f t="shared" si="103"/>
        <v>0</v>
      </c>
      <c r="M2243" s="563">
        <f t="shared" si="104"/>
        <v>70.784999999999997</v>
      </c>
      <c r="N2243" s="580"/>
    </row>
    <row r="2244" spans="4:14" x14ac:dyDescent="0.25">
      <c r="D2244" s="559" t="s">
        <v>867</v>
      </c>
      <c r="E2244" s="558">
        <v>312883</v>
      </c>
      <c r="F2244" s="559">
        <v>302903</v>
      </c>
      <c r="G2244" s="558" t="s">
        <v>2324</v>
      </c>
      <c r="H2244" s="564">
        <v>40015</v>
      </c>
      <c r="I2244" s="563">
        <v>64.349999999999994</v>
      </c>
      <c r="J2244" s="563">
        <v>-64.349999999999994</v>
      </c>
      <c r="K2244" s="582">
        <f t="shared" si="102"/>
        <v>0</v>
      </c>
      <c r="L2244" s="563">
        <f t="shared" si="103"/>
        <v>0</v>
      </c>
      <c r="M2244" s="563">
        <f t="shared" si="104"/>
        <v>70.784999999999997</v>
      </c>
      <c r="N2244" s="580"/>
    </row>
    <row r="2245" spans="4:14" x14ac:dyDescent="0.25">
      <c r="D2245" s="559" t="s">
        <v>867</v>
      </c>
      <c r="E2245" s="558">
        <v>312884</v>
      </c>
      <c r="F2245" s="559">
        <v>302904</v>
      </c>
      <c r="G2245" s="558" t="s">
        <v>2324</v>
      </c>
      <c r="H2245" s="564">
        <v>40015</v>
      </c>
      <c r="I2245" s="563">
        <v>64.349999999999994</v>
      </c>
      <c r="J2245" s="563">
        <v>-64.349999999999994</v>
      </c>
      <c r="K2245" s="582">
        <f t="shared" si="102"/>
        <v>0</v>
      </c>
      <c r="L2245" s="563">
        <f t="shared" si="103"/>
        <v>0</v>
      </c>
      <c r="M2245" s="563">
        <f t="shared" si="104"/>
        <v>70.784999999999997</v>
      </c>
      <c r="N2245" s="580"/>
    </row>
    <row r="2246" spans="4:14" x14ac:dyDescent="0.25">
      <c r="D2246" s="559" t="s">
        <v>867</v>
      </c>
      <c r="E2246" s="558">
        <v>312885</v>
      </c>
      <c r="F2246" s="559">
        <v>302905</v>
      </c>
      <c r="G2246" s="558" t="s">
        <v>2324</v>
      </c>
      <c r="H2246" s="564">
        <v>40015</v>
      </c>
      <c r="I2246" s="563">
        <v>64.349999999999994</v>
      </c>
      <c r="J2246" s="563">
        <v>-64.349999999999994</v>
      </c>
      <c r="K2246" s="582">
        <f t="shared" si="102"/>
        <v>0</v>
      </c>
      <c r="L2246" s="563">
        <f t="shared" si="103"/>
        <v>0</v>
      </c>
      <c r="M2246" s="563">
        <f t="shared" si="104"/>
        <v>70.784999999999997</v>
      </c>
      <c r="N2246" s="580"/>
    </row>
    <row r="2247" spans="4:14" x14ac:dyDescent="0.25">
      <c r="D2247" s="559" t="s">
        <v>867</v>
      </c>
      <c r="E2247" s="558">
        <v>312886</v>
      </c>
      <c r="F2247" s="559">
        <v>302906</v>
      </c>
      <c r="G2247" s="558" t="s">
        <v>2324</v>
      </c>
      <c r="H2247" s="564">
        <v>40015</v>
      </c>
      <c r="I2247" s="563">
        <v>64.349999999999994</v>
      </c>
      <c r="J2247" s="563">
        <v>-64.349999999999994</v>
      </c>
      <c r="K2247" s="582">
        <f t="shared" si="102"/>
        <v>0</v>
      </c>
      <c r="L2247" s="563">
        <f t="shared" si="103"/>
        <v>0</v>
      </c>
      <c r="M2247" s="563">
        <f t="shared" si="104"/>
        <v>70.784999999999997</v>
      </c>
      <c r="N2247" s="580"/>
    </row>
    <row r="2248" spans="4:14" x14ac:dyDescent="0.25">
      <c r="D2248" s="559" t="s">
        <v>867</v>
      </c>
      <c r="E2248" s="558">
        <v>312887</v>
      </c>
      <c r="F2248" s="559">
        <v>302907</v>
      </c>
      <c r="G2248" s="558" t="s">
        <v>2325</v>
      </c>
      <c r="H2248" s="564">
        <v>40015</v>
      </c>
      <c r="I2248" s="563">
        <v>64.349999999999994</v>
      </c>
      <c r="J2248" s="563">
        <v>-64.349999999999994</v>
      </c>
      <c r="K2248" s="582">
        <f t="shared" si="102"/>
        <v>0</v>
      </c>
      <c r="L2248" s="563">
        <f t="shared" si="103"/>
        <v>0</v>
      </c>
      <c r="M2248" s="563">
        <f t="shared" si="104"/>
        <v>70.784999999999997</v>
      </c>
      <c r="N2248" s="580"/>
    </row>
    <row r="2249" spans="4:14" x14ac:dyDescent="0.25">
      <c r="D2249" s="559" t="s">
        <v>867</v>
      </c>
      <c r="E2249" s="558">
        <v>312888</v>
      </c>
      <c r="F2249" s="559">
        <v>302908</v>
      </c>
      <c r="G2249" s="558" t="s">
        <v>2325</v>
      </c>
      <c r="H2249" s="564">
        <v>40015</v>
      </c>
      <c r="I2249" s="563">
        <v>64.349999999999994</v>
      </c>
      <c r="J2249" s="563">
        <v>-64.349999999999994</v>
      </c>
      <c r="K2249" s="582">
        <f t="shared" si="102"/>
        <v>0</v>
      </c>
      <c r="L2249" s="563">
        <f t="shared" si="103"/>
        <v>0</v>
      </c>
      <c r="M2249" s="563">
        <f t="shared" si="104"/>
        <v>70.784999999999997</v>
      </c>
      <c r="N2249" s="580"/>
    </row>
    <row r="2250" spans="4:14" x14ac:dyDescent="0.25">
      <c r="D2250" s="559" t="s">
        <v>867</v>
      </c>
      <c r="E2250" s="558">
        <v>312891</v>
      </c>
      <c r="F2250" s="559">
        <v>302909</v>
      </c>
      <c r="G2250" s="558" t="s">
        <v>2325</v>
      </c>
      <c r="H2250" s="564">
        <v>40015</v>
      </c>
      <c r="I2250" s="563">
        <v>727.35</v>
      </c>
      <c r="J2250" s="563">
        <v>-585</v>
      </c>
      <c r="K2250" s="582">
        <f t="shared" si="102"/>
        <v>142.35000000000002</v>
      </c>
      <c r="L2250" s="563">
        <f t="shared" si="103"/>
        <v>156.58500000000004</v>
      </c>
      <c r="M2250" s="563">
        <f t="shared" si="104"/>
        <v>800.08500000000004</v>
      </c>
      <c r="N2250" s="580"/>
    </row>
    <row r="2251" spans="4:14" x14ac:dyDescent="0.25">
      <c r="D2251" s="559" t="s">
        <v>867</v>
      </c>
      <c r="E2251" s="558">
        <v>312892</v>
      </c>
      <c r="F2251" s="559">
        <v>302910</v>
      </c>
      <c r="G2251" s="558" t="s">
        <v>2325</v>
      </c>
      <c r="H2251" s="564">
        <v>40015</v>
      </c>
      <c r="I2251" s="563">
        <v>64.349999999999994</v>
      </c>
      <c r="J2251" s="563">
        <v>-64.349999999999994</v>
      </c>
      <c r="K2251" s="582">
        <f t="shared" si="102"/>
        <v>0</v>
      </c>
      <c r="L2251" s="563">
        <f t="shared" si="103"/>
        <v>0</v>
      </c>
      <c r="M2251" s="563">
        <f t="shared" si="104"/>
        <v>70.784999999999997</v>
      </c>
      <c r="N2251" s="580"/>
    </row>
    <row r="2252" spans="4:14" x14ac:dyDescent="0.25">
      <c r="D2252" s="559" t="s">
        <v>867</v>
      </c>
      <c r="E2252" s="558">
        <v>312893</v>
      </c>
      <c r="F2252" s="559">
        <v>302911</v>
      </c>
      <c r="G2252" s="558" t="s">
        <v>2325</v>
      </c>
      <c r="H2252" s="564">
        <v>40015</v>
      </c>
      <c r="I2252" s="563">
        <v>64.349999999999994</v>
      </c>
      <c r="J2252" s="563">
        <v>-64.349999999999994</v>
      </c>
      <c r="K2252" s="582">
        <f t="shared" si="102"/>
        <v>0</v>
      </c>
      <c r="L2252" s="563">
        <f t="shared" si="103"/>
        <v>0</v>
      </c>
      <c r="M2252" s="563">
        <f t="shared" si="104"/>
        <v>70.784999999999997</v>
      </c>
      <c r="N2252" s="580"/>
    </row>
    <row r="2253" spans="4:14" x14ac:dyDescent="0.25">
      <c r="D2253" s="559" t="s">
        <v>867</v>
      </c>
      <c r="E2253" s="558">
        <v>312894</v>
      </c>
      <c r="F2253" s="559">
        <v>302912</v>
      </c>
      <c r="G2253" s="558" t="s">
        <v>2326</v>
      </c>
      <c r="H2253" s="564">
        <v>40015</v>
      </c>
      <c r="I2253" s="563">
        <v>64.349999999999994</v>
      </c>
      <c r="J2253" s="563">
        <v>-64.349999999999994</v>
      </c>
      <c r="K2253" s="582">
        <f t="shared" si="102"/>
        <v>0</v>
      </c>
      <c r="L2253" s="563">
        <f t="shared" si="103"/>
        <v>0</v>
      </c>
      <c r="M2253" s="563">
        <f t="shared" si="104"/>
        <v>70.784999999999997</v>
      </c>
      <c r="N2253" s="580"/>
    </row>
    <row r="2254" spans="4:14" x14ac:dyDescent="0.25">
      <c r="D2254" s="559" t="s">
        <v>867</v>
      </c>
      <c r="E2254" s="558">
        <v>312895</v>
      </c>
      <c r="F2254" s="559">
        <v>302913</v>
      </c>
      <c r="G2254" s="558" t="s">
        <v>2326</v>
      </c>
      <c r="H2254" s="564">
        <v>40015</v>
      </c>
      <c r="I2254" s="563">
        <v>649.35</v>
      </c>
      <c r="J2254" s="563">
        <v>-585</v>
      </c>
      <c r="K2254" s="582">
        <f t="shared" si="102"/>
        <v>64.350000000000023</v>
      </c>
      <c r="L2254" s="563">
        <f t="shared" si="103"/>
        <v>70.785000000000025</v>
      </c>
      <c r="M2254" s="563">
        <f t="shared" si="104"/>
        <v>714.28500000000008</v>
      </c>
      <c r="N2254" s="580"/>
    </row>
    <row r="2255" spans="4:14" x14ac:dyDescent="0.25">
      <c r="D2255" s="559" t="s">
        <v>867</v>
      </c>
      <c r="E2255" s="558">
        <v>312896</v>
      </c>
      <c r="F2255" s="559">
        <v>302914</v>
      </c>
      <c r="G2255" s="558" t="s">
        <v>2326</v>
      </c>
      <c r="H2255" s="564">
        <v>40015</v>
      </c>
      <c r="I2255" s="563">
        <v>25.35</v>
      </c>
      <c r="J2255" s="563">
        <v>-25.35</v>
      </c>
      <c r="K2255" s="582">
        <f t="shared" si="102"/>
        <v>0</v>
      </c>
      <c r="L2255" s="563">
        <f t="shared" si="103"/>
        <v>0</v>
      </c>
      <c r="M2255" s="563">
        <f t="shared" si="104"/>
        <v>27.885000000000005</v>
      </c>
      <c r="N2255" s="580"/>
    </row>
    <row r="2256" spans="4:14" x14ac:dyDescent="0.25">
      <c r="D2256" s="559" t="s">
        <v>867</v>
      </c>
      <c r="E2256" s="558">
        <v>312897</v>
      </c>
      <c r="F2256" s="559">
        <v>302915</v>
      </c>
      <c r="G2256" s="558" t="s">
        <v>2326</v>
      </c>
      <c r="H2256" s="564">
        <v>40015</v>
      </c>
      <c r="I2256" s="563">
        <v>25.35</v>
      </c>
      <c r="J2256" s="563">
        <v>-25.35</v>
      </c>
      <c r="K2256" s="582">
        <f t="shared" si="102"/>
        <v>0</v>
      </c>
      <c r="L2256" s="563">
        <f t="shared" si="103"/>
        <v>0</v>
      </c>
      <c r="M2256" s="563">
        <f t="shared" si="104"/>
        <v>27.885000000000005</v>
      </c>
      <c r="N2256" s="580"/>
    </row>
    <row r="2257" spans="4:14" x14ac:dyDescent="0.25">
      <c r="D2257" s="559" t="s">
        <v>867</v>
      </c>
      <c r="E2257" s="558">
        <v>312898</v>
      </c>
      <c r="F2257" s="559">
        <v>302916</v>
      </c>
      <c r="G2257" s="558" t="s">
        <v>2326</v>
      </c>
      <c r="H2257" s="564">
        <v>40015</v>
      </c>
      <c r="I2257" s="563">
        <v>64.349999999999994</v>
      </c>
      <c r="J2257" s="563">
        <v>-64.349999999999994</v>
      </c>
      <c r="K2257" s="582">
        <f t="shared" si="102"/>
        <v>0</v>
      </c>
      <c r="L2257" s="563">
        <f t="shared" si="103"/>
        <v>0</v>
      </c>
      <c r="M2257" s="563">
        <f t="shared" si="104"/>
        <v>70.784999999999997</v>
      </c>
      <c r="N2257" s="580"/>
    </row>
    <row r="2258" spans="4:14" x14ac:dyDescent="0.25">
      <c r="D2258" s="559" t="s">
        <v>867</v>
      </c>
      <c r="E2258" s="558">
        <v>312899</v>
      </c>
      <c r="F2258" s="559">
        <v>302917</v>
      </c>
      <c r="G2258" s="558" t="s">
        <v>2327</v>
      </c>
      <c r="H2258" s="564">
        <v>40015</v>
      </c>
      <c r="I2258" s="563">
        <v>64.349999999999994</v>
      </c>
      <c r="J2258" s="563">
        <v>-64.349999999999994</v>
      </c>
      <c r="K2258" s="582">
        <f t="shared" si="102"/>
        <v>0</v>
      </c>
      <c r="L2258" s="563">
        <f t="shared" si="103"/>
        <v>0</v>
      </c>
      <c r="M2258" s="563">
        <f t="shared" si="104"/>
        <v>70.784999999999997</v>
      </c>
      <c r="N2258" s="580"/>
    </row>
    <row r="2259" spans="4:14" x14ac:dyDescent="0.25">
      <c r="D2259" s="559" t="s">
        <v>867</v>
      </c>
      <c r="E2259" s="558">
        <v>312900</v>
      </c>
      <c r="F2259" s="559">
        <v>302918</v>
      </c>
      <c r="G2259" s="558" t="s">
        <v>2327</v>
      </c>
      <c r="H2259" s="564">
        <v>40015</v>
      </c>
      <c r="I2259" s="563">
        <v>64.349999999999994</v>
      </c>
      <c r="J2259" s="563">
        <v>-64.349999999999994</v>
      </c>
      <c r="K2259" s="582">
        <f t="shared" si="102"/>
        <v>0</v>
      </c>
      <c r="L2259" s="563">
        <f t="shared" si="103"/>
        <v>0</v>
      </c>
      <c r="M2259" s="563">
        <f t="shared" si="104"/>
        <v>70.784999999999997</v>
      </c>
      <c r="N2259" s="580"/>
    </row>
    <row r="2260" spans="4:14" x14ac:dyDescent="0.25">
      <c r="D2260" s="559" t="s">
        <v>867</v>
      </c>
      <c r="E2260" s="558">
        <v>312901</v>
      </c>
      <c r="F2260" s="559">
        <v>302919</v>
      </c>
      <c r="G2260" s="558" t="s">
        <v>2327</v>
      </c>
      <c r="H2260" s="564">
        <v>40015</v>
      </c>
      <c r="I2260" s="563">
        <v>64.349999999999994</v>
      </c>
      <c r="J2260" s="563">
        <v>-64.349999999999994</v>
      </c>
      <c r="K2260" s="582">
        <f t="shared" si="102"/>
        <v>0</v>
      </c>
      <c r="L2260" s="563">
        <f t="shared" si="103"/>
        <v>0</v>
      </c>
      <c r="M2260" s="563">
        <f t="shared" si="104"/>
        <v>70.784999999999997</v>
      </c>
      <c r="N2260" s="580"/>
    </row>
    <row r="2261" spans="4:14" x14ac:dyDescent="0.25">
      <c r="D2261" s="559" t="s">
        <v>867</v>
      </c>
      <c r="E2261" s="558">
        <v>312902</v>
      </c>
      <c r="F2261" s="559">
        <v>302920</v>
      </c>
      <c r="G2261" s="558" t="s">
        <v>2327</v>
      </c>
      <c r="H2261" s="564">
        <v>40015</v>
      </c>
      <c r="I2261" s="563">
        <v>64.349999999999994</v>
      </c>
      <c r="J2261" s="563">
        <v>-64.349999999999994</v>
      </c>
      <c r="K2261" s="582">
        <f t="shared" si="102"/>
        <v>0</v>
      </c>
      <c r="L2261" s="563">
        <f t="shared" si="103"/>
        <v>0</v>
      </c>
      <c r="M2261" s="563">
        <f t="shared" si="104"/>
        <v>70.784999999999997</v>
      </c>
      <c r="N2261" s="580"/>
    </row>
    <row r="2262" spans="4:14" x14ac:dyDescent="0.25">
      <c r="D2262" s="559" t="s">
        <v>867</v>
      </c>
      <c r="E2262" s="558">
        <v>312903</v>
      </c>
      <c r="F2262" s="559">
        <v>302921</v>
      </c>
      <c r="G2262" s="558" t="s">
        <v>2327</v>
      </c>
      <c r="H2262" s="564">
        <v>40015</v>
      </c>
      <c r="I2262" s="563">
        <v>64.349999999999994</v>
      </c>
      <c r="J2262" s="563">
        <v>-64.349999999999994</v>
      </c>
      <c r="K2262" s="582">
        <f t="shared" si="102"/>
        <v>0</v>
      </c>
      <c r="L2262" s="563">
        <f t="shared" si="103"/>
        <v>0</v>
      </c>
      <c r="M2262" s="563">
        <f t="shared" si="104"/>
        <v>70.784999999999997</v>
      </c>
      <c r="N2262" s="580"/>
    </row>
    <row r="2263" spans="4:14" x14ac:dyDescent="0.25">
      <c r="D2263" s="559" t="s">
        <v>867</v>
      </c>
      <c r="E2263" s="558">
        <v>312904</v>
      </c>
      <c r="F2263" s="559">
        <v>302922</v>
      </c>
      <c r="G2263" s="558" t="s">
        <v>2328</v>
      </c>
      <c r="H2263" s="564">
        <v>40015</v>
      </c>
      <c r="I2263" s="563">
        <v>25.35</v>
      </c>
      <c r="J2263" s="563">
        <v>-25.35</v>
      </c>
      <c r="K2263" s="582">
        <f t="shared" si="102"/>
        <v>0</v>
      </c>
      <c r="L2263" s="563">
        <f t="shared" si="103"/>
        <v>0</v>
      </c>
      <c r="M2263" s="563">
        <f t="shared" si="104"/>
        <v>27.885000000000005</v>
      </c>
      <c r="N2263" s="580"/>
    </row>
    <row r="2264" spans="4:14" x14ac:dyDescent="0.25">
      <c r="D2264" s="559" t="s">
        <v>867</v>
      </c>
      <c r="E2264" s="558">
        <v>312905</v>
      </c>
      <c r="F2264" s="559">
        <v>302923</v>
      </c>
      <c r="G2264" s="558" t="s">
        <v>2328</v>
      </c>
      <c r="H2264" s="564">
        <v>40015</v>
      </c>
      <c r="I2264" s="563">
        <v>922.35</v>
      </c>
      <c r="J2264" s="563">
        <v>-585</v>
      </c>
      <c r="K2264" s="582">
        <f t="shared" si="102"/>
        <v>337.35</v>
      </c>
      <c r="L2264" s="563">
        <f t="shared" si="103"/>
        <v>371.08500000000004</v>
      </c>
      <c r="M2264" s="563">
        <f t="shared" si="104"/>
        <v>1014.5850000000002</v>
      </c>
      <c r="N2264" s="580"/>
    </row>
    <row r="2265" spans="4:14" x14ac:dyDescent="0.25">
      <c r="D2265" s="559" t="s">
        <v>867</v>
      </c>
      <c r="E2265" s="558">
        <v>312906</v>
      </c>
      <c r="F2265" s="559">
        <v>302924</v>
      </c>
      <c r="G2265" s="558" t="s">
        <v>2328</v>
      </c>
      <c r="H2265" s="564">
        <v>40015</v>
      </c>
      <c r="I2265" s="563">
        <v>25.35</v>
      </c>
      <c r="J2265" s="563">
        <v>-25.35</v>
      </c>
      <c r="K2265" s="582">
        <f t="shared" si="102"/>
        <v>0</v>
      </c>
      <c r="L2265" s="563">
        <f t="shared" si="103"/>
        <v>0</v>
      </c>
      <c r="M2265" s="563">
        <f t="shared" si="104"/>
        <v>27.885000000000005</v>
      </c>
      <c r="N2265" s="580"/>
    </row>
    <row r="2266" spans="4:14" x14ac:dyDescent="0.25">
      <c r="D2266" s="559" t="s">
        <v>867</v>
      </c>
      <c r="E2266" s="558">
        <v>312907</v>
      </c>
      <c r="F2266" s="559">
        <v>302925</v>
      </c>
      <c r="G2266" s="558" t="s">
        <v>2328</v>
      </c>
      <c r="H2266" s="564">
        <v>40015</v>
      </c>
      <c r="I2266" s="563">
        <v>25.35</v>
      </c>
      <c r="J2266" s="563">
        <v>-25.35</v>
      </c>
      <c r="K2266" s="582">
        <f t="shared" si="102"/>
        <v>0</v>
      </c>
      <c r="L2266" s="563">
        <f t="shared" si="103"/>
        <v>0</v>
      </c>
      <c r="M2266" s="563">
        <f t="shared" si="104"/>
        <v>27.885000000000005</v>
      </c>
      <c r="N2266" s="580"/>
    </row>
    <row r="2267" spans="4:14" x14ac:dyDescent="0.25">
      <c r="D2267" s="559" t="s">
        <v>867</v>
      </c>
      <c r="E2267" s="558">
        <v>312908</v>
      </c>
      <c r="F2267" s="559">
        <v>302926</v>
      </c>
      <c r="G2267" s="558" t="s">
        <v>2328</v>
      </c>
      <c r="H2267" s="564">
        <v>40015</v>
      </c>
      <c r="I2267" s="563">
        <v>25.35</v>
      </c>
      <c r="J2267" s="563">
        <v>-25.35</v>
      </c>
      <c r="K2267" s="582">
        <f t="shared" si="102"/>
        <v>0</v>
      </c>
      <c r="L2267" s="563">
        <f t="shared" si="103"/>
        <v>0</v>
      </c>
      <c r="M2267" s="563">
        <f t="shared" si="104"/>
        <v>27.885000000000005</v>
      </c>
      <c r="N2267" s="580"/>
    </row>
    <row r="2268" spans="4:14" x14ac:dyDescent="0.25">
      <c r="D2268" s="559" t="s">
        <v>867</v>
      </c>
      <c r="E2268" s="558">
        <v>312909</v>
      </c>
      <c r="F2268" s="559">
        <v>302927</v>
      </c>
      <c r="G2268" s="558" t="s">
        <v>2329</v>
      </c>
      <c r="H2268" s="564">
        <v>40015</v>
      </c>
      <c r="I2268" s="563">
        <v>844.35</v>
      </c>
      <c r="J2268" s="563">
        <v>-585</v>
      </c>
      <c r="K2268" s="582">
        <f t="shared" si="102"/>
        <v>259.35000000000002</v>
      </c>
      <c r="L2268" s="563">
        <f t="shared" si="103"/>
        <v>285.28500000000003</v>
      </c>
      <c r="M2268" s="563">
        <f t="shared" si="104"/>
        <v>928.78500000000008</v>
      </c>
      <c r="N2268" s="580"/>
    </row>
    <row r="2269" spans="4:14" x14ac:dyDescent="0.25">
      <c r="D2269" s="559" t="s">
        <v>867</v>
      </c>
      <c r="E2269" s="558">
        <v>312910</v>
      </c>
      <c r="F2269" s="559">
        <v>302928</v>
      </c>
      <c r="G2269" s="558" t="s">
        <v>2329</v>
      </c>
      <c r="H2269" s="564">
        <v>40015</v>
      </c>
      <c r="I2269" s="563">
        <v>25.35</v>
      </c>
      <c r="J2269" s="563">
        <v>-25.35</v>
      </c>
      <c r="K2269" s="582">
        <f t="shared" si="102"/>
        <v>0</v>
      </c>
      <c r="L2269" s="563">
        <f t="shared" si="103"/>
        <v>0</v>
      </c>
      <c r="M2269" s="563">
        <f t="shared" si="104"/>
        <v>27.885000000000005</v>
      </c>
      <c r="N2269" s="580"/>
    </row>
    <row r="2270" spans="4:14" x14ac:dyDescent="0.25">
      <c r="D2270" s="559" t="s">
        <v>867</v>
      </c>
      <c r="E2270" s="558">
        <v>312911</v>
      </c>
      <c r="F2270" s="559">
        <v>302929</v>
      </c>
      <c r="G2270" s="558" t="s">
        <v>2329</v>
      </c>
      <c r="H2270" s="564">
        <v>40015</v>
      </c>
      <c r="I2270" s="563">
        <v>610.35</v>
      </c>
      <c r="J2270" s="563">
        <v>-585</v>
      </c>
      <c r="K2270" s="582">
        <f t="shared" si="102"/>
        <v>25.350000000000023</v>
      </c>
      <c r="L2270" s="563">
        <f t="shared" si="103"/>
        <v>27.885000000000026</v>
      </c>
      <c r="M2270" s="563">
        <f t="shared" si="104"/>
        <v>671.3850000000001</v>
      </c>
      <c r="N2270" s="580"/>
    </row>
    <row r="2271" spans="4:14" x14ac:dyDescent="0.25">
      <c r="D2271" s="559" t="s">
        <v>867</v>
      </c>
      <c r="E2271" s="558">
        <v>312912</v>
      </c>
      <c r="F2271" s="559">
        <v>302930</v>
      </c>
      <c r="G2271" s="558" t="s">
        <v>2329</v>
      </c>
      <c r="H2271" s="564">
        <v>40015</v>
      </c>
      <c r="I2271" s="563">
        <v>25.35</v>
      </c>
      <c r="J2271" s="563">
        <v>-25.35</v>
      </c>
      <c r="K2271" s="582">
        <f t="shared" si="102"/>
        <v>0</v>
      </c>
      <c r="L2271" s="563">
        <f t="shared" si="103"/>
        <v>0</v>
      </c>
      <c r="M2271" s="563">
        <f t="shared" si="104"/>
        <v>27.885000000000005</v>
      </c>
      <c r="N2271" s="580"/>
    </row>
    <row r="2272" spans="4:14" x14ac:dyDescent="0.25">
      <c r="D2272" s="559" t="s">
        <v>867</v>
      </c>
      <c r="E2272" s="558">
        <v>312913</v>
      </c>
      <c r="F2272" s="559">
        <v>302931</v>
      </c>
      <c r="G2272" s="558" t="s">
        <v>2329</v>
      </c>
      <c r="H2272" s="564">
        <v>40015</v>
      </c>
      <c r="I2272" s="563">
        <v>25.35</v>
      </c>
      <c r="J2272" s="563">
        <v>-25.35</v>
      </c>
      <c r="K2272" s="582">
        <f t="shared" si="102"/>
        <v>0</v>
      </c>
      <c r="L2272" s="563">
        <f t="shared" si="103"/>
        <v>0</v>
      </c>
      <c r="M2272" s="563">
        <f t="shared" si="104"/>
        <v>27.885000000000005</v>
      </c>
      <c r="N2272" s="580"/>
    </row>
    <row r="2273" spans="4:14" x14ac:dyDescent="0.25">
      <c r="D2273" s="559" t="s">
        <v>867</v>
      </c>
      <c r="E2273" s="558">
        <v>312914</v>
      </c>
      <c r="F2273" s="559">
        <v>302932</v>
      </c>
      <c r="G2273" s="558" t="s">
        <v>2330</v>
      </c>
      <c r="H2273" s="564">
        <v>40015</v>
      </c>
      <c r="I2273" s="563">
        <v>649.35</v>
      </c>
      <c r="J2273" s="563">
        <v>-585</v>
      </c>
      <c r="K2273" s="582">
        <f t="shared" si="102"/>
        <v>64.350000000000023</v>
      </c>
      <c r="L2273" s="563">
        <f t="shared" si="103"/>
        <v>70.785000000000025</v>
      </c>
      <c r="M2273" s="563">
        <f t="shared" si="104"/>
        <v>714.28500000000008</v>
      </c>
      <c r="N2273" s="580"/>
    </row>
    <row r="2274" spans="4:14" x14ac:dyDescent="0.25">
      <c r="D2274" s="559" t="s">
        <v>867</v>
      </c>
      <c r="E2274" s="558">
        <v>312915</v>
      </c>
      <c r="F2274" s="559">
        <v>302933</v>
      </c>
      <c r="G2274" s="558" t="s">
        <v>2330</v>
      </c>
      <c r="H2274" s="564">
        <v>40015</v>
      </c>
      <c r="I2274" s="563">
        <v>727.35</v>
      </c>
      <c r="J2274" s="563">
        <v>-585</v>
      </c>
      <c r="K2274" s="582">
        <f t="shared" si="102"/>
        <v>142.35000000000002</v>
      </c>
      <c r="L2274" s="563">
        <f t="shared" si="103"/>
        <v>156.58500000000004</v>
      </c>
      <c r="M2274" s="563">
        <f t="shared" si="104"/>
        <v>800.08500000000004</v>
      </c>
      <c r="N2274" s="580"/>
    </row>
    <row r="2275" spans="4:14" x14ac:dyDescent="0.25">
      <c r="D2275" s="559" t="s">
        <v>867</v>
      </c>
      <c r="E2275" s="558">
        <v>312916</v>
      </c>
      <c r="F2275" s="559">
        <v>302934</v>
      </c>
      <c r="G2275" s="558" t="s">
        <v>2330</v>
      </c>
      <c r="H2275" s="564">
        <v>40015</v>
      </c>
      <c r="I2275" s="563">
        <v>64.349999999999994</v>
      </c>
      <c r="J2275" s="563">
        <v>-64.349999999999994</v>
      </c>
      <c r="K2275" s="582">
        <f t="shared" si="102"/>
        <v>0</v>
      </c>
      <c r="L2275" s="563">
        <f t="shared" si="103"/>
        <v>0</v>
      </c>
      <c r="M2275" s="563">
        <f t="shared" si="104"/>
        <v>70.784999999999997</v>
      </c>
      <c r="N2275" s="580"/>
    </row>
    <row r="2276" spans="4:14" x14ac:dyDescent="0.25">
      <c r="D2276" s="559" t="s">
        <v>867</v>
      </c>
      <c r="E2276" s="558">
        <v>312917</v>
      </c>
      <c r="F2276" s="559">
        <v>302935</v>
      </c>
      <c r="G2276" s="558" t="s">
        <v>2330</v>
      </c>
      <c r="H2276" s="564">
        <v>40015</v>
      </c>
      <c r="I2276" s="563">
        <v>727.35</v>
      </c>
      <c r="J2276" s="563">
        <v>-585</v>
      </c>
      <c r="K2276" s="582">
        <f t="shared" si="102"/>
        <v>142.35000000000002</v>
      </c>
      <c r="L2276" s="563">
        <f t="shared" si="103"/>
        <v>156.58500000000004</v>
      </c>
      <c r="M2276" s="563">
        <f t="shared" si="104"/>
        <v>800.08500000000004</v>
      </c>
      <c r="N2276" s="580"/>
    </row>
    <row r="2277" spans="4:14" x14ac:dyDescent="0.25">
      <c r="D2277" s="559" t="s">
        <v>867</v>
      </c>
      <c r="E2277" s="558">
        <v>312918</v>
      </c>
      <c r="F2277" s="559">
        <v>302936</v>
      </c>
      <c r="G2277" s="558" t="s">
        <v>2330</v>
      </c>
      <c r="H2277" s="564">
        <v>40015</v>
      </c>
      <c r="I2277" s="563">
        <v>64.349999999999994</v>
      </c>
      <c r="J2277" s="563">
        <v>-64.349999999999994</v>
      </c>
      <c r="K2277" s="582">
        <f t="shared" si="102"/>
        <v>0</v>
      </c>
      <c r="L2277" s="563">
        <f t="shared" si="103"/>
        <v>0</v>
      </c>
      <c r="M2277" s="563">
        <f t="shared" si="104"/>
        <v>70.784999999999997</v>
      </c>
      <c r="N2277" s="580"/>
    </row>
    <row r="2278" spans="4:14" x14ac:dyDescent="0.25">
      <c r="D2278" s="559" t="s">
        <v>867</v>
      </c>
      <c r="E2278" s="558">
        <v>312919</v>
      </c>
      <c r="F2278" s="559">
        <v>302937</v>
      </c>
      <c r="G2278" s="558" t="s">
        <v>2331</v>
      </c>
      <c r="H2278" s="564">
        <v>40015</v>
      </c>
      <c r="I2278" s="563">
        <v>64.349999999999994</v>
      </c>
      <c r="J2278" s="563">
        <v>-64.349999999999994</v>
      </c>
      <c r="K2278" s="582">
        <f t="shared" si="102"/>
        <v>0</v>
      </c>
      <c r="L2278" s="563">
        <f t="shared" si="103"/>
        <v>0</v>
      </c>
      <c r="M2278" s="563">
        <f t="shared" si="104"/>
        <v>70.784999999999997</v>
      </c>
      <c r="N2278" s="580"/>
    </row>
    <row r="2279" spans="4:14" x14ac:dyDescent="0.25">
      <c r="D2279" s="559" t="s">
        <v>867</v>
      </c>
      <c r="E2279" s="558">
        <v>312920</v>
      </c>
      <c r="F2279" s="559">
        <v>302938</v>
      </c>
      <c r="G2279" s="558" t="s">
        <v>2331</v>
      </c>
      <c r="H2279" s="564">
        <v>40015</v>
      </c>
      <c r="I2279" s="563">
        <v>64.349999999999994</v>
      </c>
      <c r="J2279" s="563">
        <v>-64.349999999999994</v>
      </c>
      <c r="K2279" s="582">
        <f t="shared" si="102"/>
        <v>0</v>
      </c>
      <c r="L2279" s="563">
        <f t="shared" si="103"/>
        <v>0</v>
      </c>
      <c r="M2279" s="563">
        <f t="shared" si="104"/>
        <v>70.784999999999997</v>
      </c>
      <c r="N2279" s="580"/>
    </row>
    <row r="2280" spans="4:14" x14ac:dyDescent="0.25">
      <c r="D2280" s="559" t="s">
        <v>867</v>
      </c>
      <c r="E2280" s="558">
        <v>312921</v>
      </c>
      <c r="F2280" s="559">
        <v>302939</v>
      </c>
      <c r="G2280" s="558" t="s">
        <v>2331</v>
      </c>
      <c r="H2280" s="564">
        <v>40015</v>
      </c>
      <c r="I2280" s="563">
        <v>64.349999999999994</v>
      </c>
      <c r="J2280" s="563">
        <v>-64.349999999999994</v>
      </c>
      <c r="K2280" s="582">
        <f t="shared" si="102"/>
        <v>0</v>
      </c>
      <c r="L2280" s="563">
        <f t="shared" si="103"/>
        <v>0</v>
      </c>
      <c r="M2280" s="563">
        <f t="shared" si="104"/>
        <v>70.784999999999997</v>
      </c>
      <c r="N2280" s="580"/>
    </row>
    <row r="2281" spans="4:14" x14ac:dyDescent="0.25">
      <c r="D2281" s="559" t="s">
        <v>867</v>
      </c>
      <c r="E2281" s="558">
        <v>312922</v>
      </c>
      <c r="F2281" s="559">
        <v>302940</v>
      </c>
      <c r="G2281" s="558" t="s">
        <v>2331</v>
      </c>
      <c r="H2281" s="564">
        <v>40015</v>
      </c>
      <c r="I2281" s="563">
        <v>64.349999999999994</v>
      </c>
      <c r="J2281" s="563">
        <v>-64.349999999999994</v>
      </c>
      <c r="K2281" s="582">
        <f t="shared" ref="K2281:K2344" si="105">+I2281+J2281</f>
        <v>0</v>
      </c>
      <c r="L2281" s="563">
        <f t="shared" ref="L2281:L2344" si="106">+K2281*1.1</f>
        <v>0</v>
      </c>
      <c r="M2281" s="563">
        <f t="shared" ref="M2281:M2344" si="107">+I2281*1.1</f>
        <v>70.784999999999997</v>
      </c>
      <c r="N2281" s="580"/>
    </row>
    <row r="2282" spans="4:14" x14ac:dyDescent="0.25">
      <c r="D2282" s="559" t="s">
        <v>867</v>
      </c>
      <c r="E2282" s="558">
        <v>312923</v>
      </c>
      <c r="F2282" s="559">
        <v>302941</v>
      </c>
      <c r="G2282" s="558" t="s">
        <v>2331</v>
      </c>
      <c r="H2282" s="564">
        <v>40015</v>
      </c>
      <c r="I2282" s="563">
        <v>64.349999999999994</v>
      </c>
      <c r="J2282" s="563">
        <v>-64.349999999999994</v>
      </c>
      <c r="K2282" s="582">
        <f t="shared" si="105"/>
        <v>0</v>
      </c>
      <c r="L2282" s="563">
        <f t="shared" si="106"/>
        <v>0</v>
      </c>
      <c r="M2282" s="563">
        <f t="shared" si="107"/>
        <v>70.784999999999997</v>
      </c>
      <c r="N2282" s="580"/>
    </row>
    <row r="2283" spans="4:14" x14ac:dyDescent="0.25">
      <c r="D2283" s="559" t="s">
        <v>867</v>
      </c>
      <c r="E2283" s="558">
        <v>312924</v>
      </c>
      <c r="F2283" s="559">
        <v>302942</v>
      </c>
      <c r="G2283" s="558" t="s">
        <v>2332</v>
      </c>
      <c r="H2283" s="564">
        <v>40015</v>
      </c>
      <c r="I2283" s="563">
        <v>64.349999999999994</v>
      </c>
      <c r="J2283" s="563">
        <v>-64.349999999999994</v>
      </c>
      <c r="K2283" s="582">
        <f t="shared" si="105"/>
        <v>0</v>
      </c>
      <c r="L2283" s="563">
        <f t="shared" si="106"/>
        <v>0</v>
      </c>
      <c r="M2283" s="563">
        <f t="shared" si="107"/>
        <v>70.784999999999997</v>
      </c>
      <c r="N2283" s="580"/>
    </row>
    <row r="2284" spans="4:14" x14ac:dyDescent="0.25">
      <c r="D2284" s="559" t="s">
        <v>867</v>
      </c>
      <c r="E2284" s="558">
        <v>312925</v>
      </c>
      <c r="F2284" s="559">
        <v>302943</v>
      </c>
      <c r="G2284" s="558" t="s">
        <v>2332</v>
      </c>
      <c r="H2284" s="564">
        <v>40015</v>
      </c>
      <c r="I2284" s="563">
        <v>64.349999999999994</v>
      </c>
      <c r="J2284" s="563">
        <v>-64.349999999999994</v>
      </c>
      <c r="K2284" s="582">
        <f t="shared" si="105"/>
        <v>0</v>
      </c>
      <c r="L2284" s="563">
        <f t="shared" si="106"/>
        <v>0</v>
      </c>
      <c r="M2284" s="563">
        <f t="shared" si="107"/>
        <v>70.784999999999997</v>
      </c>
      <c r="N2284" s="580"/>
    </row>
    <row r="2285" spans="4:14" x14ac:dyDescent="0.25">
      <c r="D2285" s="559" t="s">
        <v>867</v>
      </c>
      <c r="E2285" s="558">
        <v>312926</v>
      </c>
      <c r="F2285" s="559">
        <v>302944</v>
      </c>
      <c r="G2285" s="558" t="s">
        <v>2332</v>
      </c>
      <c r="H2285" s="564">
        <v>40015</v>
      </c>
      <c r="I2285" s="563">
        <v>64.349999999999994</v>
      </c>
      <c r="J2285" s="563">
        <v>-64.349999999999994</v>
      </c>
      <c r="K2285" s="582">
        <f t="shared" si="105"/>
        <v>0</v>
      </c>
      <c r="L2285" s="563">
        <f t="shared" si="106"/>
        <v>0</v>
      </c>
      <c r="M2285" s="563">
        <f t="shared" si="107"/>
        <v>70.784999999999997</v>
      </c>
      <c r="N2285" s="580"/>
    </row>
    <row r="2286" spans="4:14" x14ac:dyDescent="0.25">
      <c r="D2286" s="559" t="s">
        <v>867</v>
      </c>
      <c r="E2286" s="558">
        <v>312927</v>
      </c>
      <c r="F2286" s="559">
        <v>302945</v>
      </c>
      <c r="G2286" s="558" t="s">
        <v>2332</v>
      </c>
      <c r="H2286" s="564">
        <v>40015</v>
      </c>
      <c r="I2286" s="563">
        <v>64.349999999999994</v>
      </c>
      <c r="J2286" s="563">
        <v>-64.349999999999994</v>
      </c>
      <c r="K2286" s="582">
        <f t="shared" si="105"/>
        <v>0</v>
      </c>
      <c r="L2286" s="563">
        <f t="shared" si="106"/>
        <v>0</v>
      </c>
      <c r="M2286" s="563">
        <f t="shared" si="107"/>
        <v>70.784999999999997</v>
      </c>
      <c r="N2286" s="580"/>
    </row>
    <row r="2287" spans="4:14" x14ac:dyDescent="0.25">
      <c r="D2287" s="559" t="s">
        <v>867</v>
      </c>
      <c r="E2287" s="558">
        <v>312928</v>
      </c>
      <c r="F2287" s="559">
        <v>302946</v>
      </c>
      <c r="G2287" s="558" t="s">
        <v>2332</v>
      </c>
      <c r="H2287" s="564">
        <v>40015</v>
      </c>
      <c r="I2287" s="563">
        <v>64.349999999999994</v>
      </c>
      <c r="J2287" s="563">
        <v>-64.349999999999994</v>
      </c>
      <c r="K2287" s="582">
        <f t="shared" si="105"/>
        <v>0</v>
      </c>
      <c r="L2287" s="563">
        <f t="shared" si="106"/>
        <v>0</v>
      </c>
      <c r="M2287" s="563">
        <f t="shared" si="107"/>
        <v>70.784999999999997</v>
      </c>
      <c r="N2287" s="580"/>
    </row>
    <row r="2288" spans="4:14" x14ac:dyDescent="0.25">
      <c r="D2288" s="559" t="s">
        <v>867</v>
      </c>
      <c r="E2288" s="558">
        <v>312929</v>
      </c>
      <c r="F2288" s="559">
        <v>302947</v>
      </c>
      <c r="G2288" s="558" t="s">
        <v>2333</v>
      </c>
      <c r="H2288" s="564">
        <v>40015</v>
      </c>
      <c r="I2288" s="563">
        <v>64.349999999999994</v>
      </c>
      <c r="J2288" s="563">
        <v>-64.349999999999994</v>
      </c>
      <c r="K2288" s="582">
        <f t="shared" si="105"/>
        <v>0</v>
      </c>
      <c r="L2288" s="563">
        <f t="shared" si="106"/>
        <v>0</v>
      </c>
      <c r="M2288" s="563">
        <f t="shared" si="107"/>
        <v>70.784999999999997</v>
      </c>
      <c r="N2288" s="580"/>
    </row>
    <row r="2289" spans="4:14" x14ac:dyDescent="0.25">
      <c r="D2289" s="559" t="s">
        <v>867</v>
      </c>
      <c r="E2289" s="558">
        <v>312930</v>
      </c>
      <c r="F2289" s="559">
        <v>302948</v>
      </c>
      <c r="G2289" s="558" t="s">
        <v>2333</v>
      </c>
      <c r="H2289" s="564">
        <v>40015</v>
      </c>
      <c r="I2289" s="563">
        <v>64.349999999999994</v>
      </c>
      <c r="J2289" s="563">
        <v>-64.349999999999994</v>
      </c>
      <c r="K2289" s="582">
        <f t="shared" si="105"/>
        <v>0</v>
      </c>
      <c r="L2289" s="563">
        <f t="shared" si="106"/>
        <v>0</v>
      </c>
      <c r="M2289" s="563">
        <f t="shared" si="107"/>
        <v>70.784999999999997</v>
      </c>
      <c r="N2289" s="580"/>
    </row>
    <row r="2290" spans="4:14" x14ac:dyDescent="0.25">
      <c r="D2290" s="559" t="s">
        <v>867</v>
      </c>
      <c r="E2290" s="558">
        <v>312931</v>
      </c>
      <c r="F2290" s="559">
        <v>302949</v>
      </c>
      <c r="G2290" s="558" t="s">
        <v>2333</v>
      </c>
      <c r="H2290" s="564">
        <v>40015</v>
      </c>
      <c r="I2290" s="563">
        <v>64.349999999999994</v>
      </c>
      <c r="J2290" s="563">
        <v>-64.349999999999994</v>
      </c>
      <c r="K2290" s="582">
        <f t="shared" si="105"/>
        <v>0</v>
      </c>
      <c r="L2290" s="563">
        <f t="shared" si="106"/>
        <v>0</v>
      </c>
      <c r="M2290" s="563">
        <f t="shared" si="107"/>
        <v>70.784999999999997</v>
      </c>
      <c r="N2290" s="580"/>
    </row>
    <row r="2291" spans="4:14" x14ac:dyDescent="0.25">
      <c r="D2291" s="559" t="s">
        <v>867</v>
      </c>
      <c r="E2291" s="558">
        <v>312932</v>
      </c>
      <c r="F2291" s="559">
        <v>302950</v>
      </c>
      <c r="G2291" s="558" t="s">
        <v>2333</v>
      </c>
      <c r="H2291" s="564">
        <v>40015</v>
      </c>
      <c r="I2291" s="563">
        <v>64.349999999999994</v>
      </c>
      <c r="J2291" s="563">
        <v>-64.349999999999994</v>
      </c>
      <c r="K2291" s="582">
        <f t="shared" si="105"/>
        <v>0</v>
      </c>
      <c r="L2291" s="563">
        <f t="shared" si="106"/>
        <v>0</v>
      </c>
      <c r="M2291" s="563">
        <f t="shared" si="107"/>
        <v>70.784999999999997</v>
      </c>
      <c r="N2291" s="580"/>
    </row>
    <row r="2292" spans="4:14" x14ac:dyDescent="0.25">
      <c r="D2292" s="559" t="s">
        <v>867</v>
      </c>
      <c r="E2292" s="558">
        <v>312933</v>
      </c>
      <c r="F2292" s="559">
        <v>302951</v>
      </c>
      <c r="G2292" s="558" t="s">
        <v>2333</v>
      </c>
      <c r="H2292" s="564">
        <v>40015</v>
      </c>
      <c r="I2292" s="563">
        <v>64.349999999999994</v>
      </c>
      <c r="J2292" s="563">
        <v>-64.349999999999994</v>
      </c>
      <c r="K2292" s="582">
        <f t="shared" si="105"/>
        <v>0</v>
      </c>
      <c r="L2292" s="563">
        <f t="shared" si="106"/>
        <v>0</v>
      </c>
      <c r="M2292" s="563">
        <f t="shared" si="107"/>
        <v>70.784999999999997</v>
      </c>
      <c r="N2292" s="580"/>
    </row>
    <row r="2293" spans="4:14" x14ac:dyDescent="0.25">
      <c r="D2293" s="559" t="s">
        <v>867</v>
      </c>
      <c r="E2293" s="558">
        <v>312934</v>
      </c>
      <c r="F2293" s="559">
        <v>302952</v>
      </c>
      <c r="G2293" s="558" t="s">
        <v>2334</v>
      </c>
      <c r="H2293" s="564">
        <v>40015</v>
      </c>
      <c r="I2293" s="563">
        <v>64.349999999999994</v>
      </c>
      <c r="J2293" s="563">
        <v>-64.349999999999994</v>
      </c>
      <c r="K2293" s="582">
        <f t="shared" si="105"/>
        <v>0</v>
      </c>
      <c r="L2293" s="563">
        <f t="shared" si="106"/>
        <v>0</v>
      </c>
      <c r="M2293" s="563">
        <f t="shared" si="107"/>
        <v>70.784999999999997</v>
      </c>
      <c r="N2293" s="580"/>
    </row>
    <row r="2294" spans="4:14" x14ac:dyDescent="0.25">
      <c r="D2294" s="559" t="s">
        <v>867</v>
      </c>
      <c r="E2294" s="558">
        <v>312935</v>
      </c>
      <c r="F2294" s="559">
        <v>302953</v>
      </c>
      <c r="G2294" s="558" t="s">
        <v>2334</v>
      </c>
      <c r="H2294" s="564">
        <v>40015</v>
      </c>
      <c r="I2294" s="563">
        <v>64.349999999999994</v>
      </c>
      <c r="J2294" s="563">
        <v>-64.349999999999994</v>
      </c>
      <c r="K2294" s="582">
        <f t="shared" si="105"/>
        <v>0</v>
      </c>
      <c r="L2294" s="563">
        <f t="shared" si="106"/>
        <v>0</v>
      </c>
      <c r="M2294" s="563">
        <f t="shared" si="107"/>
        <v>70.784999999999997</v>
      </c>
      <c r="N2294" s="580"/>
    </row>
    <row r="2295" spans="4:14" x14ac:dyDescent="0.25">
      <c r="D2295" s="559" t="s">
        <v>867</v>
      </c>
      <c r="E2295" s="558">
        <v>312936</v>
      </c>
      <c r="F2295" s="559">
        <v>302954</v>
      </c>
      <c r="G2295" s="558" t="s">
        <v>2334</v>
      </c>
      <c r="H2295" s="564">
        <v>40015</v>
      </c>
      <c r="I2295" s="563">
        <v>64.349999999999994</v>
      </c>
      <c r="J2295" s="563">
        <v>-64.349999999999994</v>
      </c>
      <c r="K2295" s="582">
        <f t="shared" si="105"/>
        <v>0</v>
      </c>
      <c r="L2295" s="563">
        <f t="shared" si="106"/>
        <v>0</v>
      </c>
      <c r="M2295" s="563">
        <f t="shared" si="107"/>
        <v>70.784999999999997</v>
      </c>
      <c r="N2295" s="580"/>
    </row>
    <row r="2296" spans="4:14" x14ac:dyDescent="0.25">
      <c r="D2296" s="559" t="s">
        <v>867</v>
      </c>
      <c r="E2296" s="558">
        <v>312937</v>
      </c>
      <c r="F2296" s="559">
        <v>302955</v>
      </c>
      <c r="G2296" s="558" t="s">
        <v>2334</v>
      </c>
      <c r="H2296" s="564">
        <v>40015</v>
      </c>
      <c r="I2296" s="563">
        <v>624</v>
      </c>
      <c r="J2296" s="563">
        <v>-585</v>
      </c>
      <c r="K2296" s="582">
        <f t="shared" si="105"/>
        <v>39</v>
      </c>
      <c r="L2296" s="563">
        <f t="shared" si="106"/>
        <v>42.900000000000006</v>
      </c>
      <c r="M2296" s="563">
        <f t="shared" si="107"/>
        <v>686.40000000000009</v>
      </c>
      <c r="N2296" s="580"/>
    </row>
    <row r="2297" spans="4:14" x14ac:dyDescent="0.25">
      <c r="D2297" s="559" t="s">
        <v>867</v>
      </c>
      <c r="E2297" s="558">
        <v>312939</v>
      </c>
      <c r="F2297" s="559">
        <v>302956</v>
      </c>
      <c r="G2297" s="558" t="s">
        <v>2334</v>
      </c>
      <c r="H2297" s="564">
        <v>40015</v>
      </c>
      <c r="I2297" s="563">
        <v>64.349999999999994</v>
      </c>
      <c r="J2297" s="563">
        <v>-64.349999999999994</v>
      </c>
      <c r="K2297" s="582">
        <f t="shared" si="105"/>
        <v>0</v>
      </c>
      <c r="L2297" s="563">
        <f t="shared" si="106"/>
        <v>0</v>
      </c>
      <c r="M2297" s="563">
        <f t="shared" si="107"/>
        <v>70.784999999999997</v>
      </c>
      <c r="N2297" s="580"/>
    </row>
    <row r="2298" spans="4:14" x14ac:dyDescent="0.25">
      <c r="D2298" s="559" t="s">
        <v>867</v>
      </c>
      <c r="E2298" s="558">
        <v>312940</v>
      </c>
      <c r="F2298" s="559">
        <v>302957</v>
      </c>
      <c r="G2298" s="558" t="s">
        <v>2335</v>
      </c>
      <c r="H2298" s="564">
        <v>40015</v>
      </c>
      <c r="I2298" s="563">
        <v>25.35</v>
      </c>
      <c r="J2298" s="563">
        <v>-25.35</v>
      </c>
      <c r="K2298" s="582">
        <f t="shared" si="105"/>
        <v>0</v>
      </c>
      <c r="L2298" s="563">
        <f t="shared" si="106"/>
        <v>0</v>
      </c>
      <c r="M2298" s="563">
        <f t="shared" si="107"/>
        <v>27.885000000000005</v>
      </c>
      <c r="N2298" s="580"/>
    </row>
    <row r="2299" spans="4:14" x14ac:dyDescent="0.25">
      <c r="D2299" s="559" t="s">
        <v>867</v>
      </c>
      <c r="E2299" s="558">
        <v>312941</v>
      </c>
      <c r="F2299" s="559">
        <v>302958</v>
      </c>
      <c r="G2299" s="558" t="s">
        <v>2335</v>
      </c>
      <c r="H2299" s="564">
        <v>40015</v>
      </c>
      <c r="I2299" s="563">
        <v>25.35</v>
      </c>
      <c r="J2299" s="563">
        <v>-25.35</v>
      </c>
      <c r="K2299" s="582">
        <f t="shared" si="105"/>
        <v>0</v>
      </c>
      <c r="L2299" s="563">
        <f t="shared" si="106"/>
        <v>0</v>
      </c>
      <c r="M2299" s="563">
        <f t="shared" si="107"/>
        <v>27.885000000000005</v>
      </c>
      <c r="N2299" s="580"/>
    </row>
    <row r="2300" spans="4:14" x14ac:dyDescent="0.25">
      <c r="D2300" s="559" t="s">
        <v>867</v>
      </c>
      <c r="E2300" s="558">
        <v>312942</v>
      </c>
      <c r="F2300" s="559">
        <v>302959</v>
      </c>
      <c r="G2300" s="558" t="s">
        <v>2335</v>
      </c>
      <c r="H2300" s="564">
        <v>40015</v>
      </c>
      <c r="I2300" s="563">
        <v>25.35</v>
      </c>
      <c r="J2300" s="563">
        <v>-25.35</v>
      </c>
      <c r="K2300" s="582">
        <f t="shared" si="105"/>
        <v>0</v>
      </c>
      <c r="L2300" s="563">
        <f t="shared" si="106"/>
        <v>0</v>
      </c>
      <c r="M2300" s="563">
        <f t="shared" si="107"/>
        <v>27.885000000000005</v>
      </c>
      <c r="N2300" s="580"/>
    </row>
    <row r="2301" spans="4:14" x14ac:dyDescent="0.25">
      <c r="D2301" s="559" t="s">
        <v>867</v>
      </c>
      <c r="E2301" s="558">
        <v>312943</v>
      </c>
      <c r="F2301" s="559">
        <v>302960</v>
      </c>
      <c r="G2301" s="558" t="s">
        <v>2335</v>
      </c>
      <c r="H2301" s="564">
        <v>40015</v>
      </c>
      <c r="I2301" s="563">
        <v>25.35</v>
      </c>
      <c r="J2301" s="563">
        <v>-25.35</v>
      </c>
      <c r="K2301" s="582">
        <f t="shared" si="105"/>
        <v>0</v>
      </c>
      <c r="L2301" s="563">
        <f t="shared" si="106"/>
        <v>0</v>
      </c>
      <c r="M2301" s="563">
        <f t="shared" si="107"/>
        <v>27.885000000000005</v>
      </c>
      <c r="N2301" s="580"/>
    </row>
    <row r="2302" spans="4:14" x14ac:dyDescent="0.25">
      <c r="D2302" s="559" t="s">
        <v>867</v>
      </c>
      <c r="E2302" s="558">
        <v>312944</v>
      </c>
      <c r="F2302" s="559">
        <v>302961</v>
      </c>
      <c r="G2302" s="558" t="s">
        <v>2335</v>
      </c>
      <c r="H2302" s="564">
        <v>40015</v>
      </c>
      <c r="I2302" s="563">
        <v>25.35</v>
      </c>
      <c r="J2302" s="563">
        <v>-25.35</v>
      </c>
      <c r="K2302" s="582">
        <f t="shared" si="105"/>
        <v>0</v>
      </c>
      <c r="L2302" s="563">
        <f t="shared" si="106"/>
        <v>0</v>
      </c>
      <c r="M2302" s="563">
        <f t="shared" si="107"/>
        <v>27.885000000000005</v>
      </c>
      <c r="N2302" s="580"/>
    </row>
    <row r="2303" spans="4:14" x14ac:dyDescent="0.25">
      <c r="D2303" s="559" t="s">
        <v>867</v>
      </c>
      <c r="E2303" s="558">
        <v>312945</v>
      </c>
      <c r="F2303" s="559">
        <v>302962</v>
      </c>
      <c r="G2303" s="558" t="s">
        <v>4869</v>
      </c>
      <c r="H2303" s="564">
        <v>40015</v>
      </c>
      <c r="I2303" s="563">
        <v>25.35</v>
      </c>
      <c r="J2303" s="563">
        <v>-25.35</v>
      </c>
      <c r="K2303" s="582">
        <f t="shared" si="105"/>
        <v>0</v>
      </c>
      <c r="L2303" s="563">
        <f t="shared" si="106"/>
        <v>0</v>
      </c>
      <c r="M2303" s="563">
        <f t="shared" si="107"/>
        <v>27.885000000000005</v>
      </c>
      <c r="N2303" s="580"/>
    </row>
    <row r="2304" spans="4:14" x14ac:dyDescent="0.25">
      <c r="D2304" s="559" t="s">
        <v>867</v>
      </c>
      <c r="E2304" s="558">
        <v>312946</v>
      </c>
      <c r="F2304" s="559">
        <v>302963</v>
      </c>
      <c r="G2304" s="558" t="s">
        <v>4869</v>
      </c>
      <c r="H2304" s="564">
        <v>40015</v>
      </c>
      <c r="I2304" s="563">
        <v>25.35</v>
      </c>
      <c r="J2304" s="563">
        <v>-25.35</v>
      </c>
      <c r="K2304" s="582">
        <f t="shared" si="105"/>
        <v>0</v>
      </c>
      <c r="L2304" s="563">
        <f t="shared" si="106"/>
        <v>0</v>
      </c>
      <c r="M2304" s="563">
        <f t="shared" si="107"/>
        <v>27.885000000000005</v>
      </c>
      <c r="N2304" s="580"/>
    </row>
    <row r="2305" spans="4:14" x14ac:dyDescent="0.25">
      <c r="D2305" s="559" t="s">
        <v>867</v>
      </c>
      <c r="E2305" s="558">
        <v>312947</v>
      </c>
      <c r="F2305" s="559">
        <v>302964</v>
      </c>
      <c r="G2305" s="558" t="s">
        <v>4869</v>
      </c>
      <c r="H2305" s="564">
        <v>40015</v>
      </c>
      <c r="I2305" s="563">
        <v>25.35</v>
      </c>
      <c r="J2305" s="563">
        <v>-25.35</v>
      </c>
      <c r="K2305" s="582">
        <f t="shared" si="105"/>
        <v>0</v>
      </c>
      <c r="L2305" s="563">
        <f t="shared" si="106"/>
        <v>0</v>
      </c>
      <c r="M2305" s="563">
        <f t="shared" si="107"/>
        <v>27.885000000000005</v>
      </c>
      <c r="N2305" s="580"/>
    </row>
    <row r="2306" spans="4:14" x14ac:dyDescent="0.25">
      <c r="D2306" s="559" t="s">
        <v>867</v>
      </c>
      <c r="E2306" s="558">
        <v>312948</v>
      </c>
      <c r="F2306" s="559">
        <v>302965</v>
      </c>
      <c r="G2306" s="558" t="s">
        <v>4869</v>
      </c>
      <c r="H2306" s="564">
        <v>40015</v>
      </c>
      <c r="I2306" s="563">
        <v>1989</v>
      </c>
      <c r="J2306" s="563">
        <v>-585</v>
      </c>
      <c r="K2306" s="582">
        <f t="shared" si="105"/>
        <v>1404</v>
      </c>
      <c r="L2306" s="563">
        <f t="shared" si="106"/>
        <v>1544.4</v>
      </c>
      <c r="M2306" s="563">
        <f t="shared" si="107"/>
        <v>2187.9</v>
      </c>
      <c r="N2306" s="580"/>
    </row>
    <row r="2307" spans="4:14" x14ac:dyDescent="0.25">
      <c r="D2307" s="559" t="s">
        <v>867</v>
      </c>
      <c r="E2307" s="558">
        <v>312950</v>
      </c>
      <c r="F2307" s="559">
        <v>302966</v>
      </c>
      <c r="G2307" s="558" t="s">
        <v>4869</v>
      </c>
      <c r="H2307" s="564">
        <v>40015</v>
      </c>
      <c r="I2307" s="563">
        <v>25.35</v>
      </c>
      <c r="J2307" s="563">
        <v>-25.35</v>
      </c>
      <c r="K2307" s="582">
        <f t="shared" si="105"/>
        <v>0</v>
      </c>
      <c r="L2307" s="563">
        <f t="shared" si="106"/>
        <v>0</v>
      </c>
      <c r="M2307" s="563">
        <f t="shared" si="107"/>
        <v>27.885000000000005</v>
      </c>
      <c r="N2307" s="580"/>
    </row>
    <row r="2308" spans="4:14" x14ac:dyDescent="0.25">
      <c r="D2308" s="559" t="s">
        <v>867</v>
      </c>
      <c r="E2308" s="558">
        <v>312951</v>
      </c>
      <c r="F2308" s="559">
        <v>302967</v>
      </c>
      <c r="G2308" s="558" t="s">
        <v>4870</v>
      </c>
      <c r="H2308" s="564">
        <v>40015</v>
      </c>
      <c r="I2308" s="563">
        <v>25.35</v>
      </c>
      <c r="J2308" s="563">
        <v>-25.35</v>
      </c>
      <c r="K2308" s="582">
        <f t="shared" si="105"/>
        <v>0</v>
      </c>
      <c r="L2308" s="563">
        <f t="shared" si="106"/>
        <v>0</v>
      </c>
      <c r="M2308" s="563">
        <f t="shared" si="107"/>
        <v>27.885000000000005</v>
      </c>
      <c r="N2308" s="580"/>
    </row>
    <row r="2309" spans="4:14" x14ac:dyDescent="0.25">
      <c r="D2309" s="559" t="s">
        <v>867</v>
      </c>
      <c r="E2309" s="558">
        <v>312952</v>
      </c>
      <c r="F2309" s="559">
        <v>302968</v>
      </c>
      <c r="G2309" s="558" t="s">
        <v>4870</v>
      </c>
      <c r="H2309" s="564">
        <v>40015</v>
      </c>
      <c r="I2309" s="563">
        <v>25.35</v>
      </c>
      <c r="J2309" s="563">
        <v>-25.35</v>
      </c>
      <c r="K2309" s="582">
        <f t="shared" si="105"/>
        <v>0</v>
      </c>
      <c r="L2309" s="563">
        <f t="shared" si="106"/>
        <v>0</v>
      </c>
      <c r="M2309" s="563">
        <f t="shared" si="107"/>
        <v>27.885000000000005</v>
      </c>
      <c r="N2309" s="580"/>
    </row>
    <row r="2310" spans="4:14" x14ac:dyDescent="0.25">
      <c r="D2310" s="559" t="s">
        <v>867</v>
      </c>
      <c r="E2310" s="558">
        <v>312953</v>
      </c>
      <c r="F2310" s="559">
        <v>302969</v>
      </c>
      <c r="G2310" s="558" t="s">
        <v>4870</v>
      </c>
      <c r="H2310" s="564">
        <v>40015</v>
      </c>
      <c r="I2310" s="563">
        <v>25.35</v>
      </c>
      <c r="J2310" s="563">
        <v>-25.35</v>
      </c>
      <c r="K2310" s="582">
        <f t="shared" si="105"/>
        <v>0</v>
      </c>
      <c r="L2310" s="563">
        <f t="shared" si="106"/>
        <v>0</v>
      </c>
      <c r="M2310" s="563">
        <f t="shared" si="107"/>
        <v>27.885000000000005</v>
      </c>
      <c r="N2310" s="580"/>
    </row>
    <row r="2311" spans="4:14" x14ac:dyDescent="0.25">
      <c r="D2311" s="559" t="s">
        <v>867</v>
      </c>
      <c r="E2311" s="558">
        <v>312954</v>
      </c>
      <c r="F2311" s="559">
        <v>302970</v>
      </c>
      <c r="G2311" s="558" t="s">
        <v>4870</v>
      </c>
      <c r="H2311" s="564">
        <v>40015</v>
      </c>
      <c r="I2311" s="563">
        <v>25.35</v>
      </c>
      <c r="J2311" s="563">
        <v>-25.35</v>
      </c>
      <c r="K2311" s="582">
        <f t="shared" si="105"/>
        <v>0</v>
      </c>
      <c r="L2311" s="563">
        <f t="shared" si="106"/>
        <v>0</v>
      </c>
      <c r="M2311" s="563">
        <f t="shared" si="107"/>
        <v>27.885000000000005</v>
      </c>
      <c r="N2311" s="580"/>
    </row>
    <row r="2312" spans="4:14" x14ac:dyDescent="0.25">
      <c r="D2312" s="559" t="s">
        <v>867</v>
      </c>
      <c r="E2312" s="558">
        <v>312955</v>
      </c>
      <c r="F2312" s="559">
        <v>302971</v>
      </c>
      <c r="G2312" s="558" t="s">
        <v>4870</v>
      </c>
      <c r="H2312" s="564">
        <v>40015</v>
      </c>
      <c r="I2312" s="563">
        <v>64.349999999999994</v>
      </c>
      <c r="J2312" s="563">
        <v>-64.349999999999994</v>
      </c>
      <c r="K2312" s="582">
        <f t="shared" si="105"/>
        <v>0</v>
      </c>
      <c r="L2312" s="563">
        <f t="shared" si="106"/>
        <v>0</v>
      </c>
      <c r="M2312" s="563">
        <f t="shared" si="107"/>
        <v>70.784999999999997</v>
      </c>
      <c r="N2312" s="580"/>
    </row>
    <row r="2313" spans="4:14" x14ac:dyDescent="0.25">
      <c r="D2313" s="559" t="s">
        <v>867</v>
      </c>
      <c r="E2313" s="558">
        <v>312956</v>
      </c>
      <c r="F2313" s="559">
        <v>302972</v>
      </c>
      <c r="G2313" s="558" t="s">
        <v>4871</v>
      </c>
      <c r="H2313" s="564">
        <v>40015</v>
      </c>
      <c r="I2313" s="563">
        <v>64.349999999999994</v>
      </c>
      <c r="J2313" s="563">
        <v>-64.349999999999994</v>
      </c>
      <c r="K2313" s="582">
        <f t="shared" si="105"/>
        <v>0</v>
      </c>
      <c r="L2313" s="563">
        <f t="shared" si="106"/>
        <v>0</v>
      </c>
      <c r="M2313" s="563">
        <f t="shared" si="107"/>
        <v>70.784999999999997</v>
      </c>
      <c r="N2313" s="580"/>
    </row>
    <row r="2314" spans="4:14" x14ac:dyDescent="0.25">
      <c r="D2314" s="559" t="s">
        <v>867</v>
      </c>
      <c r="E2314" s="558">
        <v>312957</v>
      </c>
      <c r="F2314" s="559">
        <v>302973</v>
      </c>
      <c r="G2314" s="558" t="s">
        <v>4871</v>
      </c>
      <c r="H2314" s="564">
        <v>40015</v>
      </c>
      <c r="I2314" s="563">
        <v>64.349999999999994</v>
      </c>
      <c r="J2314" s="563">
        <v>-64.349999999999994</v>
      </c>
      <c r="K2314" s="582">
        <f t="shared" si="105"/>
        <v>0</v>
      </c>
      <c r="L2314" s="563">
        <f t="shared" si="106"/>
        <v>0</v>
      </c>
      <c r="M2314" s="563">
        <f t="shared" si="107"/>
        <v>70.784999999999997</v>
      </c>
      <c r="N2314" s="580"/>
    </row>
    <row r="2315" spans="4:14" x14ac:dyDescent="0.25">
      <c r="D2315" s="559" t="s">
        <v>867</v>
      </c>
      <c r="E2315" s="558">
        <v>312958</v>
      </c>
      <c r="F2315" s="559">
        <v>302974</v>
      </c>
      <c r="G2315" s="558" t="s">
        <v>4871</v>
      </c>
      <c r="H2315" s="564">
        <v>40015</v>
      </c>
      <c r="I2315" s="563">
        <v>64.349999999999994</v>
      </c>
      <c r="J2315" s="563">
        <v>-64.349999999999994</v>
      </c>
      <c r="K2315" s="582">
        <f t="shared" si="105"/>
        <v>0</v>
      </c>
      <c r="L2315" s="563">
        <f t="shared" si="106"/>
        <v>0</v>
      </c>
      <c r="M2315" s="563">
        <f t="shared" si="107"/>
        <v>70.784999999999997</v>
      </c>
      <c r="N2315" s="580"/>
    </row>
    <row r="2316" spans="4:14" x14ac:dyDescent="0.25">
      <c r="D2316" s="559" t="s">
        <v>867</v>
      </c>
      <c r="E2316" s="558">
        <v>312959</v>
      </c>
      <c r="F2316" s="559">
        <v>302975</v>
      </c>
      <c r="G2316" s="558" t="s">
        <v>4871</v>
      </c>
      <c r="H2316" s="564">
        <v>40015</v>
      </c>
      <c r="I2316" s="563">
        <v>64.349999999999994</v>
      </c>
      <c r="J2316" s="563">
        <v>-64.349999999999994</v>
      </c>
      <c r="K2316" s="582">
        <f t="shared" si="105"/>
        <v>0</v>
      </c>
      <c r="L2316" s="563">
        <f t="shared" si="106"/>
        <v>0</v>
      </c>
      <c r="M2316" s="563">
        <f t="shared" si="107"/>
        <v>70.784999999999997</v>
      </c>
      <c r="N2316" s="580"/>
    </row>
    <row r="2317" spans="4:14" x14ac:dyDescent="0.25">
      <c r="D2317" s="559" t="s">
        <v>867</v>
      </c>
      <c r="E2317" s="558">
        <v>312960</v>
      </c>
      <c r="F2317" s="559">
        <v>302976</v>
      </c>
      <c r="G2317" s="558" t="s">
        <v>4871</v>
      </c>
      <c r="H2317" s="564">
        <v>40015</v>
      </c>
      <c r="I2317" s="563">
        <v>64.349999999999994</v>
      </c>
      <c r="J2317" s="563">
        <v>-64.349999999999994</v>
      </c>
      <c r="K2317" s="582">
        <f t="shared" si="105"/>
        <v>0</v>
      </c>
      <c r="L2317" s="563">
        <f t="shared" si="106"/>
        <v>0</v>
      </c>
      <c r="M2317" s="563">
        <f t="shared" si="107"/>
        <v>70.784999999999997</v>
      </c>
      <c r="N2317" s="580"/>
    </row>
    <row r="2318" spans="4:14" x14ac:dyDescent="0.25">
      <c r="D2318" s="559" t="s">
        <v>867</v>
      </c>
      <c r="E2318" s="558">
        <v>312961</v>
      </c>
      <c r="F2318" s="559">
        <v>302977</v>
      </c>
      <c r="G2318" s="558" t="s">
        <v>4872</v>
      </c>
      <c r="H2318" s="564">
        <v>40015</v>
      </c>
      <c r="I2318" s="563">
        <v>727.35</v>
      </c>
      <c r="J2318" s="563">
        <v>-585</v>
      </c>
      <c r="K2318" s="582">
        <f t="shared" si="105"/>
        <v>142.35000000000002</v>
      </c>
      <c r="L2318" s="563">
        <f t="shared" si="106"/>
        <v>156.58500000000004</v>
      </c>
      <c r="M2318" s="563">
        <f t="shared" si="107"/>
        <v>800.08500000000004</v>
      </c>
      <c r="N2318" s="580"/>
    </row>
    <row r="2319" spans="4:14" x14ac:dyDescent="0.25">
      <c r="D2319" s="559" t="s">
        <v>867</v>
      </c>
      <c r="E2319" s="558">
        <v>312962</v>
      </c>
      <c r="F2319" s="559">
        <v>302978</v>
      </c>
      <c r="G2319" s="558" t="s">
        <v>4872</v>
      </c>
      <c r="H2319" s="564">
        <v>40015</v>
      </c>
      <c r="I2319" s="563">
        <v>64.349999999999994</v>
      </c>
      <c r="J2319" s="563">
        <v>-64.349999999999994</v>
      </c>
      <c r="K2319" s="582">
        <f t="shared" si="105"/>
        <v>0</v>
      </c>
      <c r="L2319" s="563">
        <f t="shared" si="106"/>
        <v>0</v>
      </c>
      <c r="M2319" s="563">
        <f t="shared" si="107"/>
        <v>70.784999999999997</v>
      </c>
      <c r="N2319" s="580"/>
    </row>
    <row r="2320" spans="4:14" x14ac:dyDescent="0.25">
      <c r="D2320" s="559" t="s">
        <v>867</v>
      </c>
      <c r="E2320" s="558">
        <v>312963</v>
      </c>
      <c r="F2320" s="559">
        <v>302979</v>
      </c>
      <c r="G2320" s="558" t="s">
        <v>4872</v>
      </c>
      <c r="H2320" s="564">
        <v>40015</v>
      </c>
      <c r="I2320" s="563">
        <v>64.349999999999994</v>
      </c>
      <c r="J2320" s="563">
        <v>-64.349999999999994</v>
      </c>
      <c r="K2320" s="582">
        <f t="shared" si="105"/>
        <v>0</v>
      </c>
      <c r="L2320" s="563">
        <f t="shared" si="106"/>
        <v>0</v>
      </c>
      <c r="M2320" s="563">
        <f t="shared" si="107"/>
        <v>70.784999999999997</v>
      </c>
      <c r="N2320" s="580"/>
    </row>
    <row r="2321" spans="4:14" x14ac:dyDescent="0.25">
      <c r="D2321" s="559" t="s">
        <v>867</v>
      </c>
      <c r="E2321" s="558">
        <v>312964</v>
      </c>
      <c r="F2321" s="559">
        <v>302980</v>
      </c>
      <c r="G2321" s="558" t="s">
        <v>4872</v>
      </c>
      <c r="H2321" s="564">
        <v>40015</v>
      </c>
      <c r="I2321" s="563">
        <v>727.35</v>
      </c>
      <c r="J2321" s="563">
        <v>-585</v>
      </c>
      <c r="K2321" s="582">
        <f t="shared" si="105"/>
        <v>142.35000000000002</v>
      </c>
      <c r="L2321" s="563">
        <f t="shared" si="106"/>
        <v>156.58500000000004</v>
      </c>
      <c r="M2321" s="563">
        <f t="shared" si="107"/>
        <v>800.08500000000004</v>
      </c>
      <c r="N2321" s="580"/>
    </row>
    <row r="2322" spans="4:14" x14ac:dyDescent="0.25">
      <c r="D2322" s="559" t="s">
        <v>867</v>
      </c>
      <c r="E2322" s="558">
        <v>312965</v>
      </c>
      <c r="F2322" s="559">
        <v>302981</v>
      </c>
      <c r="G2322" s="558" t="s">
        <v>4872</v>
      </c>
      <c r="H2322" s="564">
        <v>40015</v>
      </c>
      <c r="I2322" s="563">
        <v>64.349999999999994</v>
      </c>
      <c r="J2322" s="563">
        <v>-64.349999999999994</v>
      </c>
      <c r="K2322" s="582">
        <f t="shared" si="105"/>
        <v>0</v>
      </c>
      <c r="L2322" s="563">
        <f t="shared" si="106"/>
        <v>0</v>
      </c>
      <c r="M2322" s="563">
        <f t="shared" si="107"/>
        <v>70.784999999999997</v>
      </c>
      <c r="N2322" s="580"/>
    </row>
    <row r="2323" spans="4:14" x14ac:dyDescent="0.25">
      <c r="D2323" s="559" t="s">
        <v>867</v>
      </c>
      <c r="E2323" s="558">
        <v>312966</v>
      </c>
      <c r="F2323" s="559">
        <v>302982</v>
      </c>
      <c r="G2323" s="558" t="s">
        <v>4873</v>
      </c>
      <c r="H2323" s="564">
        <v>40015</v>
      </c>
      <c r="I2323" s="563">
        <v>64.349999999999994</v>
      </c>
      <c r="J2323" s="563">
        <v>-64.349999999999994</v>
      </c>
      <c r="K2323" s="582">
        <f t="shared" si="105"/>
        <v>0</v>
      </c>
      <c r="L2323" s="563">
        <f t="shared" si="106"/>
        <v>0</v>
      </c>
      <c r="M2323" s="563">
        <f t="shared" si="107"/>
        <v>70.784999999999997</v>
      </c>
      <c r="N2323" s="580"/>
    </row>
    <row r="2324" spans="4:14" x14ac:dyDescent="0.25">
      <c r="D2324" s="559" t="s">
        <v>867</v>
      </c>
      <c r="E2324" s="558">
        <v>312967</v>
      </c>
      <c r="F2324" s="559">
        <v>302983</v>
      </c>
      <c r="G2324" s="558" t="s">
        <v>4873</v>
      </c>
      <c r="H2324" s="564">
        <v>40015</v>
      </c>
      <c r="I2324" s="563">
        <v>64.349999999999994</v>
      </c>
      <c r="J2324" s="563">
        <v>-64.349999999999994</v>
      </c>
      <c r="K2324" s="582">
        <f t="shared" si="105"/>
        <v>0</v>
      </c>
      <c r="L2324" s="563">
        <f t="shared" si="106"/>
        <v>0</v>
      </c>
      <c r="M2324" s="563">
        <f t="shared" si="107"/>
        <v>70.784999999999997</v>
      </c>
      <c r="N2324" s="580"/>
    </row>
    <row r="2325" spans="4:14" x14ac:dyDescent="0.25">
      <c r="D2325" s="559" t="s">
        <v>867</v>
      </c>
      <c r="E2325" s="558">
        <v>312968</v>
      </c>
      <c r="F2325" s="559">
        <v>302984</v>
      </c>
      <c r="G2325" s="558" t="s">
        <v>4873</v>
      </c>
      <c r="H2325" s="564">
        <v>40015</v>
      </c>
      <c r="I2325" s="563">
        <v>64.349999999999994</v>
      </c>
      <c r="J2325" s="563">
        <v>-64.349999999999994</v>
      </c>
      <c r="K2325" s="582">
        <f t="shared" si="105"/>
        <v>0</v>
      </c>
      <c r="L2325" s="563">
        <f t="shared" si="106"/>
        <v>0</v>
      </c>
      <c r="M2325" s="563">
        <f t="shared" si="107"/>
        <v>70.784999999999997</v>
      </c>
      <c r="N2325" s="580"/>
    </row>
    <row r="2326" spans="4:14" x14ac:dyDescent="0.25">
      <c r="D2326" s="559" t="s">
        <v>867</v>
      </c>
      <c r="E2326" s="558">
        <v>312969</v>
      </c>
      <c r="F2326" s="559">
        <v>303560</v>
      </c>
      <c r="G2326" s="558" t="s">
        <v>4873</v>
      </c>
      <c r="H2326" s="564">
        <v>40015</v>
      </c>
      <c r="I2326" s="563">
        <v>64.349999999999994</v>
      </c>
      <c r="J2326" s="563">
        <v>-64.349999999999994</v>
      </c>
      <c r="K2326" s="582">
        <f t="shared" si="105"/>
        <v>0</v>
      </c>
      <c r="L2326" s="563">
        <f t="shared" si="106"/>
        <v>0</v>
      </c>
      <c r="M2326" s="563">
        <f t="shared" si="107"/>
        <v>70.784999999999997</v>
      </c>
      <c r="N2326" s="580"/>
    </row>
    <row r="2327" spans="4:14" x14ac:dyDescent="0.25">
      <c r="D2327" s="559" t="s">
        <v>867</v>
      </c>
      <c r="E2327" s="558">
        <v>312970</v>
      </c>
      <c r="F2327" s="559">
        <v>302986</v>
      </c>
      <c r="G2327" s="558" t="s">
        <v>4873</v>
      </c>
      <c r="H2327" s="564">
        <v>40015</v>
      </c>
      <c r="I2327" s="563">
        <v>64.349999999999994</v>
      </c>
      <c r="J2327" s="563">
        <v>-64.349999999999994</v>
      </c>
      <c r="K2327" s="582">
        <f t="shared" si="105"/>
        <v>0</v>
      </c>
      <c r="L2327" s="563">
        <f t="shared" si="106"/>
        <v>0</v>
      </c>
      <c r="M2327" s="563">
        <f t="shared" si="107"/>
        <v>70.784999999999997</v>
      </c>
      <c r="N2327" s="580"/>
    </row>
    <row r="2328" spans="4:14" x14ac:dyDescent="0.25">
      <c r="D2328" s="559" t="s">
        <v>867</v>
      </c>
      <c r="E2328" s="558">
        <v>312971</v>
      </c>
      <c r="F2328" s="559">
        <v>302987</v>
      </c>
      <c r="G2328" s="558" t="s">
        <v>4874</v>
      </c>
      <c r="H2328" s="564">
        <v>40015</v>
      </c>
      <c r="I2328" s="563">
        <v>64.349999999999994</v>
      </c>
      <c r="J2328" s="563">
        <v>-64.349999999999994</v>
      </c>
      <c r="K2328" s="582">
        <f t="shared" si="105"/>
        <v>0</v>
      </c>
      <c r="L2328" s="563">
        <f t="shared" si="106"/>
        <v>0</v>
      </c>
      <c r="M2328" s="563">
        <f t="shared" si="107"/>
        <v>70.784999999999997</v>
      </c>
      <c r="N2328" s="580"/>
    </row>
    <row r="2329" spans="4:14" x14ac:dyDescent="0.25">
      <c r="D2329" s="559" t="s">
        <v>867</v>
      </c>
      <c r="E2329" s="558">
        <v>312972</v>
      </c>
      <c r="F2329" s="559">
        <v>302988</v>
      </c>
      <c r="G2329" s="558" t="s">
        <v>4874</v>
      </c>
      <c r="H2329" s="564">
        <v>40015</v>
      </c>
      <c r="I2329" s="563">
        <v>64.349999999999994</v>
      </c>
      <c r="J2329" s="563">
        <v>-64.349999999999994</v>
      </c>
      <c r="K2329" s="582">
        <f t="shared" si="105"/>
        <v>0</v>
      </c>
      <c r="L2329" s="563">
        <f t="shared" si="106"/>
        <v>0</v>
      </c>
      <c r="M2329" s="563">
        <f t="shared" si="107"/>
        <v>70.784999999999997</v>
      </c>
      <c r="N2329" s="580"/>
    </row>
    <row r="2330" spans="4:14" x14ac:dyDescent="0.25">
      <c r="D2330" s="559" t="s">
        <v>867</v>
      </c>
      <c r="E2330" s="558">
        <v>312973</v>
      </c>
      <c r="F2330" s="559">
        <v>302989</v>
      </c>
      <c r="G2330" s="558" t="s">
        <v>4874</v>
      </c>
      <c r="H2330" s="564">
        <v>40015</v>
      </c>
      <c r="I2330" s="563">
        <v>64.349999999999994</v>
      </c>
      <c r="J2330" s="563">
        <v>-64.349999999999994</v>
      </c>
      <c r="K2330" s="582">
        <f t="shared" si="105"/>
        <v>0</v>
      </c>
      <c r="L2330" s="563">
        <f t="shared" si="106"/>
        <v>0</v>
      </c>
      <c r="M2330" s="563">
        <f t="shared" si="107"/>
        <v>70.784999999999997</v>
      </c>
      <c r="N2330" s="580"/>
    </row>
    <row r="2331" spans="4:14" x14ac:dyDescent="0.25">
      <c r="D2331" s="559" t="s">
        <v>867</v>
      </c>
      <c r="E2331" s="558">
        <v>312974</v>
      </c>
      <c r="F2331" s="559">
        <v>302990</v>
      </c>
      <c r="G2331" s="558" t="s">
        <v>4874</v>
      </c>
      <c r="H2331" s="564">
        <v>40015</v>
      </c>
      <c r="I2331" s="563">
        <v>64.349999999999994</v>
      </c>
      <c r="J2331" s="563">
        <v>-64.349999999999994</v>
      </c>
      <c r="K2331" s="582">
        <f t="shared" si="105"/>
        <v>0</v>
      </c>
      <c r="L2331" s="563">
        <f t="shared" si="106"/>
        <v>0</v>
      </c>
      <c r="M2331" s="563">
        <f t="shared" si="107"/>
        <v>70.784999999999997</v>
      </c>
      <c r="N2331" s="580"/>
    </row>
    <row r="2332" spans="4:14" x14ac:dyDescent="0.25">
      <c r="D2332" s="559" t="s">
        <v>867</v>
      </c>
      <c r="E2332" s="558">
        <v>312975</v>
      </c>
      <c r="F2332" s="559">
        <v>302991</v>
      </c>
      <c r="G2332" s="558" t="s">
        <v>4874</v>
      </c>
      <c r="H2332" s="564">
        <v>40015</v>
      </c>
      <c r="I2332" s="563">
        <v>64.349999999999994</v>
      </c>
      <c r="J2332" s="563">
        <v>-64.349999999999994</v>
      </c>
      <c r="K2332" s="582">
        <f t="shared" si="105"/>
        <v>0</v>
      </c>
      <c r="L2332" s="563">
        <f t="shared" si="106"/>
        <v>0</v>
      </c>
      <c r="M2332" s="563">
        <f t="shared" si="107"/>
        <v>70.784999999999997</v>
      </c>
      <c r="N2332" s="580"/>
    </row>
    <row r="2333" spans="4:14" x14ac:dyDescent="0.25">
      <c r="D2333" s="559" t="s">
        <v>867</v>
      </c>
      <c r="E2333" s="558">
        <v>312976</v>
      </c>
      <c r="F2333" s="559">
        <v>302992</v>
      </c>
      <c r="G2333" s="558" t="s">
        <v>4875</v>
      </c>
      <c r="H2333" s="564">
        <v>40015</v>
      </c>
      <c r="I2333" s="563">
        <v>64.349999999999994</v>
      </c>
      <c r="J2333" s="563">
        <v>-64.349999999999994</v>
      </c>
      <c r="K2333" s="582">
        <f t="shared" si="105"/>
        <v>0</v>
      </c>
      <c r="L2333" s="563">
        <f t="shared" si="106"/>
        <v>0</v>
      </c>
      <c r="M2333" s="563">
        <f t="shared" si="107"/>
        <v>70.784999999999997</v>
      </c>
      <c r="N2333" s="580"/>
    </row>
    <row r="2334" spans="4:14" x14ac:dyDescent="0.25">
      <c r="D2334" s="559" t="s">
        <v>867</v>
      </c>
      <c r="E2334" s="558">
        <v>312977</v>
      </c>
      <c r="F2334" s="559">
        <v>302993</v>
      </c>
      <c r="G2334" s="558" t="s">
        <v>4875</v>
      </c>
      <c r="H2334" s="564">
        <v>40015</v>
      </c>
      <c r="I2334" s="563">
        <v>64.349999999999994</v>
      </c>
      <c r="J2334" s="563">
        <v>-64.349999999999994</v>
      </c>
      <c r="K2334" s="582">
        <f t="shared" si="105"/>
        <v>0</v>
      </c>
      <c r="L2334" s="563">
        <f t="shared" si="106"/>
        <v>0</v>
      </c>
      <c r="M2334" s="563">
        <f t="shared" si="107"/>
        <v>70.784999999999997</v>
      </c>
      <c r="N2334" s="580"/>
    </row>
    <row r="2335" spans="4:14" x14ac:dyDescent="0.25">
      <c r="D2335" s="559" t="s">
        <v>867</v>
      </c>
      <c r="E2335" s="558">
        <v>312978</v>
      </c>
      <c r="F2335" s="559">
        <v>302994</v>
      </c>
      <c r="G2335" s="558" t="s">
        <v>4875</v>
      </c>
      <c r="H2335" s="564">
        <v>40015</v>
      </c>
      <c r="I2335" s="563">
        <v>64.349999999999994</v>
      </c>
      <c r="J2335" s="563">
        <v>-64.349999999999994</v>
      </c>
      <c r="K2335" s="582">
        <f t="shared" si="105"/>
        <v>0</v>
      </c>
      <c r="L2335" s="563">
        <f t="shared" si="106"/>
        <v>0</v>
      </c>
      <c r="M2335" s="563">
        <f t="shared" si="107"/>
        <v>70.784999999999997</v>
      </c>
      <c r="N2335" s="580"/>
    </row>
    <row r="2336" spans="4:14" x14ac:dyDescent="0.25">
      <c r="D2336" s="559" t="s">
        <v>867</v>
      </c>
      <c r="E2336" s="558">
        <v>312979</v>
      </c>
      <c r="F2336" s="559">
        <v>302995</v>
      </c>
      <c r="G2336" s="558" t="s">
        <v>4875</v>
      </c>
      <c r="H2336" s="564">
        <v>40015</v>
      </c>
      <c r="I2336" s="563">
        <v>649.35</v>
      </c>
      <c r="J2336" s="563">
        <v>-585</v>
      </c>
      <c r="K2336" s="582">
        <f t="shared" si="105"/>
        <v>64.350000000000023</v>
      </c>
      <c r="L2336" s="563">
        <f t="shared" si="106"/>
        <v>70.785000000000025</v>
      </c>
      <c r="M2336" s="563">
        <f t="shared" si="107"/>
        <v>714.28500000000008</v>
      </c>
      <c r="N2336" s="580"/>
    </row>
    <row r="2337" spans="4:14" x14ac:dyDescent="0.25">
      <c r="D2337" s="559" t="s">
        <v>867</v>
      </c>
      <c r="E2337" s="558">
        <v>312980</v>
      </c>
      <c r="F2337" s="559">
        <v>302996</v>
      </c>
      <c r="G2337" s="558" t="s">
        <v>4875</v>
      </c>
      <c r="H2337" s="564">
        <v>40015</v>
      </c>
      <c r="I2337" s="563">
        <v>649.35</v>
      </c>
      <c r="J2337" s="563">
        <v>-585</v>
      </c>
      <c r="K2337" s="582">
        <f t="shared" si="105"/>
        <v>64.350000000000023</v>
      </c>
      <c r="L2337" s="563">
        <f t="shared" si="106"/>
        <v>70.785000000000025</v>
      </c>
      <c r="M2337" s="563">
        <f t="shared" si="107"/>
        <v>714.28500000000008</v>
      </c>
      <c r="N2337" s="580"/>
    </row>
    <row r="2338" spans="4:14" x14ac:dyDescent="0.25">
      <c r="D2338" s="559" t="s">
        <v>867</v>
      </c>
      <c r="E2338" s="558">
        <v>312981</v>
      </c>
      <c r="F2338" s="559">
        <v>302997</v>
      </c>
      <c r="G2338" s="558" t="s">
        <v>4876</v>
      </c>
      <c r="H2338" s="564">
        <v>40015</v>
      </c>
      <c r="I2338" s="563">
        <v>64.349999999999994</v>
      </c>
      <c r="J2338" s="563">
        <v>-64.349999999999994</v>
      </c>
      <c r="K2338" s="582">
        <f t="shared" si="105"/>
        <v>0</v>
      </c>
      <c r="L2338" s="563">
        <f t="shared" si="106"/>
        <v>0</v>
      </c>
      <c r="M2338" s="563">
        <f t="shared" si="107"/>
        <v>70.784999999999997</v>
      </c>
      <c r="N2338" s="580"/>
    </row>
    <row r="2339" spans="4:14" x14ac:dyDescent="0.25">
      <c r="D2339" s="559" t="s">
        <v>867</v>
      </c>
      <c r="E2339" s="558">
        <v>312982</v>
      </c>
      <c r="F2339" s="559">
        <v>302998</v>
      </c>
      <c r="G2339" s="558" t="s">
        <v>4876</v>
      </c>
      <c r="H2339" s="564">
        <v>40015</v>
      </c>
      <c r="I2339" s="563">
        <v>64.349999999999994</v>
      </c>
      <c r="J2339" s="563">
        <v>-64.349999999999994</v>
      </c>
      <c r="K2339" s="582">
        <f t="shared" si="105"/>
        <v>0</v>
      </c>
      <c r="L2339" s="563">
        <f t="shared" si="106"/>
        <v>0</v>
      </c>
      <c r="M2339" s="563">
        <f t="shared" si="107"/>
        <v>70.784999999999997</v>
      </c>
      <c r="N2339" s="580"/>
    </row>
    <row r="2340" spans="4:14" x14ac:dyDescent="0.25">
      <c r="D2340" s="559" t="s">
        <v>867</v>
      </c>
      <c r="E2340" s="558">
        <v>312983</v>
      </c>
      <c r="F2340" s="559">
        <v>302999</v>
      </c>
      <c r="G2340" s="558" t="s">
        <v>4876</v>
      </c>
      <c r="H2340" s="564">
        <v>40015</v>
      </c>
      <c r="I2340" s="563">
        <v>64.349999999999994</v>
      </c>
      <c r="J2340" s="563">
        <v>-64.349999999999994</v>
      </c>
      <c r="K2340" s="582">
        <f t="shared" si="105"/>
        <v>0</v>
      </c>
      <c r="L2340" s="563">
        <f t="shared" si="106"/>
        <v>0</v>
      </c>
      <c r="M2340" s="563">
        <f t="shared" si="107"/>
        <v>70.784999999999997</v>
      </c>
      <c r="N2340" s="580"/>
    </row>
    <row r="2341" spans="4:14" x14ac:dyDescent="0.25">
      <c r="D2341" s="559" t="s">
        <v>867</v>
      </c>
      <c r="E2341" s="558">
        <v>312984</v>
      </c>
      <c r="F2341" s="559">
        <v>303000</v>
      </c>
      <c r="G2341" s="558" t="s">
        <v>4876</v>
      </c>
      <c r="H2341" s="564">
        <v>40015</v>
      </c>
      <c r="I2341" s="563">
        <v>64.349999999999994</v>
      </c>
      <c r="J2341" s="563">
        <v>-64.349999999999994</v>
      </c>
      <c r="K2341" s="582">
        <f t="shared" si="105"/>
        <v>0</v>
      </c>
      <c r="L2341" s="563">
        <f t="shared" si="106"/>
        <v>0</v>
      </c>
      <c r="M2341" s="563">
        <f t="shared" si="107"/>
        <v>70.784999999999997</v>
      </c>
      <c r="N2341" s="580"/>
    </row>
    <row r="2342" spans="4:14" x14ac:dyDescent="0.25">
      <c r="D2342" s="559" t="s">
        <v>867</v>
      </c>
      <c r="E2342" s="558">
        <v>312985</v>
      </c>
      <c r="F2342" s="559">
        <v>303001</v>
      </c>
      <c r="G2342" s="558" t="s">
        <v>4876</v>
      </c>
      <c r="H2342" s="564">
        <v>40015</v>
      </c>
      <c r="I2342" s="563">
        <v>64.349999999999994</v>
      </c>
      <c r="J2342" s="563">
        <v>-64.349999999999994</v>
      </c>
      <c r="K2342" s="582">
        <f t="shared" si="105"/>
        <v>0</v>
      </c>
      <c r="L2342" s="563">
        <f t="shared" si="106"/>
        <v>0</v>
      </c>
      <c r="M2342" s="563">
        <f t="shared" si="107"/>
        <v>70.784999999999997</v>
      </c>
      <c r="N2342" s="580"/>
    </row>
    <row r="2343" spans="4:14" x14ac:dyDescent="0.25">
      <c r="D2343" s="559" t="s">
        <v>867</v>
      </c>
      <c r="E2343" s="558">
        <v>312986</v>
      </c>
      <c r="F2343" s="559">
        <v>303002</v>
      </c>
      <c r="G2343" s="558" t="s">
        <v>4877</v>
      </c>
      <c r="H2343" s="564">
        <v>40015</v>
      </c>
      <c r="I2343" s="563">
        <v>64.349999999999994</v>
      </c>
      <c r="J2343" s="563">
        <v>-64.349999999999994</v>
      </c>
      <c r="K2343" s="582">
        <f t="shared" si="105"/>
        <v>0</v>
      </c>
      <c r="L2343" s="563">
        <f t="shared" si="106"/>
        <v>0</v>
      </c>
      <c r="M2343" s="563">
        <f t="shared" si="107"/>
        <v>70.784999999999997</v>
      </c>
      <c r="N2343" s="580"/>
    </row>
    <row r="2344" spans="4:14" x14ac:dyDescent="0.25">
      <c r="D2344" s="559" t="s">
        <v>867</v>
      </c>
      <c r="E2344" s="558">
        <v>312987</v>
      </c>
      <c r="F2344" s="559">
        <v>303003</v>
      </c>
      <c r="G2344" s="558" t="s">
        <v>4877</v>
      </c>
      <c r="H2344" s="564">
        <v>40015</v>
      </c>
      <c r="I2344" s="563">
        <v>727.35</v>
      </c>
      <c r="J2344" s="563">
        <v>-585</v>
      </c>
      <c r="K2344" s="582">
        <f t="shared" si="105"/>
        <v>142.35000000000002</v>
      </c>
      <c r="L2344" s="563">
        <f t="shared" si="106"/>
        <v>156.58500000000004</v>
      </c>
      <c r="M2344" s="563">
        <f t="shared" si="107"/>
        <v>800.08500000000004</v>
      </c>
      <c r="N2344" s="580"/>
    </row>
    <row r="2345" spans="4:14" x14ac:dyDescent="0.25">
      <c r="D2345" s="559" t="s">
        <v>867</v>
      </c>
      <c r="E2345" s="558">
        <v>312988</v>
      </c>
      <c r="F2345" s="559">
        <v>303004</v>
      </c>
      <c r="G2345" s="558" t="s">
        <v>4877</v>
      </c>
      <c r="H2345" s="564">
        <v>40015</v>
      </c>
      <c r="I2345" s="563">
        <v>649.35</v>
      </c>
      <c r="J2345" s="563">
        <v>-585</v>
      </c>
      <c r="K2345" s="582">
        <f t="shared" ref="K2345:K2408" si="108">+I2345+J2345</f>
        <v>64.350000000000023</v>
      </c>
      <c r="L2345" s="563">
        <f t="shared" ref="L2345:L2408" si="109">+K2345*1.1</f>
        <v>70.785000000000025</v>
      </c>
      <c r="M2345" s="563">
        <f t="shared" ref="M2345:M2408" si="110">+I2345*1.1</f>
        <v>714.28500000000008</v>
      </c>
      <c r="N2345" s="580"/>
    </row>
    <row r="2346" spans="4:14" x14ac:dyDescent="0.25">
      <c r="D2346" s="559" t="s">
        <v>867</v>
      </c>
      <c r="E2346" s="558">
        <v>312989</v>
      </c>
      <c r="F2346" s="559">
        <v>303005</v>
      </c>
      <c r="G2346" s="558" t="s">
        <v>4877</v>
      </c>
      <c r="H2346" s="564">
        <v>40015</v>
      </c>
      <c r="I2346" s="563">
        <v>64.349999999999994</v>
      </c>
      <c r="J2346" s="563">
        <v>-64.349999999999994</v>
      </c>
      <c r="K2346" s="582">
        <f t="shared" si="108"/>
        <v>0</v>
      </c>
      <c r="L2346" s="563">
        <f t="shared" si="109"/>
        <v>0</v>
      </c>
      <c r="M2346" s="563">
        <f t="shared" si="110"/>
        <v>70.784999999999997</v>
      </c>
      <c r="N2346" s="580"/>
    </row>
    <row r="2347" spans="4:14" x14ac:dyDescent="0.25">
      <c r="D2347" s="559" t="s">
        <v>867</v>
      </c>
      <c r="E2347" s="558">
        <v>312990</v>
      </c>
      <c r="F2347" s="559">
        <v>303006</v>
      </c>
      <c r="G2347" s="558" t="s">
        <v>4877</v>
      </c>
      <c r="H2347" s="564">
        <v>40015</v>
      </c>
      <c r="I2347" s="563">
        <v>64.349999999999994</v>
      </c>
      <c r="J2347" s="563">
        <v>-64.349999999999994</v>
      </c>
      <c r="K2347" s="582">
        <f t="shared" si="108"/>
        <v>0</v>
      </c>
      <c r="L2347" s="563">
        <f t="shared" si="109"/>
        <v>0</v>
      </c>
      <c r="M2347" s="563">
        <f t="shared" si="110"/>
        <v>70.784999999999997</v>
      </c>
      <c r="N2347" s="580"/>
    </row>
    <row r="2348" spans="4:14" x14ac:dyDescent="0.25">
      <c r="D2348" s="559" t="s">
        <v>867</v>
      </c>
      <c r="E2348" s="558">
        <v>312991</v>
      </c>
      <c r="F2348" s="559">
        <v>303007</v>
      </c>
      <c r="G2348" s="558" t="s">
        <v>4878</v>
      </c>
      <c r="H2348" s="564">
        <v>40015</v>
      </c>
      <c r="I2348" s="563">
        <v>64.349999999999994</v>
      </c>
      <c r="J2348" s="563">
        <v>-64.349999999999994</v>
      </c>
      <c r="K2348" s="582">
        <f t="shared" si="108"/>
        <v>0</v>
      </c>
      <c r="L2348" s="563">
        <f t="shared" si="109"/>
        <v>0</v>
      </c>
      <c r="M2348" s="563">
        <f t="shared" si="110"/>
        <v>70.784999999999997</v>
      </c>
      <c r="N2348" s="580"/>
    </row>
    <row r="2349" spans="4:14" x14ac:dyDescent="0.25">
      <c r="D2349" s="559" t="s">
        <v>867</v>
      </c>
      <c r="E2349" s="558">
        <v>312992</v>
      </c>
      <c r="F2349" s="559">
        <v>303008</v>
      </c>
      <c r="G2349" s="558" t="s">
        <v>4878</v>
      </c>
      <c r="H2349" s="564">
        <v>40015</v>
      </c>
      <c r="I2349" s="563">
        <v>64.349999999999994</v>
      </c>
      <c r="J2349" s="563">
        <v>-64.349999999999994</v>
      </c>
      <c r="K2349" s="582">
        <f t="shared" si="108"/>
        <v>0</v>
      </c>
      <c r="L2349" s="563">
        <f t="shared" si="109"/>
        <v>0</v>
      </c>
      <c r="M2349" s="563">
        <f t="shared" si="110"/>
        <v>70.784999999999997</v>
      </c>
      <c r="N2349" s="580"/>
    </row>
    <row r="2350" spans="4:14" x14ac:dyDescent="0.25">
      <c r="D2350" s="559" t="s">
        <v>867</v>
      </c>
      <c r="E2350" s="558">
        <v>312993</v>
      </c>
      <c r="F2350" s="559">
        <v>303009</v>
      </c>
      <c r="G2350" s="558" t="s">
        <v>4878</v>
      </c>
      <c r="H2350" s="564">
        <v>40015</v>
      </c>
      <c r="I2350" s="563">
        <v>64.349999999999994</v>
      </c>
      <c r="J2350" s="563">
        <v>-64.349999999999994</v>
      </c>
      <c r="K2350" s="582">
        <f t="shared" si="108"/>
        <v>0</v>
      </c>
      <c r="L2350" s="563">
        <f t="shared" si="109"/>
        <v>0</v>
      </c>
      <c r="M2350" s="563">
        <f t="shared" si="110"/>
        <v>70.784999999999997</v>
      </c>
      <c r="N2350" s="580"/>
    </row>
    <row r="2351" spans="4:14" x14ac:dyDescent="0.25">
      <c r="D2351" s="559" t="s">
        <v>867</v>
      </c>
      <c r="E2351" s="558">
        <v>312994</v>
      </c>
      <c r="F2351" s="559">
        <v>303010</v>
      </c>
      <c r="G2351" s="558" t="s">
        <v>4878</v>
      </c>
      <c r="H2351" s="564">
        <v>40015</v>
      </c>
      <c r="I2351" s="563">
        <v>64.349999999999994</v>
      </c>
      <c r="J2351" s="563">
        <v>-64.349999999999994</v>
      </c>
      <c r="K2351" s="582">
        <f t="shared" si="108"/>
        <v>0</v>
      </c>
      <c r="L2351" s="563">
        <f t="shared" si="109"/>
        <v>0</v>
      </c>
      <c r="M2351" s="563">
        <f t="shared" si="110"/>
        <v>70.784999999999997</v>
      </c>
      <c r="N2351" s="580"/>
    </row>
    <row r="2352" spans="4:14" x14ac:dyDescent="0.25">
      <c r="D2352" s="559" t="s">
        <v>867</v>
      </c>
      <c r="E2352" s="558">
        <v>312995</v>
      </c>
      <c r="F2352" s="559">
        <v>303011</v>
      </c>
      <c r="G2352" s="558" t="s">
        <v>4878</v>
      </c>
      <c r="H2352" s="564">
        <v>40015</v>
      </c>
      <c r="I2352" s="563">
        <v>64.349999999999994</v>
      </c>
      <c r="J2352" s="563">
        <v>-64.349999999999994</v>
      </c>
      <c r="K2352" s="582">
        <f t="shared" si="108"/>
        <v>0</v>
      </c>
      <c r="L2352" s="563">
        <f t="shared" si="109"/>
        <v>0</v>
      </c>
      <c r="M2352" s="563">
        <f t="shared" si="110"/>
        <v>70.784999999999997</v>
      </c>
      <c r="N2352" s="580"/>
    </row>
    <row r="2353" spans="4:14" x14ac:dyDescent="0.25">
      <c r="D2353" s="559" t="s">
        <v>867</v>
      </c>
      <c r="E2353" s="558">
        <v>312996</v>
      </c>
      <c r="F2353" s="559">
        <v>303012</v>
      </c>
      <c r="G2353" s="558" t="s">
        <v>4879</v>
      </c>
      <c r="H2353" s="564">
        <v>40015</v>
      </c>
      <c r="I2353" s="563">
        <v>64.349999999999994</v>
      </c>
      <c r="J2353" s="563">
        <v>-64.349999999999994</v>
      </c>
      <c r="K2353" s="582">
        <f t="shared" si="108"/>
        <v>0</v>
      </c>
      <c r="L2353" s="563">
        <f t="shared" si="109"/>
        <v>0</v>
      </c>
      <c r="M2353" s="563">
        <f t="shared" si="110"/>
        <v>70.784999999999997</v>
      </c>
      <c r="N2353" s="580"/>
    </row>
    <row r="2354" spans="4:14" x14ac:dyDescent="0.25">
      <c r="D2354" s="559" t="s">
        <v>867</v>
      </c>
      <c r="E2354" s="558">
        <v>312997</v>
      </c>
      <c r="F2354" s="559">
        <v>303013</v>
      </c>
      <c r="G2354" s="558" t="s">
        <v>4879</v>
      </c>
      <c r="H2354" s="564">
        <v>40015</v>
      </c>
      <c r="I2354" s="563">
        <v>64.349999999999994</v>
      </c>
      <c r="J2354" s="563">
        <v>-64.349999999999994</v>
      </c>
      <c r="K2354" s="582">
        <f t="shared" si="108"/>
        <v>0</v>
      </c>
      <c r="L2354" s="563">
        <f t="shared" si="109"/>
        <v>0</v>
      </c>
      <c r="M2354" s="563">
        <f t="shared" si="110"/>
        <v>70.784999999999997</v>
      </c>
      <c r="N2354" s="580"/>
    </row>
    <row r="2355" spans="4:14" x14ac:dyDescent="0.25">
      <c r="D2355" s="559" t="s">
        <v>867</v>
      </c>
      <c r="E2355" s="558">
        <v>312998</v>
      </c>
      <c r="F2355" s="559">
        <v>303014</v>
      </c>
      <c r="G2355" s="558" t="s">
        <v>4879</v>
      </c>
      <c r="H2355" s="564">
        <v>40015</v>
      </c>
      <c r="I2355" s="563">
        <v>64.349999999999994</v>
      </c>
      <c r="J2355" s="563">
        <v>-64.349999999999994</v>
      </c>
      <c r="K2355" s="582">
        <f t="shared" si="108"/>
        <v>0</v>
      </c>
      <c r="L2355" s="563">
        <f t="shared" si="109"/>
        <v>0</v>
      </c>
      <c r="M2355" s="563">
        <f t="shared" si="110"/>
        <v>70.784999999999997</v>
      </c>
      <c r="N2355" s="580"/>
    </row>
    <row r="2356" spans="4:14" x14ac:dyDescent="0.25">
      <c r="D2356" s="559" t="s">
        <v>867</v>
      </c>
      <c r="E2356" s="558">
        <v>312999</v>
      </c>
      <c r="F2356" s="559">
        <v>303015</v>
      </c>
      <c r="G2356" s="558" t="s">
        <v>4879</v>
      </c>
      <c r="H2356" s="564">
        <v>40015</v>
      </c>
      <c r="I2356" s="563">
        <v>64.349999999999994</v>
      </c>
      <c r="J2356" s="563">
        <v>-64.349999999999994</v>
      </c>
      <c r="K2356" s="582">
        <f t="shared" si="108"/>
        <v>0</v>
      </c>
      <c r="L2356" s="563">
        <f t="shared" si="109"/>
        <v>0</v>
      </c>
      <c r="M2356" s="563">
        <f t="shared" si="110"/>
        <v>70.784999999999997</v>
      </c>
      <c r="N2356" s="580"/>
    </row>
    <row r="2357" spans="4:14" x14ac:dyDescent="0.25">
      <c r="D2357" s="559" t="s">
        <v>867</v>
      </c>
      <c r="E2357" s="558">
        <v>313000</v>
      </c>
      <c r="F2357" s="559">
        <v>303016</v>
      </c>
      <c r="G2357" s="558" t="s">
        <v>4879</v>
      </c>
      <c r="H2357" s="564">
        <v>40015</v>
      </c>
      <c r="I2357" s="563">
        <v>64.349999999999994</v>
      </c>
      <c r="J2357" s="563">
        <v>-64.349999999999994</v>
      </c>
      <c r="K2357" s="582">
        <f t="shared" si="108"/>
        <v>0</v>
      </c>
      <c r="L2357" s="563">
        <f t="shared" si="109"/>
        <v>0</v>
      </c>
      <c r="M2357" s="563">
        <f t="shared" si="110"/>
        <v>70.784999999999997</v>
      </c>
      <c r="N2357" s="580"/>
    </row>
    <row r="2358" spans="4:14" x14ac:dyDescent="0.25">
      <c r="D2358" s="559" t="s">
        <v>867</v>
      </c>
      <c r="E2358" s="558">
        <v>313001</v>
      </c>
      <c r="F2358" s="559">
        <v>303017</v>
      </c>
      <c r="G2358" s="558" t="s">
        <v>4880</v>
      </c>
      <c r="H2358" s="564">
        <v>40015</v>
      </c>
      <c r="I2358" s="563">
        <v>64.349999999999994</v>
      </c>
      <c r="J2358" s="563">
        <v>-64.349999999999994</v>
      </c>
      <c r="K2358" s="582">
        <f t="shared" si="108"/>
        <v>0</v>
      </c>
      <c r="L2358" s="563">
        <f t="shared" si="109"/>
        <v>0</v>
      </c>
      <c r="M2358" s="563">
        <f t="shared" si="110"/>
        <v>70.784999999999997</v>
      </c>
      <c r="N2358" s="580"/>
    </row>
    <row r="2359" spans="4:14" x14ac:dyDescent="0.25">
      <c r="D2359" s="559" t="s">
        <v>867</v>
      </c>
      <c r="E2359" s="558">
        <v>313002</v>
      </c>
      <c r="F2359" s="559">
        <v>303018</v>
      </c>
      <c r="G2359" s="558" t="s">
        <v>4880</v>
      </c>
      <c r="H2359" s="564">
        <v>40015</v>
      </c>
      <c r="I2359" s="563">
        <v>64.349999999999994</v>
      </c>
      <c r="J2359" s="563">
        <v>-64.349999999999994</v>
      </c>
      <c r="K2359" s="582">
        <f t="shared" si="108"/>
        <v>0</v>
      </c>
      <c r="L2359" s="563">
        <f t="shared" si="109"/>
        <v>0</v>
      </c>
      <c r="M2359" s="563">
        <f t="shared" si="110"/>
        <v>70.784999999999997</v>
      </c>
      <c r="N2359" s="580"/>
    </row>
    <row r="2360" spans="4:14" x14ac:dyDescent="0.25">
      <c r="D2360" s="559" t="s">
        <v>867</v>
      </c>
      <c r="E2360" s="558">
        <v>313003</v>
      </c>
      <c r="F2360" s="559">
        <v>303019</v>
      </c>
      <c r="G2360" s="558" t="s">
        <v>4880</v>
      </c>
      <c r="H2360" s="564">
        <v>40015</v>
      </c>
      <c r="I2360" s="563">
        <v>64.349999999999994</v>
      </c>
      <c r="J2360" s="563">
        <v>-64.349999999999994</v>
      </c>
      <c r="K2360" s="582">
        <f t="shared" si="108"/>
        <v>0</v>
      </c>
      <c r="L2360" s="563">
        <f t="shared" si="109"/>
        <v>0</v>
      </c>
      <c r="M2360" s="563">
        <f t="shared" si="110"/>
        <v>70.784999999999997</v>
      </c>
      <c r="N2360" s="580"/>
    </row>
    <row r="2361" spans="4:14" x14ac:dyDescent="0.25">
      <c r="D2361" s="559" t="s">
        <v>867</v>
      </c>
      <c r="E2361" s="558">
        <v>313004</v>
      </c>
      <c r="F2361" s="559">
        <v>303020</v>
      </c>
      <c r="G2361" s="558" t="s">
        <v>4880</v>
      </c>
      <c r="H2361" s="564">
        <v>40015</v>
      </c>
      <c r="I2361" s="563">
        <v>64.349999999999994</v>
      </c>
      <c r="J2361" s="563">
        <v>-64.349999999999994</v>
      </c>
      <c r="K2361" s="582">
        <f t="shared" si="108"/>
        <v>0</v>
      </c>
      <c r="L2361" s="563">
        <f t="shared" si="109"/>
        <v>0</v>
      </c>
      <c r="M2361" s="563">
        <f t="shared" si="110"/>
        <v>70.784999999999997</v>
      </c>
      <c r="N2361" s="580"/>
    </row>
    <row r="2362" spans="4:14" x14ac:dyDescent="0.25">
      <c r="D2362" s="559" t="s">
        <v>867</v>
      </c>
      <c r="E2362" s="558">
        <v>313005</v>
      </c>
      <c r="F2362" s="559">
        <v>303021</v>
      </c>
      <c r="G2362" s="558" t="s">
        <v>4880</v>
      </c>
      <c r="H2362" s="564">
        <v>40015</v>
      </c>
      <c r="I2362" s="563">
        <v>64.349999999999994</v>
      </c>
      <c r="J2362" s="563">
        <v>-64.349999999999994</v>
      </c>
      <c r="K2362" s="582">
        <f t="shared" si="108"/>
        <v>0</v>
      </c>
      <c r="L2362" s="563">
        <f t="shared" si="109"/>
        <v>0</v>
      </c>
      <c r="M2362" s="563">
        <f t="shared" si="110"/>
        <v>70.784999999999997</v>
      </c>
      <c r="N2362" s="580"/>
    </row>
    <row r="2363" spans="4:14" x14ac:dyDescent="0.25">
      <c r="D2363" s="559" t="s">
        <v>867</v>
      </c>
      <c r="E2363" s="558">
        <v>313006</v>
      </c>
      <c r="F2363" s="559">
        <v>303022</v>
      </c>
      <c r="G2363" s="558" t="s">
        <v>4881</v>
      </c>
      <c r="H2363" s="564">
        <v>40015</v>
      </c>
      <c r="I2363" s="563">
        <v>64.349999999999994</v>
      </c>
      <c r="J2363" s="563">
        <v>-64.349999999999994</v>
      </c>
      <c r="K2363" s="582">
        <f t="shared" si="108"/>
        <v>0</v>
      </c>
      <c r="L2363" s="563">
        <f t="shared" si="109"/>
        <v>0</v>
      </c>
      <c r="M2363" s="563">
        <f t="shared" si="110"/>
        <v>70.784999999999997</v>
      </c>
      <c r="N2363" s="580"/>
    </row>
    <row r="2364" spans="4:14" x14ac:dyDescent="0.25">
      <c r="D2364" s="559" t="s">
        <v>867</v>
      </c>
      <c r="E2364" s="558">
        <v>313007</v>
      </c>
      <c r="F2364" s="559">
        <v>303023</v>
      </c>
      <c r="G2364" s="558" t="s">
        <v>4881</v>
      </c>
      <c r="H2364" s="564">
        <v>40015</v>
      </c>
      <c r="I2364" s="563">
        <v>64.349999999999994</v>
      </c>
      <c r="J2364" s="563">
        <v>-64.349999999999994</v>
      </c>
      <c r="K2364" s="582">
        <f t="shared" si="108"/>
        <v>0</v>
      </c>
      <c r="L2364" s="563">
        <f t="shared" si="109"/>
        <v>0</v>
      </c>
      <c r="M2364" s="563">
        <f t="shared" si="110"/>
        <v>70.784999999999997</v>
      </c>
      <c r="N2364" s="580"/>
    </row>
    <row r="2365" spans="4:14" x14ac:dyDescent="0.25">
      <c r="D2365" s="559" t="s">
        <v>867</v>
      </c>
      <c r="E2365" s="558">
        <v>313008</v>
      </c>
      <c r="F2365" s="559">
        <v>303024</v>
      </c>
      <c r="G2365" s="558" t="s">
        <v>4881</v>
      </c>
      <c r="H2365" s="564">
        <v>40015</v>
      </c>
      <c r="I2365" s="563">
        <v>64.349999999999994</v>
      </c>
      <c r="J2365" s="563">
        <v>-64.349999999999994</v>
      </c>
      <c r="K2365" s="582">
        <f t="shared" si="108"/>
        <v>0</v>
      </c>
      <c r="L2365" s="563">
        <f t="shared" si="109"/>
        <v>0</v>
      </c>
      <c r="M2365" s="563">
        <f t="shared" si="110"/>
        <v>70.784999999999997</v>
      </c>
      <c r="N2365" s="580"/>
    </row>
    <row r="2366" spans="4:14" x14ac:dyDescent="0.25">
      <c r="D2366" s="559" t="s">
        <v>867</v>
      </c>
      <c r="E2366" s="558">
        <v>313009</v>
      </c>
      <c r="F2366" s="559">
        <v>303025</v>
      </c>
      <c r="G2366" s="558" t="s">
        <v>4881</v>
      </c>
      <c r="H2366" s="564">
        <v>40015</v>
      </c>
      <c r="I2366" s="563">
        <v>64.349999999999994</v>
      </c>
      <c r="J2366" s="563">
        <v>-64.349999999999994</v>
      </c>
      <c r="K2366" s="582">
        <f t="shared" si="108"/>
        <v>0</v>
      </c>
      <c r="L2366" s="563">
        <f t="shared" si="109"/>
        <v>0</v>
      </c>
      <c r="M2366" s="563">
        <f t="shared" si="110"/>
        <v>70.784999999999997</v>
      </c>
      <c r="N2366" s="580"/>
    </row>
    <row r="2367" spans="4:14" x14ac:dyDescent="0.25">
      <c r="D2367" s="559" t="s">
        <v>867</v>
      </c>
      <c r="E2367" s="558">
        <v>313010</v>
      </c>
      <c r="F2367" s="559">
        <v>303026</v>
      </c>
      <c r="G2367" s="558" t="s">
        <v>4881</v>
      </c>
      <c r="H2367" s="564">
        <v>40015</v>
      </c>
      <c r="I2367" s="563">
        <v>64.349999999999994</v>
      </c>
      <c r="J2367" s="563">
        <v>-64.349999999999994</v>
      </c>
      <c r="K2367" s="582">
        <f t="shared" si="108"/>
        <v>0</v>
      </c>
      <c r="L2367" s="563">
        <f t="shared" si="109"/>
        <v>0</v>
      </c>
      <c r="M2367" s="563">
        <f t="shared" si="110"/>
        <v>70.784999999999997</v>
      </c>
      <c r="N2367" s="580"/>
    </row>
    <row r="2368" spans="4:14" x14ac:dyDescent="0.25">
      <c r="D2368" s="559" t="s">
        <v>867</v>
      </c>
      <c r="E2368" s="558">
        <v>313011</v>
      </c>
      <c r="F2368" s="559">
        <v>303027</v>
      </c>
      <c r="G2368" s="558" t="s">
        <v>4882</v>
      </c>
      <c r="H2368" s="564">
        <v>40015</v>
      </c>
      <c r="I2368" s="563">
        <v>64.349999999999994</v>
      </c>
      <c r="J2368" s="563">
        <v>-64.349999999999994</v>
      </c>
      <c r="K2368" s="582">
        <f t="shared" si="108"/>
        <v>0</v>
      </c>
      <c r="L2368" s="563">
        <f t="shared" si="109"/>
        <v>0</v>
      </c>
      <c r="M2368" s="563">
        <f t="shared" si="110"/>
        <v>70.784999999999997</v>
      </c>
      <c r="N2368" s="580"/>
    </row>
    <row r="2369" spans="4:14" x14ac:dyDescent="0.25">
      <c r="D2369" s="559" t="s">
        <v>867</v>
      </c>
      <c r="E2369" s="558">
        <v>313012</v>
      </c>
      <c r="F2369" s="559">
        <v>303028</v>
      </c>
      <c r="G2369" s="558" t="s">
        <v>4882</v>
      </c>
      <c r="H2369" s="564">
        <v>40015</v>
      </c>
      <c r="I2369" s="563">
        <v>64.349999999999994</v>
      </c>
      <c r="J2369" s="563">
        <v>-64.349999999999994</v>
      </c>
      <c r="K2369" s="582">
        <f t="shared" si="108"/>
        <v>0</v>
      </c>
      <c r="L2369" s="563">
        <f t="shared" si="109"/>
        <v>0</v>
      </c>
      <c r="M2369" s="563">
        <f t="shared" si="110"/>
        <v>70.784999999999997</v>
      </c>
      <c r="N2369" s="580"/>
    </row>
    <row r="2370" spans="4:14" x14ac:dyDescent="0.25">
      <c r="D2370" s="559" t="s">
        <v>867</v>
      </c>
      <c r="E2370" s="558">
        <v>313013</v>
      </c>
      <c r="F2370" s="559">
        <v>303029</v>
      </c>
      <c r="G2370" s="558" t="s">
        <v>4882</v>
      </c>
      <c r="H2370" s="564">
        <v>40015</v>
      </c>
      <c r="I2370" s="563">
        <v>64.349999999999994</v>
      </c>
      <c r="J2370" s="563">
        <v>-64.349999999999994</v>
      </c>
      <c r="K2370" s="582">
        <f t="shared" si="108"/>
        <v>0</v>
      </c>
      <c r="L2370" s="563">
        <f t="shared" si="109"/>
        <v>0</v>
      </c>
      <c r="M2370" s="563">
        <f t="shared" si="110"/>
        <v>70.784999999999997</v>
      </c>
      <c r="N2370" s="580"/>
    </row>
    <row r="2371" spans="4:14" x14ac:dyDescent="0.25">
      <c r="D2371" s="559" t="s">
        <v>867</v>
      </c>
      <c r="E2371" s="558">
        <v>313014</v>
      </c>
      <c r="F2371" s="559">
        <v>303030</v>
      </c>
      <c r="G2371" s="558" t="s">
        <v>4882</v>
      </c>
      <c r="H2371" s="564">
        <v>40015</v>
      </c>
      <c r="I2371" s="563">
        <v>64.349999999999994</v>
      </c>
      <c r="J2371" s="563">
        <v>-64.349999999999994</v>
      </c>
      <c r="K2371" s="582">
        <f t="shared" si="108"/>
        <v>0</v>
      </c>
      <c r="L2371" s="563">
        <f t="shared" si="109"/>
        <v>0</v>
      </c>
      <c r="M2371" s="563">
        <f t="shared" si="110"/>
        <v>70.784999999999997</v>
      </c>
      <c r="N2371" s="580"/>
    </row>
    <row r="2372" spans="4:14" x14ac:dyDescent="0.25">
      <c r="D2372" s="559" t="s">
        <v>867</v>
      </c>
      <c r="E2372" s="558">
        <v>313015</v>
      </c>
      <c r="F2372" s="559">
        <v>303031</v>
      </c>
      <c r="G2372" s="558" t="s">
        <v>4882</v>
      </c>
      <c r="H2372" s="564">
        <v>40015</v>
      </c>
      <c r="I2372" s="563">
        <v>64.349999999999994</v>
      </c>
      <c r="J2372" s="563">
        <v>-64.349999999999994</v>
      </c>
      <c r="K2372" s="582">
        <f t="shared" si="108"/>
        <v>0</v>
      </c>
      <c r="L2372" s="563">
        <f t="shared" si="109"/>
        <v>0</v>
      </c>
      <c r="M2372" s="563">
        <f t="shared" si="110"/>
        <v>70.784999999999997</v>
      </c>
      <c r="N2372" s="580"/>
    </row>
    <row r="2373" spans="4:14" x14ac:dyDescent="0.25">
      <c r="D2373" s="559" t="s">
        <v>867</v>
      </c>
      <c r="E2373" s="558">
        <v>313016</v>
      </c>
      <c r="F2373" s="559">
        <v>303032</v>
      </c>
      <c r="G2373" s="558" t="s">
        <v>4883</v>
      </c>
      <c r="H2373" s="564">
        <v>40015</v>
      </c>
      <c r="I2373" s="563">
        <v>64.349999999999994</v>
      </c>
      <c r="J2373" s="563">
        <v>-64.349999999999994</v>
      </c>
      <c r="K2373" s="582">
        <f t="shared" si="108"/>
        <v>0</v>
      </c>
      <c r="L2373" s="563">
        <f t="shared" si="109"/>
        <v>0</v>
      </c>
      <c r="M2373" s="563">
        <f t="shared" si="110"/>
        <v>70.784999999999997</v>
      </c>
      <c r="N2373" s="580"/>
    </row>
    <row r="2374" spans="4:14" x14ac:dyDescent="0.25">
      <c r="D2374" s="559" t="s">
        <v>867</v>
      </c>
      <c r="E2374" s="558">
        <v>313017</v>
      </c>
      <c r="F2374" s="559">
        <v>303033</v>
      </c>
      <c r="G2374" s="558" t="s">
        <v>4883</v>
      </c>
      <c r="H2374" s="564">
        <v>40015</v>
      </c>
      <c r="I2374" s="563">
        <v>64.349999999999994</v>
      </c>
      <c r="J2374" s="563">
        <v>-64.349999999999994</v>
      </c>
      <c r="K2374" s="582">
        <f t="shared" si="108"/>
        <v>0</v>
      </c>
      <c r="L2374" s="563">
        <f t="shared" si="109"/>
        <v>0</v>
      </c>
      <c r="M2374" s="563">
        <f t="shared" si="110"/>
        <v>70.784999999999997</v>
      </c>
      <c r="N2374" s="580"/>
    </row>
    <row r="2375" spans="4:14" x14ac:dyDescent="0.25">
      <c r="D2375" s="559" t="s">
        <v>867</v>
      </c>
      <c r="E2375" s="558">
        <v>313019</v>
      </c>
      <c r="F2375" s="559">
        <v>303034</v>
      </c>
      <c r="G2375" s="558" t="s">
        <v>4883</v>
      </c>
      <c r="H2375" s="564">
        <v>40015</v>
      </c>
      <c r="I2375" s="563">
        <v>64.349999999999994</v>
      </c>
      <c r="J2375" s="563">
        <v>-64.349999999999994</v>
      </c>
      <c r="K2375" s="582">
        <f t="shared" si="108"/>
        <v>0</v>
      </c>
      <c r="L2375" s="563">
        <f t="shared" si="109"/>
        <v>0</v>
      </c>
      <c r="M2375" s="563">
        <f t="shared" si="110"/>
        <v>70.784999999999997</v>
      </c>
      <c r="N2375" s="580"/>
    </row>
    <row r="2376" spans="4:14" x14ac:dyDescent="0.25">
      <c r="D2376" s="559" t="s">
        <v>867</v>
      </c>
      <c r="E2376" s="558">
        <v>313020</v>
      </c>
      <c r="F2376" s="559">
        <v>303035</v>
      </c>
      <c r="G2376" s="558" t="s">
        <v>4883</v>
      </c>
      <c r="H2376" s="564">
        <v>40015</v>
      </c>
      <c r="I2376" s="563">
        <v>64.349999999999994</v>
      </c>
      <c r="J2376" s="563">
        <v>-64.349999999999994</v>
      </c>
      <c r="K2376" s="582">
        <f t="shared" si="108"/>
        <v>0</v>
      </c>
      <c r="L2376" s="563">
        <f t="shared" si="109"/>
        <v>0</v>
      </c>
      <c r="M2376" s="563">
        <f t="shared" si="110"/>
        <v>70.784999999999997</v>
      </c>
      <c r="N2376" s="580"/>
    </row>
    <row r="2377" spans="4:14" x14ac:dyDescent="0.25">
      <c r="D2377" s="559" t="s">
        <v>867</v>
      </c>
      <c r="E2377" s="558">
        <v>313021</v>
      </c>
      <c r="F2377" s="559">
        <v>303036</v>
      </c>
      <c r="G2377" s="558" t="s">
        <v>4883</v>
      </c>
      <c r="H2377" s="564">
        <v>40015</v>
      </c>
      <c r="I2377" s="563">
        <v>64.349999999999994</v>
      </c>
      <c r="J2377" s="563">
        <v>-64.349999999999994</v>
      </c>
      <c r="K2377" s="582">
        <f t="shared" si="108"/>
        <v>0</v>
      </c>
      <c r="L2377" s="563">
        <f t="shared" si="109"/>
        <v>0</v>
      </c>
      <c r="M2377" s="563">
        <f t="shared" si="110"/>
        <v>70.784999999999997</v>
      </c>
      <c r="N2377" s="580"/>
    </row>
    <row r="2378" spans="4:14" x14ac:dyDescent="0.25">
      <c r="D2378" s="559" t="s">
        <v>867</v>
      </c>
      <c r="E2378" s="558">
        <v>313022</v>
      </c>
      <c r="F2378" s="559">
        <v>303037</v>
      </c>
      <c r="G2378" s="558" t="s">
        <v>4884</v>
      </c>
      <c r="H2378" s="564">
        <v>40015</v>
      </c>
      <c r="I2378" s="563">
        <v>64.349999999999994</v>
      </c>
      <c r="J2378" s="563">
        <v>-64.349999999999994</v>
      </c>
      <c r="K2378" s="582">
        <f t="shared" si="108"/>
        <v>0</v>
      </c>
      <c r="L2378" s="563">
        <f t="shared" si="109"/>
        <v>0</v>
      </c>
      <c r="M2378" s="563">
        <f t="shared" si="110"/>
        <v>70.784999999999997</v>
      </c>
      <c r="N2378" s="580"/>
    </row>
    <row r="2379" spans="4:14" x14ac:dyDescent="0.25">
      <c r="D2379" s="559" t="s">
        <v>867</v>
      </c>
      <c r="E2379" s="558">
        <v>313023</v>
      </c>
      <c r="F2379" s="559">
        <v>303038</v>
      </c>
      <c r="G2379" s="558" t="s">
        <v>4884</v>
      </c>
      <c r="H2379" s="564">
        <v>40015</v>
      </c>
      <c r="I2379" s="563">
        <v>64.349999999999994</v>
      </c>
      <c r="J2379" s="563">
        <v>-64.349999999999994</v>
      </c>
      <c r="K2379" s="582">
        <f t="shared" si="108"/>
        <v>0</v>
      </c>
      <c r="L2379" s="563">
        <f t="shared" si="109"/>
        <v>0</v>
      </c>
      <c r="M2379" s="563">
        <f t="shared" si="110"/>
        <v>70.784999999999997</v>
      </c>
      <c r="N2379" s="580"/>
    </row>
    <row r="2380" spans="4:14" x14ac:dyDescent="0.25">
      <c r="D2380" s="559" t="s">
        <v>867</v>
      </c>
      <c r="E2380" s="558">
        <v>313024</v>
      </c>
      <c r="F2380" s="559">
        <v>303039</v>
      </c>
      <c r="G2380" s="558" t="s">
        <v>4884</v>
      </c>
      <c r="H2380" s="564">
        <v>40015</v>
      </c>
      <c r="I2380" s="563">
        <v>64.349999999999994</v>
      </c>
      <c r="J2380" s="563">
        <v>-64.349999999999994</v>
      </c>
      <c r="K2380" s="582">
        <f t="shared" si="108"/>
        <v>0</v>
      </c>
      <c r="L2380" s="563">
        <f t="shared" si="109"/>
        <v>0</v>
      </c>
      <c r="M2380" s="563">
        <f t="shared" si="110"/>
        <v>70.784999999999997</v>
      </c>
      <c r="N2380" s="580"/>
    </row>
    <row r="2381" spans="4:14" x14ac:dyDescent="0.25">
      <c r="D2381" s="559" t="s">
        <v>867</v>
      </c>
      <c r="E2381" s="558">
        <v>313025</v>
      </c>
      <c r="F2381" s="559">
        <v>303040</v>
      </c>
      <c r="G2381" s="558" t="s">
        <v>4884</v>
      </c>
      <c r="H2381" s="564">
        <v>40015</v>
      </c>
      <c r="I2381" s="563">
        <v>64.349999999999994</v>
      </c>
      <c r="J2381" s="563">
        <v>-64.349999999999994</v>
      </c>
      <c r="K2381" s="582">
        <f t="shared" si="108"/>
        <v>0</v>
      </c>
      <c r="L2381" s="563">
        <f t="shared" si="109"/>
        <v>0</v>
      </c>
      <c r="M2381" s="563">
        <f t="shared" si="110"/>
        <v>70.784999999999997</v>
      </c>
      <c r="N2381" s="580"/>
    </row>
    <row r="2382" spans="4:14" x14ac:dyDescent="0.25">
      <c r="D2382" s="559" t="s">
        <v>867</v>
      </c>
      <c r="E2382" s="558">
        <v>313026</v>
      </c>
      <c r="F2382" s="559">
        <v>303041</v>
      </c>
      <c r="G2382" s="558" t="s">
        <v>4884</v>
      </c>
      <c r="H2382" s="564">
        <v>40015</v>
      </c>
      <c r="I2382" s="563">
        <v>64.349999999999994</v>
      </c>
      <c r="J2382" s="563">
        <v>-64.349999999999994</v>
      </c>
      <c r="K2382" s="582">
        <f t="shared" si="108"/>
        <v>0</v>
      </c>
      <c r="L2382" s="563">
        <f t="shared" si="109"/>
        <v>0</v>
      </c>
      <c r="M2382" s="563">
        <f t="shared" si="110"/>
        <v>70.784999999999997</v>
      </c>
      <c r="N2382" s="580"/>
    </row>
    <row r="2383" spans="4:14" x14ac:dyDescent="0.25">
      <c r="D2383" s="559" t="s">
        <v>867</v>
      </c>
      <c r="E2383" s="558">
        <v>313028</v>
      </c>
      <c r="F2383" s="559">
        <v>303042</v>
      </c>
      <c r="G2383" s="558" t="s">
        <v>4885</v>
      </c>
      <c r="H2383" s="564">
        <v>40015</v>
      </c>
      <c r="I2383" s="563">
        <v>64.349999999999994</v>
      </c>
      <c r="J2383" s="563">
        <v>-64.349999999999994</v>
      </c>
      <c r="K2383" s="582">
        <f t="shared" si="108"/>
        <v>0</v>
      </c>
      <c r="L2383" s="563">
        <f t="shared" si="109"/>
        <v>0</v>
      </c>
      <c r="M2383" s="563">
        <f t="shared" si="110"/>
        <v>70.784999999999997</v>
      </c>
      <c r="N2383" s="580"/>
    </row>
    <row r="2384" spans="4:14" x14ac:dyDescent="0.25">
      <c r="D2384" s="559" t="s">
        <v>867</v>
      </c>
      <c r="E2384" s="558">
        <v>313030</v>
      </c>
      <c r="F2384" s="559">
        <v>303043</v>
      </c>
      <c r="G2384" s="558" t="s">
        <v>4885</v>
      </c>
      <c r="H2384" s="564">
        <v>40015</v>
      </c>
      <c r="I2384" s="563">
        <v>64.349999999999994</v>
      </c>
      <c r="J2384" s="563">
        <v>-64.349999999999994</v>
      </c>
      <c r="K2384" s="582">
        <f t="shared" si="108"/>
        <v>0</v>
      </c>
      <c r="L2384" s="563">
        <f t="shared" si="109"/>
        <v>0</v>
      </c>
      <c r="M2384" s="563">
        <f t="shared" si="110"/>
        <v>70.784999999999997</v>
      </c>
      <c r="N2384" s="580"/>
    </row>
    <row r="2385" spans="4:16" x14ac:dyDescent="0.25">
      <c r="D2385" s="559" t="s">
        <v>867</v>
      </c>
      <c r="E2385" s="558">
        <v>313031</v>
      </c>
      <c r="F2385" s="559">
        <v>303044</v>
      </c>
      <c r="G2385" s="558" t="s">
        <v>4885</v>
      </c>
      <c r="H2385" s="564">
        <v>40015</v>
      </c>
      <c r="I2385" s="563">
        <v>319.8</v>
      </c>
      <c r="J2385" s="563">
        <v>-319.8</v>
      </c>
      <c r="K2385" s="582">
        <f t="shared" si="108"/>
        <v>0</v>
      </c>
      <c r="L2385" s="563">
        <f t="shared" si="109"/>
        <v>0</v>
      </c>
      <c r="M2385" s="563">
        <f t="shared" si="110"/>
        <v>351.78000000000003</v>
      </c>
      <c r="N2385" s="580"/>
    </row>
    <row r="2386" spans="4:16" x14ac:dyDescent="0.25">
      <c r="D2386" s="559" t="s">
        <v>867</v>
      </c>
      <c r="E2386" s="558">
        <v>370077</v>
      </c>
      <c r="F2386" s="559">
        <v>300451</v>
      </c>
      <c r="G2386" s="558" t="s">
        <v>4841</v>
      </c>
      <c r="H2386" s="564">
        <v>40015</v>
      </c>
      <c r="I2386" s="563">
        <v>805.35</v>
      </c>
      <c r="J2386" s="563">
        <v>-585</v>
      </c>
      <c r="K2386" s="582">
        <f t="shared" si="108"/>
        <v>220.35000000000002</v>
      </c>
      <c r="L2386" s="563">
        <f t="shared" si="109"/>
        <v>242.38500000000005</v>
      </c>
      <c r="M2386" s="563">
        <f t="shared" si="110"/>
        <v>885.8850000000001</v>
      </c>
      <c r="N2386" s="580"/>
    </row>
    <row r="2387" spans="4:16" x14ac:dyDescent="0.25">
      <c r="D2387" s="559" t="s">
        <v>867</v>
      </c>
      <c r="E2387" s="558">
        <v>370221</v>
      </c>
      <c r="F2387" s="559">
        <v>300541</v>
      </c>
      <c r="G2387" s="558" t="s">
        <v>4841</v>
      </c>
      <c r="H2387" s="564">
        <v>40015</v>
      </c>
      <c r="I2387" s="563">
        <v>571.35</v>
      </c>
      <c r="J2387" s="563">
        <v>-571.35</v>
      </c>
      <c r="K2387" s="582">
        <f t="shared" si="108"/>
        <v>0</v>
      </c>
      <c r="L2387" s="563">
        <f t="shared" si="109"/>
        <v>0</v>
      </c>
      <c r="M2387" s="563">
        <f t="shared" si="110"/>
        <v>628.48500000000013</v>
      </c>
      <c r="N2387" s="580"/>
    </row>
    <row r="2388" spans="4:16" x14ac:dyDescent="0.25">
      <c r="D2388" s="559" t="s">
        <v>867</v>
      </c>
      <c r="E2388" s="558">
        <v>370227</v>
      </c>
      <c r="F2388" s="559">
        <v>300995</v>
      </c>
      <c r="G2388" s="558" t="s">
        <v>4841</v>
      </c>
      <c r="H2388" s="564">
        <v>40015</v>
      </c>
      <c r="I2388" s="563">
        <v>571.35</v>
      </c>
      <c r="J2388" s="563">
        <v>-571.35</v>
      </c>
      <c r="K2388" s="563">
        <f t="shared" si="108"/>
        <v>0</v>
      </c>
      <c r="L2388" s="563">
        <f t="shared" si="109"/>
        <v>0</v>
      </c>
      <c r="M2388" s="563">
        <f t="shared" si="110"/>
        <v>628.48500000000013</v>
      </c>
      <c r="N2388" s="580"/>
      <c r="O2388" s="558"/>
      <c r="P2388" s="564"/>
    </row>
    <row r="2389" spans="4:16" x14ac:dyDescent="0.25">
      <c r="D2389" s="559" t="s">
        <v>867</v>
      </c>
      <c r="E2389" s="558">
        <v>370851</v>
      </c>
      <c r="F2389" s="559">
        <v>301236</v>
      </c>
      <c r="G2389" s="558" t="s">
        <v>4841</v>
      </c>
      <c r="H2389" s="564">
        <v>40015</v>
      </c>
      <c r="I2389" s="563">
        <v>727.35</v>
      </c>
      <c r="J2389" s="563">
        <v>-585</v>
      </c>
      <c r="K2389" s="582">
        <f t="shared" si="108"/>
        <v>142.35000000000002</v>
      </c>
      <c r="L2389" s="563">
        <f t="shared" si="109"/>
        <v>156.58500000000004</v>
      </c>
      <c r="M2389" s="563">
        <f t="shared" si="110"/>
        <v>800.08500000000004</v>
      </c>
      <c r="N2389" s="580"/>
    </row>
    <row r="2390" spans="4:16" x14ac:dyDescent="0.25">
      <c r="D2390" s="559" t="s">
        <v>867</v>
      </c>
      <c r="E2390" s="558">
        <v>370915</v>
      </c>
      <c r="F2390" s="559">
        <v>301111</v>
      </c>
      <c r="G2390" s="558" t="s">
        <v>4841</v>
      </c>
      <c r="H2390" s="564">
        <v>40015</v>
      </c>
      <c r="I2390" s="563">
        <v>64.349999999999994</v>
      </c>
      <c r="J2390" s="563">
        <v>-64.349999999999994</v>
      </c>
      <c r="K2390" s="582">
        <f t="shared" si="108"/>
        <v>0</v>
      </c>
      <c r="L2390" s="563">
        <f t="shared" si="109"/>
        <v>0</v>
      </c>
      <c r="M2390" s="563">
        <f t="shared" si="110"/>
        <v>70.784999999999997</v>
      </c>
      <c r="N2390" s="580"/>
    </row>
    <row r="2391" spans="4:16" x14ac:dyDescent="0.25">
      <c r="D2391" s="559" t="s">
        <v>867</v>
      </c>
      <c r="E2391" s="558">
        <v>370978</v>
      </c>
      <c r="F2391" s="559">
        <v>302039</v>
      </c>
      <c r="G2391" s="558" t="s">
        <v>4886</v>
      </c>
      <c r="H2391" s="564">
        <v>40015</v>
      </c>
      <c r="I2391" s="563">
        <v>727.35</v>
      </c>
      <c r="J2391" s="563">
        <v>-585</v>
      </c>
      <c r="K2391" s="582">
        <f t="shared" si="108"/>
        <v>142.35000000000002</v>
      </c>
      <c r="L2391" s="563">
        <f t="shared" si="109"/>
        <v>156.58500000000004</v>
      </c>
      <c r="M2391" s="563">
        <f t="shared" si="110"/>
        <v>800.08500000000004</v>
      </c>
      <c r="N2391" s="580"/>
    </row>
    <row r="2392" spans="4:16" x14ac:dyDescent="0.25">
      <c r="D2392" s="559" t="s">
        <v>867</v>
      </c>
      <c r="E2392" s="558">
        <v>370985</v>
      </c>
      <c r="F2392" s="559">
        <v>301599</v>
      </c>
      <c r="G2392" s="558" t="s">
        <v>4886</v>
      </c>
      <c r="H2392" s="564">
        <v>40015</v>
      </c>
      <c r="I2392" s="563">
        <v>64.349999999999994</v>
      </c>
      <c r="J2392" s="563">
        <v>-64.349999999999994</v>
      </c>
      <c r="K2392" s="582">
        <f t="shared" si="108"/>
        <v>0</v>
      </c>
      <c r="L2392" s="563">
        <f t="shared" si="109"/>
        <v>0</v>
      </c>
      <c r="M2392" s="563">
        <f t="shared" si="110"/>
        <v>70.784999999999997</v>
      </c>
      <c r="N2392" s="580"/>
    </row>
    <row r="2393" spans="4:16" x14ac:dyDescent="0.25">
      <c r="D2393" s="559" t="s">
        <v>867</v>
      </c>
      <c r="E2393" s="558">
        <v>371027</v>
      </c>
      <c r="F2393" s="559">
        <v>300770</v>
      </c>
      <c r="G2393" s="558" t="s">
        <v>4886</v>
      </c>
      <c r="H2393" s="564">
        <v>40015</v>
      </c>
      <c r="I2393" s="563">
        <v>64.349999999999994</v>
      </c>
      <c r="J2393" s="563">
        <v>-64.349999999999994</v>
      </c>
      <c r="K2393" s="582">
        <f t="shared" si="108"/>
        <v>0</v>
      </c>
      <c r="L2393" s="563">
        <f t="shared" si="109"/>
        <v>0</v>
      </c>
      <c r="M2393" s="563">
        <f t="shared" si="110"/>
        <v>70.784999999999997</v>
      </c>
      <c r="N2393" s="580"/>
    </row>
    <row r="2394" spans="4:16" x14ac:dyDescent="0.25">
      <c r="D2394" s="559" t="s">
        <v>867</v>
      </c>
      <c r="E2394" s="558">
        <v>371058</v>
      </c>
      <c r="F2394" s="559">
        <v>302233</v>
      </c>
      <c r="G2394" s="558" t="s">
        <v>4886</v>
      </c>
      <c r="H2394" s="564">
        <v>40015</v>
      </c>
      <c r="I2394" s="563">
        <v>64.349999999999994</v>
      </c>
      <c r="J2394" s="563">
        <v>-64.349999999999994</v>
      </c>
      <c r="K2394" s="582">
        <f t="shared" si="108"/>
        <v>0</v>
      </c>
      <c r="L2394" s="563">
        <f t="shared" si="109"/>
        <v>0</v>
      </c>
      <c r="M2394" s="563">
        <f t="shared" si="110"/>
        <v>70.784999999999997</v>
      </c>
      <c r="N2394" s="580"/>
    </row>
    <row r="2395" spans="4:16" x14ac:dyDescent="0.25">
      <c r="D2395" s="559" t="s">
        <v>867</v>
      </c>
      <c r="E2395" s="558">
        <v>371687</v>
      </c>
      <c r="F2395" s="559">
        <v>300169</v>
      </c>
      <c r="G2395" s="558" t="s">
        <v>4886</v>
      </c>
      <c r="H2395" s="564">
        <v>40015</v>
      </c>
      <c r="I2395" s="563">
        <v>727.35</v>
      </c>
      <c r="J2395" s="563">
        <v>-585</v>
      </c>
      <c r="K2395" s="582">
        <f t="shared" si="108"/>
        <v>142.35000000000002</v>
      </c>
      <c r="L2395" s="563">
        <f t="shared" si="109"/>
        <v>156.58500000000004</v>
      </c>
      <c r="M2395" s="563">
        <f t="shared" si="110"/>
        <v>800.08500000000004</v>
      </c>
      <c r="N2395" s="580"/>
    </row>
    <row r="2396" spans="4:16" x14ac:dyDescent="0.25">
      <c r="D2396" s="559" t="s">
        <v>867</v>
      </c>
      <c r="E2396" s="558">
        <v>390028</v>
      </c>
      <c r="F2396" s="559">
        <v>301173</v>
      </c>
      <c r="G2396" s="558" t="s">
        <v>4842</v>
      </c>
      <c r="H2396" s="564">
        <v>40015</v>
      </c>
      <c r="I2396" s="563">
        <v>1078.3499999999999</v>
      </c>
      <c r="J2396" s="563">
        <v>-585</v>
      </c>
      <c r="K2396" s="582">
        <f t="shared" si="108"/>
        <v>493.34999999999991</v>
      </c>
      <c r="L2396" s="563">
        <f t="shared" si="109"/>
        <v>542.68499999999995</v>
      </c>
      <c r="M2396" s="563">
        <f t="shared" si="110"/>
        <v>1186.1849999999999</v>
      </c>
      <c r="N2396" s="580"/>
    </row>
    <row r="2397" spans="4:16" x14ac:dyDescent="0.25">
      <c r="D2397" s="559" t="s">
        <v>867</v>
      </c>
      <c r="E2397" s="558">
        <v>390029</v>
      </c>
      <c r="F2397" s="559">
        <v>301000</v>
      </c>
      <c r="G2397" s="558" t="s">
        <v>4842</v>
      </c>
      <c r="H2397" s="564">
        <v>40015</v>
      </c>
      <c r="I2397" s="563">
        <v>181.35</v>
      </c>
      <c r="J2397" s="563">
        <v>-181.35</v>
      </c>
      <c r="K2397" s="582">
        <f t="shared" si="108"/>
        <v>0</v>
      </c>
      <c r="L2397" s="563">
        <f t="shared" si="109"/>
        <v>0</v>
      </c>
      <c r="M2397" s="563">
        <f t="shared" si="110"/>
        <v>199.48500000000001</v>
      </c>
      <c r="N2397" s="580"/>
    </row>
    <row r="2398" spans="4:16" x14ac:dyDescent="0.25">
      <c r="D2398" s="559" t="s">
        <v>867</v>
      </c>
      <c r="E2398" s="558">
        <v>390030</v>
      </c>
      <c r="F2398" s="559">
        <v>303261</v>
      </c>
      <c r="G2398" s="558" t="s">
        <v>4842</v>
      </c>
      <c r="H2398" s="564">
        <v>40015</v>
      </c>
      <c r="I2398" s="563">
        <v>181.35</v>
      </c>
      <c r="J2398" s="563">
        <v>-181.35</v>
      </c>
      <c r="K2398" s="582">
        <f t="shared" si="108"/>
        <v>0</v>
      </c>
      <c r="L2398" s="563">
        <f t="shared" si="109"/>
        <v>0</v>
      </c>
      <c r="M2398" s="563">
        <f t="shared" si="110"/>
        <v>199.48500000000001</v>
      </c>
      <c r="N2398" s="580"/>
    </row>
    <row r="2399" spans="4:16" x14ac:dyDescent="0.25">
      <c r="D2399" s="559" t="s">
        <v>867</v>
      </c>
      <c r="E2399" s="558">
        <v>390031</v>
      </c>
      <c r="F2399" s="559">
        <v>301988</v>
      </c>
      <c r="G2399" s="558" t="s">
        <v>4842</v>
      </c>
      <c r="H2399" s="564">
        <v>40015</v>
      </c>
      <c r="I2399" s="563">
        <v>1117.3499999999999</v>
      </c>
      <c r="J2399" s="563">
        <v>-585</v>
      </c>
      <c r="K2399" s="582">
        <f t="shared" si="108"/>
        <v>532.34999999999991</v>
      </c>
      <c r="L2399" s="563">
        <f t="shared" si="109"/>
        <v>585.58499999999992</v>
      </c>
      <c r="M2399" s="563">
        <f t="shared" si="110"/>
        <v>1229.085</v>
      </c>
      <c r="N2399" s="580"/>
    </row>
    <row r="2400" spans="4:16" x14ac:dyDescent="0.25">
      <c r="D2400" s="559" t="s">
        <v>867</v>
      </c>
      <c r="E2400" s="558">
        <v>390032</v>
      </c>
      <c r="F2400" s="559">
        <v>300904</v>
      </c>
      <c r="G2400" s="558" t="s">
        <v>4842</v>
      </c>
      <c r="H2400" s="564">
        <v>40015</v>
      </c>
      <c r="I2400" s="563">
        <v>1000.35</v>
      </c>
      <c r="J2400" s="563">
        <v>-585</v>
      </c>
      <c r="K2400" s="563">
        <f t="shared" si="108"/>
        <v>415.35</v>
      </c>
      <c r="L2400" s="563">
        <f t="shared" si="109"/>
        <v>456.88500000000005</v>
      </c>
      <c r="M2400" s="563">
        <f t="shared" si="110"/>
        <v>1100.3850000000002</v>
      </c>
      <c r="N2400" s="580"/>
      <c r="O2400" s="558"/>
      <c r="P2400" s="564"/>
    </row>
    <row r="2401" spans="4:16" x14ac:dyDescent="0.25">
      <c r="D2401" s="559" t="s">
        <v>867</v>
      </c>
      <c r="E2401" s="558">
        <v>390033</v>
      </c>
      <c r="F2401" s="559">
        <v>300089</v>
      </c>
      <c r="G2401" s="558" t="s">
        <v>4843</v>
      </c>
      <c r="H2401" s="564">
        <v>40015</v>
      </c>
      <c r="I2401" s="563">
        <v>390</v>
      </c>
      <c r="J2401" s="563">
        <v>-390</v>
      </c>
      <c r="K2401" s="582">
        <f t="shared" si="108"/>
        <v>0</v>
      </c>
      <c r="L2401" s="563">
        <f t="shared" si="109"/>
        <v>0</v>
      </c>
      <c r="M2401" s="563">
        <f t="shared" si="110"/>
        <v>429.00000000000006</v>
      </c>
      <c r="N2401" s="580"/>
    </row>
    <row r="2402" spans="4:16" x14ac:dyDescent="0.25">
      <c r="D2402" s="559" t="s">
        <v>867</v>
      </c>
      <c r="E2402" s="558">
        <v>390034</v>
      </c>
      <c r="F2402" s="559">
        <v>301724</v>
      </c>
      <c r="G2402" s="558" t="s">
        <v>4843</v>
      </c>
      <c r="H2402" s="564">
        <v>40015</v>
      </c>
      <c r="I2402" s="563">
        <v>390</v>
      </c>
      <c r="J2402" s="563">
        <v>-390</v>
      </c>
      <c r="K2402" s="582">
        <f t="shared" si="108"/>
        <v>0</v>
      </c>
      <c r="L2402" s="563">
        <f t="shared" si="109"/>
        <v>0</v>
      </c>
      <c r="M2402" s="563">
        <f t="shared" si="110"/>
        <v>429.00000000000006</v>
      </c>
      <c r="N2402" s="580"/>
    </row>
    <row r="2403" spans="4:16" x14ac:dyDescent="0.25">
      <c r="D2403" s="559" t="s">
        <v>867</v>
      </c>
      <c r="E2403" s="558">
        <v>390035</v>
      </c>
      <c r="F2403" s="559">
        <v>301725</v>
      </c>
      <c r="G2403" s="558" t="s">
        <v>4843</v>
      </c>
      <c r="H2403" s="564">
        <v>40015</v>
      </c>
      <c r="I2403" s="563">
        <v>273</v>
      </c>
      <c r="J2403" s="563">
        <v>-273</v>
      </c>
      <c r="K2403" s="582">
        <f t="shared" si="108"/>
        <v>0</v>
      </c>
      <c r="L2403" s="563">
        <f t="shared" si="109"/>
        <v>0</v>
      </c>
      <c r="M2403" s="563">
        <f t="shared" si="110"/>
        <v>300.3</v>
      </c>
      <c r="N2403" s="580"/>
    </row>
    <row r="2404" spans="4:16" x14ac:dyDescent="0.25">
      <c r="D2404" s="559" t="s">
        <v>867</v>
      </c>
      <c r="E2404" s="558">
        <v>390036</v>
      </c>
      <c r="F2404" s="559">
        <v>301726</v>
      </c>
      <c r="G2404" s="558" t="s">
        <v>4843</v>
      </c>
      <c r="H2404" s="564">
        <v>40015</v>
      </c>
      <c r="I2404" s="563">
        <v>688.35</v>
      </c>
      <c r="J2404" s="563">
        <v>-585</v>
      </c>
      <c r="K2404" s="582">
        <f t="shared" si="108"/>
        <v>103.35000000000002</v>
      </c>
      <c r="L2404" s="563">
        <f t="shared" si="109"/>
        <v>113.68500000000003</v>
      </c>
      <c r="M2404" s="563">
        <f t="shared" si="110"/>
        <v>757.18500000000006</v>
      </c>
      <c r="N2404" s="580"/>
    </row>
    <row r="2405" spans="4:16" x14ac:dyDescent="0.25">
      <c r="D2405" s="559" t="s">
        <v>867</v>
      </c>
      <c r="E2405" s="558">
        <v>390037</v>
      </c>
      <c r="F2405" s="559">
        <v>300173</v>
      </c>
      <c r="G2405" s="558" t="s">
        <v>4843</v>
      </c>
      <c r="H2405" s="564">
        <v>40015</v>
      </c>
      <c r="I2405" s="563">
        <v>181.35</v>
      </c>
      <c r="J2405" s="563">
        <v>-181.35</v>
      </c>
      <c r="K2405" s="563">
        <f t="shared" si="108"/>
        <v>0</v>
      </c>
      <c r="L2405" s="563">
        <f t="shared" si="109"/>
        <v>0</v>
      </c>
      <c r="M2405" s="563">
        <f t="shared" si="110"/>
        <v>199.48500000000001</v>
      </c>
      <c r="N2405" s="580"/>
      <c r="O2405" s="558"/>
      <c r="P2405" s="564"/>
    </row>
    <row r="2406" spans="4:16" x14ac:dyDescent="0.25">
      <c r="D2406" s="559" t="s">
        <v>867</v>
      </c>
      <c r="E2406" s="558">
        <v>390038</v>
      </c>
      <c r="F2406" s="559">
        <v>301727</v>
      </c>
      <c r="G2406" s="558" t="s">
        <v>4887</v>
      </c>
      <c r="H2406" s="564">
        <v>40015</v>
      </c>
      <c r="I2406" s="563">
        <v>351</v>
      </c>
      <c r="J2406" s="563">
        <v>-351</v>
      </c>
      <c r="K2406" s="582">
        <f t="shared" si="108"/>
        <v>0</v>
      </c>
      <c r="L2406" s="563">
        <f t="shared" si="109"/>
        <v>0</v>
      </c>
      <c r="M2406" s="563">
        <f t="shared" si="110"/>
        <v>386.1</v>
      </c>
      <c r="N2406" s="580"/>
    </row>
    <row r="2407" spans="4:16" x14ac:dyDescent="0.25">
      <c r="D2407" s="559" t="s">
        <v>867</v>
      </c>
      <c r="E2407" s="558">
        <v>390039</v>
      </c>
      <c r="F2407" s="559">
        <v>301728</v>
      </c>
      <c r="G2407" s="558" t="s">
        <v>4887</v>
      </c>
      <c r="H2407" s="564">
        <v>40015</v>
      </c>
      <c r="I2407" s="563">
        <v>273</v>
      </c>
      <c r="J2407" s="563">
        <v>-273</v>
      </c>
      <c r="K2407" s="582">
        <f t="shared" si="108"/>
        <v>0</v>
      </c>
      <c r="L2407" s="563">
        <f t="shared" si="109"/>
        <v>0</v>
      </c>
      <c r="M2407" s="563">
        <f t="shared" si="110"/>
        <v>300.3</v>
      </c>
      <c r="N2407" s="580"/>
    </row>
    <row r="2408" spans="4:16" x14ac:dyDescent="0.25">
      <c r="D2408" s="559" t="s">
        <v>867</v>
      </c>
      <c r="E2408" s="558">
        <v>390040</v>
      </c>
      <c r="F2408" s="559">
        <v>301729</v>
      </c>
      <c r="G2408" s="558" t="s">
        <v>4887</v>
      </c>
      <c r="H2408" s="564">
        <v>40015</v>
      </c>
      <c r="I2408" s="563">
        <v>181.35</v>
      </c>
      <c r="J2408" s="563">
        <v>-181.35</v>
      </c>
      <c r="K2408" s="582">
        <f t="shared" si="108"/>
        <v>0</v>
      </c>
      <c r="L2408" s="563">
        <f t="shared" si="109"/>
        <v>0</v>
      </c>
      <c r="M2408" s="563">
        <f t="shared" si="110"/>
        <v>199.48500000000001</v>
      </c>
      <c r="N2408" s="580"/>
    </row>
    <row r="2409" spans="4:16" x14ac:dyDescent="0.25">
      <c r="D2409" s="559" t="s">
        <v>867</v>
      </c>
      <c r="E2409" s="558">
        <v>390041</v>
      </c>
      <c r="F2409" s="559">
        <v>301730</v>
      </c>
      <c r="G2409" s="558" t="s">
        <v>4887</v>
      </c>
      <c r="H2409" s="564">
        <v>40015</v>
      </c>
      <c r="I2409" s="563">
        <v>1390.35</v>
      </c>
      <c r="J2409" s="563">
        <v>-585</v>
      </c>
      <c r="K2409" s="582">
        <f t="shared" ref="K2409:K2472" si="111">+I2409+J2409</f>
        <v>805.34999999999991</v>
      </c>
      <c r="L2409" s="563">
        <f t="shared" ref="L2409:L2472" si="112">+K2409*1.1</f>
        <v>885.88499999999999</v>
      </c>
      <c r="M2409" s="563">
        <f t="shared" ref="M2409:M2472" si="113">+I2409*1.1</f>
        <v>1529.385</v>
      </c>
      <c r="N2409" s="580"/>
    </row>
    <row r="2410" spans="4:16" x14ac:dyDescent="0.25">
      <c r="D2410" s="559" t="s">
        <v>867</v>
      </c>
      <c r="E2410" s="558">
        <v>390044</v>
      </c>
      <c r="F2410" s="559">
        <v>300975</v>
      </c>
      <c r="G2410" s="558" t="s">
        <v>4887</v>
      </c>
      <c r="H2410" s="564">
        <v>40015</v>
      </c>
      <c r="I2410" s="563">
        <v>588.9</v>
      </c>
      <c r="J2410" s="563">
        <v>-585</v>
      </c>
      <c r="K2410" s="582">
        <f t="shared" si="111"/>
        <v>3.8999999999999773</v>
      </c>
      <c r="L2410" s="563">
        <f t="shared" si="112"/>
        <v>4.2899999999999752</v>
      </c>
      <c r="M2410" s="563">
        <f t="shared" si="113"/>
        <v>647.79000000000008</v>
      </c>
      <c r="N2410" s="580"/>
    </row>
    <row r="2411" spans="4:16" x14ac:dyDescent="0.25">
      <c r="D2411" s="559" t="s">
        <v>867</v>
      </c>
      <c r="E2411" s="558">
        <v>390051</v>
      </c>
      <c r="F2411" s="559">
        <v>300161</v>
      </c>
      <c r="G2411" s="558" t="s">
        <v>4888</v>
      </c>
      <c r="H2411" s="564">
        <v>40015</v>
      </c>
      <c r="I2411" s="563">
        <v>292.5</v>
      </c>
      <c r="J2411" s="563">
        <v>-292.5</v>
      </c>
      <c r="K2411" s="582">
        <f t="shared" si="111"/>
        <v>0</v>
      </c>
      <c r="L2411" s="563">
        <f t="shared" si="112"/>
        <v>0</v>
      </c>
      <c r="M2411" s="563">
        <f t="shared" si="113"/>
        <v>321.75</v>
      </c>
      <c r="N2411" s="580"/>
    </row>
    <row r="2412" spans="4:16" x14ac:dyDescent="0.25">
      <c r="D2412" s="559" t="s">
        <v>867</v>
      </c>
      <c r="E2412" s="558">
        <v>390055</v>
      </c>
      <c r="F2412" s="559">
        <v>300796</v>
      </c>
      <c r="G2412" s="558" t="s">
        <v>4888</v>
      </c>
      <c r="H2412" s="564">
        <v>40015</v>
      </c>
      <c r="I2412" s="563">
        <v>181.35</v>
      </c>
      <c r="J2412" s="563">
        <v>-181.35</v>
      </c>
      <c r="K2412" s="582">
        <f t="shared" si="111"/>
        <v>0</v>
      </c>
      <c r="L2412" s="563">
        <f t="shared" si="112"/>
        <v>0</v>
      </c>
      <c r="M2412" s="563">
        <f t="shared" si="113"/>
        <v>199.48500000000001</v>
      </c>
      <c r="N2412" s="580"/>
    </row>
    <row r="2413" spans="4:16" x14ac:dyDescent="0.25">
      <c r="D2413" s="559" t="s">
        <v>867</v>
      </c>
      <c r="E2413" s="558">
        <v>390057</v>
      </c>
      <c r="F2413" s="559">
        <v>301958</v>
      </c>
      <c r="G2413" s="558" t="s">
        <v>4888</v>
      </c>
      <c r="H2413" s="564">
        <v>40015</v>
      </c>
      <c r="I2413" s="563">
        <v>181.35</v>
      </c>
      <c r="J2413" s="563">
        <v>-181.35</v>
      </c>
      <c r="K2413" s="582">
        <f t="shared" si="111"/>
        <v>0</v>
      </c>
      <c r="L2413" s="563">
        <f t="shared" si="112"/>
        <v>0</v>
      </c>
      <c r="M2413" s="563">
        <f t="shared" si="113"/>
        <v>199.48500000000001</v>
      </c>
      <c r="N2413" s="580"/>
    </row>
    <row r="2414" spans="4:16" x14ac:dyDescent="0.25">
      <c r="D2414" s="559" t="s">
        <v>867</v>
      </c>
      <c r="E2414" s="558">
        <v>390059</v>
      </c>
      <c r="F2414" s="559">
        <v>300038</v>
      </c>
      <c r="G2414" s="558" t="s">
        <v>4888</v>
      </c>
      <c r="H2414" s="564">
        <v>40015</v>
      </c>
      <c r="I2414" s="563">
        <v>331.5</v>
      </c>
      <c r="J2414" s="563">
        <v>-331.5</v>
      </c>
      <c r="K2414" s="582">
        <f t="shared" si="111"/>
        <v>0</v>
      </c>
      <c r="L2414" s="563">
        <f t="shared" si="112"/>
        <v>0</v>
      </c>
      <c r="M2414" s="563">
        <f t="shared" si="113"/>
        <v>364.65000000000003</v>
      </c>
      <c r="N2414" s="580"/>
    </row>
    <row r="2415" spans="4:16" x14ac:dyDescent="0.25">
      <c r="D2415" s="559" t="s">
        <v>867</v>
      </c>
      <c r="E2415" s="558">
        <v>390061</v>
      </c>
      <c r="F2415" s="559">
        <v>300662</v>
      </c>
      <c r="G2415" s="558" t="s">
        <v>4888</v>
      </c>
      <c r="H2415" s="564">
        <v>40015</v>
      </c>
      <c r="I2415" s="563">
        <v>292.5</v>
      </c>
      <c r="J2415" s="563">
        <v>-292.5</v>
      </c>
      <c r="K2415" s="582">
        <f t="shared" si="111"/>
        <v>0</v>
      </c>
      <c r="L2415" s="563">
        <f t="shared" si="112"/>
        <v>0</v>
      </c>
      <c r="M2415" s="563">
        <f t="shared" si="113"/>
        <v>321.75</v>
      </c>
      <c r="N2415" s="580"/>
    </row>
    <row r="2416" spans="4:16" x14ac:dyDescent="0.25">
      <c r="D2416" s="559" t="s">
        <v>867</v>
      </c>
      <c r="E2416" s="558">
        <v>390062</v>
      </c>
      <c r="F2416" s="559">
        <v>301195</v>
      </c>
      <c r="G2416" s="558" t="s">
        <v>4889</v>
      </c>
      <c r="H2416" s="564">
        <v>40015</v>
      </c>
      <c r="I2416" s="563">
        <v>292.5</v>
      </c>
      <c r="J2416" s="563">
        <v>-292.5</v>
      </c>
      <c r="K2416" s="582">
        <f t="shared" si="111"/>
        <v>0</v>
      </c>
      <c r="L2416" s="563">
        <f t="shared" si="112"/>
        <v>0</v>
      </c>
      <c r="M2416" s="563">
        <f t="shared" si="113"/>
        <v>321.75</v>
      </c>
      <c r="N2416" s="580"/>
    </row>
    <row r="2417" spans="4:14" x14ac:dyDescent="0.25">
      <c r="D2417" s="559" t="s">
        <v>867</v>
      </c>
      <c r="E2417" s="558">
        <v>390063</v>
      </c>
      <c r="F2417" s="559">
        <v>301339</v>
      </c>
      <c r="G2417" s="558" t="s">
        <v>4889</v>
      </c>
      <c r="H2417" s="564">
        <v>40015</v>
      </c>
      <c r="I2417" s="563">
        <v>298.35000000000002</v>
      </c>
      <c r="J2417" s="563">
        <v>-298.35000000000002</v>
      </c>
      <c r="K2417" s="582">
        <f t="shared" si="111"/>
        <v>0</v>
      </c>
      <c r="L2417" s="563">
        <f t="shared" si="112"/>
        <v>0</v>
      </c>
      <c r="M2417" s="563">
        <f t="shared" si="113"/>
        <v>328.18500000000006</v>
      </c>
      <c r="N2417" s="580"/>
    </row>
    <row r="2418" spans="4:14" x14ac:dyDescent="0.25">
      <c r="D2418" s="559" t="s">
        <v>867</v>
      </c>
      <c r="E2418" s="558">
        <v>390064</v>
      </c>
      <c r="F2418" s="559">
        <v>301886</v>
      </c>
      <c r="G2418" s="558" t="s">
        <v>4889</v>
      </c>
      <c r="H2418" s="564">
        <v>40015</v>
      </c>
      <c r="I2418" s="563">
        <v>292.5</v>
      </c>
      <c r="J2418" s="563">
        <v>-292.5</v>
      </c>
      <c r="K2418" s="582">
        <f t="shared" si="111"/>
        <v>0</v>
      </c>
      <c r="L2418" s="563">
        <f t="shared" si="112"/>
        <v>0</v>
      </c>
      <c r="M2418" s="563">
        <f t="shared" si="113"/>
        <v>321.75</v>
      </c>
      <c r="N2418" s="580"/>
    </row>
    <row r="2419" spans="4:14" x14ac:dyDescent="0.25">
      <c r="D2419" s="559" t="s">
        <v>867</v>
      </c>
      <c r="E2419" s="558">
        <v>390065</v>
      </c>
      <c r="F2419" s="559">
        <v>301743</v>
      </c>
      <c r="G2419" s="558" t="s">
        <v>4889</v>
      </c>
      <c r="H2419" s="564">
        <v>40015</v>
      </c>
      <c r="I2419" s="563">
        <v>493.35</v>
      </c>
      <c r="J2419" s="563">
        <v>-493.35</v>
      </c>
      <c r="K2419" s="582">
        <f t="shared" si="111"/>
        <v>0</v>
      </c>
      <c r="L2419" s="563">
        <f t="shared" si="112"/>
        <v>0</v>
      </c>
      <c r="M2419" s="563">
        <f t="shared" si="113"/>
        <v>542.68500000000006</v>
      </c>
      <c r="N2419" s="580"/>
    </row>
    <row r="2420" spans="4:14" x14ac:dyDescent="0.25">
      <c r="D2420" s="559" t="s">
        <v>867</v>
      </c>
      <c r="E2420" s="558">
        <v>390068</v>
      </c>
      <c r="F2420" s="559">
        <v>300134</v>
      </c>
      <c r="G2420" s="558" t="s">
        <v>4889</v>
      </c>
      <c r="H2420" s="564">
        <v>40015</v>
      </c>
      <c r="I2420" s="563">
        <v>1078.3499999999999</v>
      </c>
      <c r="J2420" s="563">
        <v>-585</v>
      </c>
      <c r="K2420" s="582">
        <f t="shared" si="111"/>
        <v>493.34999999999991</v>
      </c>
      <c r="L2420" s="563">
        <f t="shared" si="112"/>
        <v>542.68499999999995</v>
      </c>
      <c r="M2420" s="563">
        <f t="shared" si="113"/>
        <v>1186.1849999999999</v>
      </c>
      <c r="N2420" s="580"/>
    </row>
    <row r="2421" spans="4:14" x14ac:dyDescent="0.25">
      <c r="D2421" s="559" t="s">
        <v>867</v>
      </c>
      <c r="E2421" s="558">
        <v>390069</v>
      </c>
      <c r="F2421" s="559">
        <v>302133</v>
      </c>
      <c r="G2421" s="558" t="s">
        <v>4890</v>
      </c>
      <c r="H2421" s="564">
        <v>40015</v>
      </c>
      <c r="I2421" s="563">
        <v>331.5</v>
      </c>
      <c r="J2421" s="563">
        <v>-331.5</v>
      </c>
      <c r="K2421" s="582">
        <f t="shared" si="111"/>
        <v>0</v>
      </c>
      <c r="L2421" s="563">
        <f t="shared" si="112"/>
        <v>0</v>
      </c>
      <c r="M2421" s="563">
        <f t="shared" si="113"/>
        <v>364.65000000000003</v>
      </c>
      <c r="N2421" s="580"/>
    </row>
    <row r="2422" spans="4:14" x14ac:dyDescent="0.25">
      <c r="D2422" s="559" t="s">
        <v>867</v>
      </c>
      <c r="E2422" s="558">
        <v>390071</v>
      </c>
      <c r="F2422" s="559">
        <v>300647</v>
      </c>
      <c r="G2422" s="558" t="s">
        <v>4890</v>
      </c>
      <c r="H2422" s="564">
        <v>40015</v>
      </c>
      <c r="I2422" s="563">
        <v>331.5</v>
      </c>
      <c r="J2422" s="563">
        <v>-331.5</v>
      </c>
      <c r="K2422" s="582">
        <f t="shared" si="111"/>
        <v>0</v>
      </c>
      <c r="L2422" s="563">
        <f t="shared" si="112"/>
        <v>0</v>
      </c>
      <c r="M2422" s="563">
        <f t="shared" si="113"/>
        <v>364.65000000000003</v>
      </c>
      <c r="N2422" s="580"/>
    </row>
    <row r="2423" spans="4:14" x14ac:dyDescent="0.25">
      <c r="D2423" s="559" t="s">
        <v>867</v>
      </c>
      <c r="E2423" s="558">
        <v>390076</v>
      </c>
      <c r="F2423" s="559">
        <v>301788</v>
      </c>
      <c r="G2423" s="558" t="s">
        <v>4890</v>
      </c>
      <c r="H2423" s="564">
        <v>40015</v>
      </c>
      <c r="I2423" s="563">
        <v>181.35</v>
      </c>
      <c r="J2423" s="563">
        <v>-181.35</v>
      </c>
      <c r="K2423" s="582">
        <f t="shared" si="111"/>
        <v>0</v>
      </c>
      <c r="L2423" s="563">
        <f t="shared" si="112"/>
        <v>0</v>
      </c>
      <c r="M2423" s="563">
        <f t="shared" si="113"/>
        <v>199.48500000000001</v>
      </c>
      <c r="N2423" s="580"/>
    </row>
    <row r="2424" spans="4:14" x14ac:dyDescent="0.25">
      <c r="D2424" s="559" t="s">
        <v>867</v>
      </c>
      <c r="E2424" s="558">
        <v>390079</v>
      </c>
      <c r="F2424" s="559">
        <v>301949</v>
      </c>
      <c r="G2424" s="558" t="s">
        <v>4890</v>
      </c>
      <c r="H2424" s="564">
        <v>40015</v>
      </c>
      <c r="I2424" s="563">
        <v>331.5</v>
      </c>
      <c r="J2424" s="563">
        <v>-331.5</v>
      </c>
      <c r="K2424" s="582">
        <f t="shared" si="111"/>
        <v>0</v>
      </c>
      <c r="L2424" s="563">
        <f t="shared" si="112"/>
        <v>0</v>
      </c>
      <c r="M2424" s="563">
        <f t="shared" si="113"/>
        <v>364.65000000000003</v>
      </c>
      <c r="N2424" s="580"/>
    </row>
    <row r="2425" spans="4:14" x14ac:dyDescent="0.25">
      <c r="D2425" s="559" t="s">
        <v>867</v>
      </c>
      <c r="E2425" s="558">
        <v>390080</v>
      </c>
      <c r="F2425" s="559">
        <v>301240</v>
      </c>
      <c r="G2425" s="558" t="s">
        <v>4890</v>
      </c>
      <c r="H2425" s="564">
        <v>40015</v>
      </c>
      <c r="I2425" s="563">
        <v>331.5</v>
      </c>
      <c r="J2425" s="563">
        <v>-331.5</v>
      </c>
      <c r="K2425" s="582">
        <f t="shared" si="111"/>
        <v>0</v>
      </c>
      <c r="L2425" s="563">
        <f t="shared" si="112"/>
        <v>0</v>
      </c>
      <c r="M2425" s="563">
        <f t="shared" si="113"/>
        <v>364.65000000000003</v>
      </c>
      <c r="N2425" s="580"/>
    </row>
    <row r="2426" spans="4:14" x14ac:dyDescent="0.25">
      <c r="D2426" s="559" t="s">
        <v>867</v>
      </c>
      <c r="E2426" s="558">
        <v>390081</v>
      </c>
      <c r="F2426" s="559">
        <v>300322</v>
      </c>
      <c r="G2426" s="558" t="s">
        <v>4891</v>
      </c>
      <c r="H2426" s="564">
        <v>40015</v>
      </c>
      <c r="I2426" s="563">
        <v>331.5</v>
      </c>
      <c r="J2426" s="563">
        <v>-331.5</v>
      </c>
      <c r="K2426" s="582">
        <f t="shared" si="111"/>
        <v>0</v>
      </c>
      <c r="L2426" s="563">
        <f t="shared" si="112"/>
        <v>0</v>
      </c>
      <c r="M2426" s="563">
        <f t="shared" si="113"/>
        <v>364.65000000000003</v>
      </c>
      <c r="N2426" s="580"/>
    </row>
    <row r="2427" spans="4:14" x14ac:dyDescent="0.25">
      <c r="D2427" s="559" t="s">
        <v>867</v>
      </c>
      <c r="E2427" s="558">
        <v>390082</v>
      </c>
      <c r="F2427" s="559">
        <v>300993</v>
      </c>
      <c r="G2427" s="558" t="s">
        <v>4891</v>
      </c>
      <c r="H2427" s="564">
        <v>40015</v>
      </c>
      <c r="I2427" s="563">
        <v>273</v>
      </c>
      <c r="J2427" s="563">
        <v>-273</v>
      </c>
      <c r="K2427" s="582">
        <f t="shared" si="111"/>
        <v>0</v>
      </c>
      <c r="L2427" s="563">
        <f t="shared" si="112"/>
        <v>0</v>
      </c>
      <c r="M2427" s="563">
        <f t="shared" si="113"/>
        <v>300.3</v>
      </c>
      <c r="N2427" s="580"/>
    </row>
    <row r="2428" spans="4:14" x14ac:dyDescent="0.25">
      <c r="D2428" s="559" t="s">
        <v>867</v>
      </c>
      <c r="E2428" s="558">
        <v>390083</v>
      </c>
      <c r="F2428" s="559">
        <v>301757</v>
      </c>
      <c r="G2428" s="558" t="s">
        <v>4891</v>
      </c>
      <c r="H2428" s="564">
        <v>40015</v>
      </c>
      <c r="I2428" s="563">
        <v>181.35</v>
      </c>
      <c r="J2428" s="563">
        <v>-181.35</v>
      </c>
      <c r="K2428" s="582">
        <f t="shared" si="111"/>
        <v>0</v>
      </c>
      <c r="L2428" s="563">
        <f t="shared" si="112"/>
        <v>0</v>
      </c>
      <c r="M2428" s="563">
        <f t="shared" si="113"/>
        <v>199.48500000000001</v>
      </c>
      <c r="N2428" s="580"/>
    </row>
    <row r="2429" spans="4:14" x14ac:dyDescent="0.25">
      <c r="D2429" s="559" t="s">
        <v>867</v>
      </c>
      <c r="E2429" s="558">
        <v>390084</v>
      </c>
      <c r="F2429" s="559">
        <v>300035</v>
      </c>
      <c r="G2429" s="558" t="s">
        <v>4891</v>
      </c>
      <c r="H2429" s="564">
        <v>40015</v>
      </c>
      <c r="I2429" s="563">
        <v>181.35</v>
      </c>
      <c r="J2429" s="563">
        <v>-181.35</v>
      </c>
      <c r="K2429" s="582">
        <f t="shared" si="111"/>
        <v>0</v>
      </c>
      <c r="L2429" s="563">
        <f t="shared" si="112"/>
        <v>0</v>
      </c>
      <c r="M2429" s="563">
        <f t="shared" si="113"/>
        <v>199.48500000000001</v>
      </c>
      <c r="N2429" s="580"/>
    </row>
    <row r="2430" spans="4:14" x14ac:dyDescent="0.25">
      <c r="D2430" s="559" t="s">
        <v>867</v>
      </c>
      <c r="E2430" s="558">
        <v>390085</v>
      </c>
      <c r="F2430" s="559">
        <v>301386</v>
      </c>
      <c r="G2430" s="558" t="s">
        <v>4891</v>
      </c>
      <c r="H2430" s="564">
        <v>40015</v>
      </c>
      <c r="I2430" s="563">
        <v>181.35</v>
      </c>
      <c r="J2430" s="563">
        <v>-181.35</v>
      </c>
      <c r="K2430" s="582">
        <f t="shared" si="111"/>
        <v>0</v>
      </c>
      <c r="L2430" s="563">
        <f t="shared" si="112"/>
        <v>0</v>
      </c>
      <c r="M2430" s="563">
        <f t="shared" si="113"/>
        <v>199.48500000000001</v>
      </c>
      <c r="N2430" s="580"/>
    </row>
    <row r="2431" spans="4:14" x14ac:dyDescent="0.25">
      <c r="D2431" s="559" t="s">
        <v>867</v>
      </c>
      <c r="E2431" s="558">
        <v>390086</v>
      </c>
      <c r="F2431" s="559">
        <v>301073</v>
      </c>
      <c r="G2431" s="558" t="s">
        <v>4892</v>
      </c>
      <c r="H2431" s="564">
        <v>40015</v>
      </c>
      <c r="I2431" s="563">
        <v>766.35</v>
      </c>
      <c r="J2431" s="563">
        <v>-585</v>
      </c>
      <c r="K2431" s="582">
        <f t="shared" si="111"/>
        <v>181.35000000000002</v>
      </c>
      <c r="L2431" s="563">
        <f t="shared" si="112"/>
        <v>199.48500000000004</v>
      </c>
      <c r="M2431" s="563">
        <f t="shared" si="113"/>
        <v>842.98500000000013</v>
      </c>
      <c r="N2431" s="580"/>
    </row>
    <row r="2432" spans="4:14" x14ac:dyDescent="0.25">
      <c r="D2432" s="559" t="s">
        <v>867</v>
      </c>
      <c r="E2432" s="558">
        <v>390088</v>
      </c>
      <c r="F2432" s="559">
        <v>301327</v>
      </c>
      <c r="G2432" s="558" t="s">
        <v>4892</v>
      </c>
      <c r="H2432" s="564">
        <v>40015</v>
      </c>
      <c r="I2432" s="563">
        <v>312</v>
      </c>
      <c r="J2432" s="563">
        <v>-312</v>
      </c>
      <c r="K2432" s="582">
        <f t="shared" si="111"/>
        <v>0</v>
      </c>
      <c r="L2432" s="563">
        <f t="shared" si="112"/>
        <v>0</v>
      </c>
      <c r="M2432" s="563">
        <f t="shared" si="113"/>
        <v>343.20000000000005</v>
      </c>
      <c r="N2432" s="580"/>
    </row>
    <row r="2433" spans="4:14" x14ac:dyDescent="0.25">
      <c r="D2433" s="559" t="s">
        <v>867</v>
      </c>
      <c r="E2433" s="558">
        <v>390089</v>
      </c>
      <c r="F2433" s="559">
        <v>301186</v>
      </c>
      <c r="G2433" s="558" t="s">
        <v>4892</v>
      </c>
      <c r="H2433" s="564">
        <v>40015</v>
      </c>
      <c r="I2433" s="563">
        <v>624</v>
      </c>
      <c r="J2433" s="563">
        <v>-585</v>
      </c>
      <c r="K2433" s="582">
        <f t="shared" si="111"/>
        <v>39</v>
      </c>
      <c r="L2433" s="563">
        <f t="shared" si="112"/>
        <v>42.900000000000006</v>
      </c>
      <c r="M2433" s="563">
        <f t="shared" si="113"/>
        <v>686.40000000000009</v>
      </c>
      <c r="N2433" s="580"/>
    </row>
    <row r="2434" spans="4:14" x14ac:dyDescent="0.25">
      <c r="D2434" s="559" t="s">
        <v>867</v>
      </c>
      <c r="E2434" s="558">
        <v>390090</v>
      </c>
      <c r="F2434" s="559">
        <v>301065</v>
      </c>
      <c r="G2434" s="558" t="s">
        <v>4892</v>
      </c>
      <c r="H2434" s="564">
        <v>40015</v>
      </c>
      <c r="I2434" s="563">
        <v>312</v>
      </c>
      <c r="J2434" s="563">
        <v>-312</v>
      </c>
      <c r="K2434" s="582">
        <f t="shared" si="111"/>
        <v>0</v>
      </c>
      <c r="L2434" s="563">
        <f t="shared" si="112"/>
        <v>0</v>
      </c>
      <c r="M2434" s="563">
        <f t="shared" si="113"/>
        <v>343.20000000000005</v>
      </c>
      <c r="N2434" s="580"/>
    </row>
    <row r="2435" spans="4:14" x14ac:dyDescent="0.25">
      <c r="D2435" s="559" t="s">
        <v>867</v>
      </c>
      <c r="E2435" s="558">
        <v>390091</v>
      </c>
      <c r="F2435" s="559">
        <v>301526</v>
      </c>
      <c r="G2435" s="558" t="s">
        <v>4892</v>
      </c>
      <c r="H2435" s="564">
        <v>40015</v>
      </c>
      <c r="I2435" s="563">
        <v>312</v>
      </c>
      <c r="J2435" s="563">
        <v>-312</v>
      </c>
      <c r="K2435" s="582">
        <f t="shared" si="111"/>
        <v>0</v>
      </c>
      <c r="L2435" s="563">
        <f t="shared" si="112"/>
        <v>0</v>
      </c>
      <c r="M2435" s="563">
        <f t="shared" si="113"/>
        <v>343.20000000000005</v>
      </c>
      <c r="N2435" s="580"/>
    </row>
    <row r="2436" spans="4:14" x14ac:dyDescent="0.25">
      <c r="D2436" s="559" t="s">
        <v>867</v>
      </c>
      <c r="E2436" s="558">
        <v>390092</v>
      </c>
      <c r="F2436" s="559">
        <v>301709</v>
      </c>
      <c r="G2436" s="558" t="s">
        <v>4893</v>
      </c>
      <c r="H2436" s="564">
        <v>40015</v>
      </c>
      <c r="I2436" s="563">
        <v>181.35</v>
      </c>
      <c r="J2436" s="563">
        <v>-181.35</v>
      </c>
      <c r="K2436" s="582">
        <f t="shared" si="111"/>
        <v>0</v>
      </c>
      <c r="L2436" s="563">
        <f t="shared" si="112"/>
        <v>0</v>
      </c>
      <c r="M2436" s="563">
        <f t="shared" si="113"/>
        <v>199.48500000000001</v>
      </c>
      <c r="N2436" s="580"/>
    </row>
    <row r="2437" spans="4:14" x14ac:dyDescent="0.25">
      <c r="D2437" s="559" t="s">
        <v>867</v>
      </c>
      <c r="E2437" s="558">
        <v>390096</v>
      </c>
      <c r="F2437" s="559">
        <v>300952</v>
      </c>
      <c r="G2437" s="558" t="s">
        <v>4893</v>
      </c>
      <c r="H2437" s="564">
        <v>40015</v>
      </c>
      <c r="I2437" s="563">
        <v>312</v>
      </c>
      <c r="J2437" s="563">
        <v>-312</v>
      </c>
      <c r="K2437" s="582">
        <f t="shared" si="111"/>
        <v>0</v>
      </c>
      <c r="L2437" s="563">
        <f t="shared" si="112"/>
        <v>0</v>
      </c>
      <c r="M2437" s="563">
        <f t="shared" si="113"/>
        <v>343.20000000000005</v>
      </c>
      <c r="N2437" s="580"/>
    </row>
    <row r="2438" spans="4:14" x14ac:dyDescent="0.25">
      <c r="D2438" s="559" t="s">
        <v>867</v>
      </c>
      <c r="E2438" s="558">
        <v>390098</v>
      </c>
      <c r="F2438" s="559">
        <v>301315</v>
      </c>
      <c r="G2438" s="558" t="s">
        <v>4893</v>
      </c>
      <c r="H2438" s="564">
        <v>40015</v>
      </c>
      <c r="I2438" s="563">
        <v>571.35</v>
      </c>
      <c r="J2438" s="563">
        <v>-571.35</v>
      </c>
      <c r="K2438" s="582">
        <f t="shared" si="111"/>
        <v>0</v>
      </c>
      <c r="L2438" s="563">
        <f t="shared" si="112"/>
        <v>0</v>
      </c>
      <c r="M2438" s="563">
        <f t="shared" si="113"/>
        <v>628.48500000000013</v>
      </c>
      <c r="N2438" s="580"/>
    </row>
    <row r="2439" spans="4:14" x14ac:dyDescent="0.25">
      <c r="D2439" s="559" t="s">
        <v>867</v>
      </c>
      <c r="E2439" s="558">
        <v>390099</v>
      </c>
      <c r="F2439" s="559">
        <v>300345</v>
      </c>
      <c r="G2439" s="558" t="s">
        <v>4893</v>
      </c>
      <c r="H2439" s="564">
        <v>40015</v>
      </c>
      <c r="I2439" s="563">
        <v>532.35</v>
      </c>
      <c r="J2439" s="563">
        <v>-532.35</v>
      </c>
      <c r="K2439" s="582">
        <f t="shared" si="111"/>
        <v>0</v>
      </c>
      <c r="L2439" s="563">
        <f t="shared" si="112"/>
        <v>0</v>
      </c>
      <c r="M2439" s="563">
        <f t="shared" si="113"/>
        <v>585.58500000000004</v>
      </c>
      <c r="N2439" s="580"/>
    </row>
    <row r="2440" spans="4:14" x14ac:dyDescent="0.25">
      <c r="D2440" s="559" t="s">
        <v>867</v>
      </c>
      <c r="E2440" s="558">
        <v>390102</v>
      </c>
      <c r="F2440" s="559">
        <v>301837</v>
      </c>
      <c r="G2440" s="558" t="s">
        <v>4893</v>
      </c>
      <c r="H2440" s="564">
        <v>40015</v>
      </c>
      <c r="I2440" s="563">
        <v>468</v>
      </c>
      <c r="J2440" s="563">
        <v>-468</v>
      </c>
      <c r="K2440" s="582">
        <f t="shared" si="111"/>
        <v>0</v>
      </c>
      <c r="L2440" s="563">
        <f t="shared" si="112"/>
        <v>0</v>
      </c>
      <c r="M2440" s="563">
        <f t="shared" si="113"/>
        <v>514.80000000000007</v>
      </c>
      <c r="N2440" s="580"/>
    </row>
    <row r="2441" spans="4:14" x14ac:dyDescent="0.25">
      <c r="D2441" s="559" t="s">
        <v>867</v>
      </c>
      <c r="E2441" s="558">
        <v>390105</v>
      </c>
      <c r="F2441" s="559">
        <v>301920</v>
      </c>
      <c r="G2441" s="558" t="s">
        <v>4894</v>
      </c>
      <c r="H2441" s="564">
        <v>40015</v>
      </c>
      <c r="I2441" s="563">
        <v>1117.3499999999999</v>
      </c>
      <c r="J2441" s="563">
        <v>-585</v>
      </c>
      <c r="K2441" s="582">
        <f t="shared" si="111"/>
        <v>532.34999999999991</v>
      </c>
      <c r="L2441" s="563">
        <f t="shared" si="112"/>
        <v>585.58499999999992</v>
      </c>
      <c r="M2441" s="563">
        <f t="shared" si="113"/>
        <v>1229.085</v>
      </c>
      <c r="N2441" s="580"/>
    </row>
    <row r="2442" spans="4:14" x14ac:dyDescent="0.25">
      <c r="D2442" s="559" t="s">
        <v>867</v>
      </c>
      <c r="E2442" s="558">
        <v>390109</v>
      </c>
      <c r="F2442" s="559">
        <v>302227</v>
      </c>
      <c r="G2442" s="558" t="s">
        <v>4894</v>
      </c>
      <c r="H2442" s="564">
        <v>40015</v>
      </c>
      <c r="I2442" s="563">
        <v>493.35</v>
      </c>
      <c r="J2442" s="563">
        <v>-493.35</v>
      </c>
      <c r="K2442" s="582">
        <f t="shared" si="111"/>
        <v>0</v>
      </c>
      <c r="L2442" s="563">
        <f t="shared" si="112"/>
        <v>0</v>
      </c>
      <c r="M2442" s="563">
        <f t="shared" si="113"/>
        <v>542.68500000000006</v>
      </c>
      <c r="N2442" s="580"/>
    </row>
    <row r="2443" spans="4:14" x14ac:dyDescent="0.25">
      <c r="D2443" s="559" t="s">
        <v>867</v>
      </c>
      <c r="E2443" s="558">
        <v>390110</v>
      </c>
      <c r="F2443" s="559">
        <v>301504</v>
      </c>
      <c r="G2443" s="558" t="s">
        <v>4894</v>
      </c>
      <c r="H2443" s="564">
        <v>40015</v>
      </c>
      <c r="I2443" s="563">
        <v>493.35</v>
      </c>
      <c r="J2443" s="563">
        <v>-493.35</v>
      </c>
      <c r="K2443" s="582">
        <f t="shared" si="111"/>
        <v>0</v>
      </c>
      <c r="L2443" s="563">
        <f t="shared" si="112"/>
        <v>0</v>
      </c>
      <c r="M2443" s="563">
        <f t="shared" si="113"/>
        <v>542.68500000000006</v>
      </c>
      <c r="N2443" s="580"/>
    </row>
    <row r="2444" spans="4:14" x14ac:dyDescent="0.25">
      <c r="D2444" s="559" t="s">
        <v>867</v>
      </c>
      <c r="E2444" s="558">
        <v>390112</v>
      </c>
      <c r="F2444" s="559">
        <v>301375</v>
      </c>
      <c r="G2444" s="558" t="s">
        <v>4894</v>
      </c>
      <c r="H2444" s="564">
        <v>40015</v>
      </c>
      <c r="I2444" s="563">
        <v>532.35</v>
      </c>
      <c r="J2444" s="563">
        <v>-532.35</v>
      </c>
      <c r="K2444" s="582">
        <f t="shared" si="111"/>
        <v>0</v>
      </c>
      <c r="L2444" s="563">
        <f t="shared" si="112"/>
        <v>0</v>
      </c>
      <c r="M2444" s="563">
        <f t="shared" si="113"/>
        <v>585.58500000000004</v>
      </c>
      <c r="N2444" s="580"/>
    </row>
    <row r="2445" spans="4:14" x14ac:dyDescent="0.25">
      <c r="D2445" s="559" t="s">
        <v>867</v>
      </c>
      <c r="E2445" s="558">
        <v>390113</v>
      </c>
      <c r="F2445" s="559">
        <v>300930</v>
      </c>
      <c r="G2445" s="558" t="s">
        <v>4894</v>
      </c>
      <c r="H2445" s="564">
        <v>40015</v>
      </c>
      <c r="I2445" s="563">
        <v>64.349999999999994</v>
      </c>
      <c r="J2445" s="563">
        <v>-64.349999999999994</v>
      </c>
      <c r="K2445" s="582">
        <f t="shared" si="111"/>
        <v>0</v>
      </c>
      <c r="L2445" s="563">
        <f t="shared" si="112"/>
        <v>0</v>
      </c>
      <c r="M2445" s="563">
        <f t="shared" si="113"/>
        <v>70.784999999999997</v>
      </c>
      <c r="N2445" s="580"/>
    </row>
    <row r="2446" spans="4:14" x14ac:dyDescent="0.25">
      <c r="D2446" s="559" t="s">
        <v>867</v>
      </c>
      <c r="E2446" s="558">
        <v>390114</v>
      </c>
      <c r="F2446" s="559">
        <v>301247</v>
      </c>
      <c r="G2446" s="558" t="s">
        <v>4895</v>
      </c>
      <c r="H2446" s="564">
        <v>40015</v>
      </c>
      <c r="I2446" s="563">
        <v>475.8</v>
      </c>
      <c r="J2446" s="563">
        <v>-475.8</v>
      </c>
      <c r="K2446" s="582">
        <f t="shared" si="111"/>
        <v>0</v>
      </c>
      <c r="L2446" s="563">
        <f t="shared" si="112"/>
        <v>0</v>
      </c>
      <c r="M2446" s="563">
        <f t="shared" si="113"/>
        <v>523.38000000000011</v>
      </c>
      <c r="N2446" s="580"/>
    </row>
    <row r="2447" spans="4:14" x14ac:dyDescent="0.25">
      <c r="D2447" s="559" t="s">
        <v>867</v>
      </c>
      <c r="E2447" s="558">
        <v>390115</v>
      </c>
      <c r="F2447" s="559">
        <v>301710</v>
      </c>
      <c r="G2447" s="558" t="s">
        <v>4895</v>
      </c>
      <c r="H2447" s="564">
        <v>40015</v>
      </c>
      <c r="I2447" s="563">
        <v>468</v>
      </c>
      <c r="J2447" s="563">
        <v>-468</v>
      </c>
      <c r="K2447" s="582">
        <f t="shared" si="111"/>
        <v>0</v>
      </c>
      <c r="L2447" s="563">
        <f t="shared" si="112"/>
        <v>0</v>
      </c>
      <c r="M2447" s="563">
        <f t="shared" si="113"/>
        <v>514.80000000000007</v>
      </c>
      <c r="N2447" s="580"/>
    </row>
    <row r="2448" spans="4:14" x14ac:dyDescent="0.25">
      <c r="D2448" s="559" t="s">
        <v>867</v>
      </c>
      <c r="E2448" s="558">
        <v>390116</v>
      </c>
      <c r="F2448" s="559">
        <v>300110</v>
      </c>
      <c r="G2448" s="558" t="s">
        <v>4895</v>
      </c>
      <c r="H2448" s="564">
        <v>40015</v>
      </c>
      <c r="I2448" s="563">
        <v>312</v>
      </c>
      <c r="J2448" s="563">
        <v>-312</v>
      </c>
      <c r="K2448" s="582">
        <f t="shared" si="111"/>
        <v>0</v>
      </c>
      <c r="L2448" s="563">
        <f t="shared" si="112"/>
        <v>0</v>
      </c>
      <c r="M2448" s="563">
        <f t="shared" si="113"/>
        <v>343.20000000000005</v>
      </c>
      <c r="N2448" s="580"/>
    </row>
    <row r="2449" spans="4:14" x14ac:dyDescent="0.25">
      <c r="D2449" s="559" t="s">
        <v>867</v>
      </c>
      <c r="E2449" s="558">
        <v>390117</v>
      </c>
      <c r="F2449" s="559">
        <v>301316</v>
      </c>
      <c r="G2449" s="558" t="s">
        <v>4895</v>
      </c>
      <c r="H2449" s="564">
        <v>40015</v>
      </c>
      <c r="I2449" s="563">
        <v>312</v>
      </c>
      <c r="J2449" s="563">
        <v>-312</v>
      </c>
      <c r="K2449" s="582">
        <f t="shared" si="111"/>
        <v>0</v>
      </c>
      <c r="L2449" s="563">
        <f t="shared" si="112"/>
        <v>0</v>
      </c>
      <c r="M2449" s="563">
        <f t="shared" si="113"/>
        <v>343.20000000000005</v>
      </c>
      <c r="N2449" s="580"/>
    </row>
    <row r="2450" spans="4:14" x14ac:dyDescent="0.25">
      <c r="D2450" s="559" t="s">
        <v>867</v>
      </c>
      <c r="E2450" s="558">
        <v>390118</v>
      </c>
      <c r="F2450" s="559">
        <v>301887</v>
      </c>
      <c r="G2450" s="558" t="s">
        <v>4895</v>
      </c>
      <c r="H2450" s="564">
        <v>40015</v>
      </c>
      <c r="I2450" s="563">
        <v>312</v>
      </c>
      <c r="J2450" s="563">
        <v>-312</v>
      </c>
      <c r="K2450" s="582">
        <f t="shared" si="111"/>
        <v>0</v>
      </c>
      <c r="L2450" s="563">
        <f t="shared" si="112"/>
        <v>0</v>
      </c>
      <c r="M2450" s="563">
        <f t="shared" si="113"/>
        <v>343.20000000000005</v>
      </c>
      <c r="N2450" s="580"/>
    </row>
    <row r="2451" spans="4:14" x14ac:dyDescent="0.25">
      <c r="D2451" s="559" t="s">
        <v>867</v>
      </c>
      <c r="E2451" s="558">
        <v>390119</v>
      </c>
      <c r="F2451" s="559">
        <v>300329</v>
      </c>
      <c r="G2451" s="558" t="s">
        <v>4896</v>
      </c>
      <c r="H2451" s="564">
        <v>40015</v>
      </c>
      <c r="I2451" s="563">
        <v>312</v>
      </c>
      <c r="J2451" s="563">
        <v>-312</v>
      </c>
      <c r="K2451" s="582">
        <f t="shared" si="111"/>
        <v>0</v>
      </c>
      <c r="L2451" s="563">
        <f t="shared" si="112"/>
        <v>0</v>
      </c>
      <c r="M2451" s="563">
        <f t="shared" si="113"/>
        <v>343.20000000000005</v>
      </c>
      <c r="N2451" s="580"/>
    </row>
    <row r="2452" spans="4:14" x14ac:dyDescent="0.25">
      <c r="D2452" s="559" t="s">
        <v>867</v>
      </c>
      <c r="E2452" s="558">
        <v>390120</v>
      </c>
      <c r="F2452" s="559">
        <v>301298</v>
      </c>
      <c r="G2452" s="558" t="s">
        <v>4896</v>
      </c>
      <c r="H2452" s="564">
        <v>40015</v>
      </c>
      <c r="I2452" s="563">
        <v>312</v>
      </c>
      <c r="J2452" s="563">
        <v>-312</v>
      </c>
      <c r="K2452" s="582">
        <f t="shared" si="111"/>
        <v>0</v>
      </c>
      <c r="L2452" s="563">
        <f t="shared" si="112"/>
        <v>0</v>
      </c>
      <c r="M2452" s="563">
        <f t="shared" si="113"/>
        <v>343.20000000000005</v>
      </c>
      <c r="N2452" s="580"/>
    </row>
    <row r="2453" spans="4:14" x14ac:dyDescent="0.25">
      <c r="D2453" s="559" t="s">
        <v>867</v>
      </c>
      <c r="E2453" s="558">
        <v>390121</v>
      </c>
      <c r="F2453" s="559">
        <v>301806</v>
      </c>
      <c r="G2453" s="558" t="s">
        <v>4896</v>
      </c>
      <c r="H2453" s="564">
        <v>40015</v>
      </c>
      <c r="I2453" s="563">
        <v>312</v>
      </c>
      <c r="J2453" s="563">
        <v>-312</v>
      </c>
      <c r="K2453" s="582">
        <f t="shared" si="111"/>
        <v>0</v>
      </c>
      <c r="L2453" s="563">
        <f t="shared" si="112"/>
        <v>0</v>
      </c>
      <c r="M2453" s="563">
        <f t="shared" si="113"/>
        <v>343.20000000000005</v>
      </c>
      <c r="N2453" s="580"/>
    </row>
    <row r="2454" spans="4:14" x14ac:dyDescent="0.25">
      <c r="D2454" s="559" t="s">
        <v>867</v>
      </c>
      <c r="E2454" s="558">
        <v>390122</v>
      </c>
      <c r="F2454" s="559">
        <v>300230</v>
      </c>
      <c r="G2454" s="558" t="s">
        <v>4896</v>
      </c>
      <c r="H2454" s="564">
        <v>40015</v>
      </c>
      <c r="I2454" s="563">
        <v>189.15</v>
      </c>
      <c r="J2454" s="563">
        <v>-189.15</v>
      </c>
      <c r="K2454" s="582">
        <f t="shared" si="111"/>
        <v>0</v>
      </c>
      <c r="L2454" s="563">
        <f t="shared" si="112"/>
        <v>0</v>
      </c>
      <c r="M2454" s="563">
        <f t="shared" si="113"/>
        <v>208.06500000000003</v>
      </c>
      <c r="N2454" s="580"/>
    </row>
    <row r="2455" spans="4:14" x14ac:dyDescent="0.25">
      <c r="D2455" s="559" t="s">
        <v>867</v>
      </c>
      <c r="E2455" s="558">
        <v>390124</v>
      </c>
      <c r="F2455" s="559">
        <v>300893</v>
      </c>
      <c r="G2455" s="558" t="s">
        <v>4896</v>
      </c>
      <c r="H2455" s="564">
        <v>40015</v>
      </c>
      <c r="I2455" s="563">
        <v>546</v>
      </c>
      <c r="J2455" s="563">
        <v>-546</v>
      </c>
      <c r="K2455" s="582">
        <f t="shared" si="111"/>
        <v>0</v>
      </c>
      <c r="L2455" s="563">
        <f t="shared" si="112"/>
        <v>0</v>
      </c>
      <c r="M2455" s="563">
        <f t="shared" si="113"/>
        <v>600.6</v>
      </c>
      <c r="N2455" s="580"/>
    </row>
    <row r="2456" spans="4:14" x14ac:dyDescent="0.25">
      <c r="D2456" s="559" t="s">
        <v>867</v>
      </c>
      <c r="E2456" s="558">
        <v>390126</v>
      </c>
      <c r="F2456" s="559">
        <v>300833</v>
      </c>
      <c r="G2456" s="558" t="s">
        <v>4897</v>
      </c>
      <c r="H2456" s="564">
        <v>40015</v>
      </c>
      <c r="I2456" s="563">
        <v>727.35</v>
      </c>
      <c r="J2456" s="563">
        <v>-585</v>
      </c>
      <c r="K2456" s="582">
        <f t="shared" si="111"/>
        <v>142.35000000000002</v>
      </c>
      <c r="L2456" s="563">
        <f t="shared" si="112"/>
        <v>156.58500000000004</v>
      </c>
      <c r="M2456" s="563">
        <f t="shared" si="113"/>
        <v>800.08500000000004</v>
      </c>
      <c r="N2456" s="580"/>
    </row>
    <row r="2457" spans="4:14" x14ac:dyDescent="0.25">
      <c r="D2457" s="559" t="s">
        <v>867</v>
      </c>
      <c r="E2457" s="558">
        <v>390127</v>
      </c>
      <c r="F2457" s="559">
        <v>301604</v>
      </c>
      <c r="G2457" s="558" t="s">
        <v>4897</v>
      </c>
      <c r="H2457" s="564">
        <v>40015</v>
      </c>
      <c r="I2457" s="563">
        <v>727.35</v>
      </c>
      <c r="J2457" s="563">
        <v>-585</v>
      </c>
      <c r="K2457" s="582">
        <f t="shared" si="111"/>
        <v>142.35000000000002</v>
      </c>
      <c r="L2457" s="563">
        <f t="shared" si="112"/>
        <v>156.58500000000004</v>
      </c>
      <c r="M2457" s="563">
        <f t="shared" si="113"/>
        <v>800.08500000000004</v>
      </c>
      <c r="N2457" s="580"/>
    </row>
    <row r="2458" spans="4:14" x14ac:dyDescent="0.25">
      <c r="D2458" s="559" t="s">
        <v>867</v>
      </c>
      <c r="E2458" s="558">
        <v>390128</v>
      </c>
      <c r="F2458" s="559">
        <v>300729</v>
      </c>
      <c r="G2458" s="558" t="s">
        <v>4897</v>
      </c>
      <c r="H2458" s="564">
        <v>40015</v>
      </c>
      <c r="I2458" s="563">
        <v>189.15</v>
      </c>
      <c r="J2458" s="563">
        <v>-189.15</v>
      </c>
      <c r="K2458" s="582">
        <f t="shared" si="111"/>
        <v>0</v>
      </c>
      <c r="L2458" s="563">
        <f t="shared" si="112"/>
        <v>0</v>
      </c>
      <c r="M2458" s="563">
        <f t="shared" si="113"/>
        <v>208.06500000000003</v>
      </c>
      <c r="N2458" s="580"/>
    </row>
    <row r="2459" spans="4:14" x14ac:dyDescent="0.25">
      <c r="D2459" s="559" t="s">
        <v>867</v>
      </c>
      <c r="E2459" s="558">
        <v>390129</v>
      </c>
      <c r="F2459" s="559">
        <v>300648</v>
      </c>
      <c r="G2459" s="558" t="s">
        <v>4897</v>
      </c>
      <c r="H2459" s="564">
        <v>40015</v>
      </c>
      <c r="I2459" s="563">
        <v>189.15</v>
      </c>
      <c r="J2459" s="563">
        <v>-189.15</v>
      </c>
      <c r="K2459" s="582">
        <f t="shared" si="111"/>
        <v>0</v>
      </c>
      <c r="L2459" s="563">
        <f t="shared" si="112"/>
        <v>0</v>
      </c>
      <c r="M2459" s="563">
        <f t="shared" si="113"/>
        <v>208.06500000000003</v>
      </c>
      <c r="N2459" s="580"/>
    </row>
    <row r="2460" spans="4:14" x14ac:dyDescent="0.25">
      <c r="D2460" s="559" t="s">
        <v>867</v>
      </c>
      <c r="E2460" s="558">
        <v>390130</v>
      </c>
      <c r="F2460" s="559">
        <v>301141</v>
      </c>
      <c r="G2460" s="558" t="s">
        <v>4897</v>
      </c>
      <c r="H2460" s="564">
        <v>40015</v>
      </c>
      <c r="I2460" s="563">
        <v>189.15</v>
      </c>
      <c r="J2460" s="563">
        <v>-189.15</v>
      </c>
      <c r="K2460" s="582">
        <f t="shared" si="111"/>
        <v>0</v>
      </c>
      <c r="L2460" s="563">
        <f t="shared" si="112"/>
        <v>0</v>
      </c>
      <c r="M2460" s="563">
        <f t="shared" si="113"/>
        <v>208.06500000000003</v>
      </c>
      <c r="N2460" s="580"/>
    </row>
    <row r="2461" spans="4:14" x14ac:dyDescent="0.25">
      <c r="D2461" s="559" t="s">
        <v>867</v>
      </c>
      <c r="E2461" s="558">
        <v>390132</v>
      </c>
      <c r="F2461" s="559">
        <v>300459</v>
      </c>
      <c r="G2461" s="558" t="s">
        <v>4898</v>
      </c>
      <c r="H2461" s="564">
        <v>40015</v>
      </c>
      <c r="I2461" s="563">
        <v>189.15</v>
      </c>
      <c r="J2461" s="563">
        <v>-189.15</v>
      </c>
      <c r="K2461" s="582">
        <f t="shared" si="111"/>
        <v>0</v>
      </c>
      <c r="L2461" s="563">
        <f t="shared" si="112"/>
        <v>0</v>
      </c>
      <c r="M2461" s="563">
        <f t="shared" si="113"/>
        <v>208.06500000000003</v>
      </c>
      <c r="N2461" s="580"/>
    </row>
    <row r="2462" spans="4:14" x14ac:dyDescent="0.25">
      <c r="D2462" s="559" t="s">
        <v>867</v>
      </c>
      <c r="E2462" s="558">
        <v>390134</v>
      </c>
      <c r="F2462" s="559">
        <v>300364</v>
      </c>
      <c r="G2462" s="558" t="s">
        <v>4898</v>
      </c>
      <c r="H2462" s="564">
        <v>40015</v>
      </c>
      <c r="I2462" s="563">
        <v>189.15</v>
      </c>
      <c r="J2462" s="563">
        <v>-189.15</v>
      </c>
      <c r="K2462" s="582">
        <f t="shared" si="111"/>
        <v>0</v>
      </c>
      <c r="L2462" s="563">
        <f t="shared" si="112"/>
        <v>0</v>
      </c>
      <c r="M2462" s="563">
        <f t="shared" si="113"/>
        <v>208.06500000000003</v>
      </c>
      <c r="N2462" s="580"/>
    </row>
    <row r="2463" spans="4:14" x14ac:dyDescent="0.25">
      <c r="D2463" s="559" t="s">
        <v>867</v>
      </c>
      <c r="E2463" s="558">
        <v>390135</v>
      </c>
      <c r="F2463" s="559">
        <v>300553</v>
      </c>
      <c r="G2463" s="558" t="s">
        <v>4898</v>
      </c>
      <c r="H2463" s="564">
        <v>40015</v>
      </c>
      <c r="I2463" s="563">
        <v>189.15</v>
      </c>
      <c r="J2463" s="563">
        <v>-189.15</v>
      </c>
      <c r="K2463" s="582">
        <f t="shared" si="111"/>
        <v>0</v>
      </c>
      <c r="L2463" s="563">
        <f t="shared" si="112"/>
        <v>0</v>
      </c>
      <c r="M2463" s="563">
        <f t="shared" si="113"/>
        <v>208.06500000000003</v>
      </c>
      <c r="N2463" s="580"/>
    </row>
    <row r="2464" spans="4:14" x14ac:dyDescent="0.25">
      <c r="D2464" s="559" t="s">
        <v>867</v>
      </c>
      <c r="E2464" s="558">
        <v>390137</v>
      </c>
      <c r="F2464" s="559">
        <v>300679</v>
      </c>
      <c r="G2464" s="558" t="s">
        <v>4898</v>
      </c>
      <c r="H2464" s="564">
        <v>40015</v>
      </c>
      <c r="I2464" s="563">
        <v>727.35</v>
      </c>
      <c r="J2464" s="563">
        <v>-585</v>
      </c>
      <c r="K2464" s="582">
        <f t="shared" si="111"/>
        <v>142.35000000000002</v>
      </c>
      <c r="L2464" s="563">
        <f t="shared" si="112"/>
        <v>156.58500000000004</v>
      </c>
      <c r="M2464" s="563">
        <f t="shared" si="113"/>
        <v>800.08500000000004</v>
      </c>
      <c r="N2464" s="580"/>
    </row>
    <row r="2465" spans="4:14" x14ac:dyDescent="0.25">
      <c r="D2465" s="559" t="s">
        <v>867</v>
      </c>
      <c r="E2465" s="558">
        <v>390138</v>
      </c>
      <c r="F2465" s="559">
        <v>302188</v>
      </c>
      <c r="G2465" s="558" t="s">
        <v>4898</v>
      </c>
      <c r="H2465" s="564">
        <v>40015</v>
      </c>
      <c r="I2465" s="563">
        <v>189.15</v>
      </c>
      <c r="J2465" s="563">
        <v>-189.15</v>
      </c>
      <c r="K2465" s="582">
        <f t="shared" si="111"/>
        <v>0</v>
      </c>
      <c r="L2465" s="563">
        <f t="shared" si="112"/>
        <v>0</v>
      </c>
      <c r="M2465" s="563">
        <f t="shared" si="113"/>
        <v>208.06500000000003</v>
      </c>
      <c r="N2465" s="580"/>
    </row>
    <row r="2466" spans="4:14" x14ac:dyDescent="0.25">
      <c r="D2466" s="559" t="s">
        <v>867</v>
      </c>
      <c r="E2466" s="558">
        <v>390140</v>
      </c>
      <c r="F2466" s="559">
        <v>300680</v>
      </c>
      <c r="G2466" s="558" t="s">
        <v>4899</v>
      </c>
      <c r="H2466" s="564">
        <v>40015</v>
      </c>
      <c r="I2466" s="563">
        <v>189.15</v>
      </c>
      <c r="J2466" s="563">
        <v>-189.15</v>
      </c>
      <c r="K2466" s="582">
        <f t="shared" si="111"/>
        <v>0</v>
      </c>
      <c r="L2466" s="563">
        <f t="shared" si="112"/>
        <v>0</v>
      </c>
      <c r="M2466" s="563">
        <f t="shared" si="113"/>
        <v>208.06500000000003</v>
      </c>
      <c r="N2466" s="580"/>
    </row>
    <row r="2467" spans="4:14" x14ac:dyDescent="0.25">
      <c r="D2467" s="559" t="s">
        <v>867</v>
      </c>
      <c r="E2467" s="558">
        <v>390141</v>
      </c>
      <c r="F2467" s="559">
        <v>301555</v>
      </c>
      <c r="G2467" s="558" t="s">
        <v>4899</v>
      </c>
      <c r="H2467" s="564">
        <v>40015</v>
      </c>
      <c r="I2467" s="563">
        <v>189.15</v>
      </c>
      <c r="J2467" s="563">
        <v>-189.15</v>
      </c>
      <c r="K2467" s="582">
        <f t="shared" si="111"/>
        <v>0</v>
      </c>
      <c r="L2467" s="563">
        <f t="shared" si="112"/>
        <v>0</v>
      </c>
      <c r="M2467" s="563">
        <f t="shared" si="113"/>
        <v>208.06500000000003</v>
      </c>
      <c r="N2467" s="580"/>
    </row>
    <row r="2468" spans="4:14" x14ac:dyDescent="0.25">
      <c r="D2468" s="559" t="s">
        <v>867</v>
      </c>
      <c r="E2468" s="558">
        <v>390142</v>
      </c>
      <c r="F2468" s="559">
        <v>301713</v>
      </c>
      <c r="G2468" s="558" t="s">
        <v>4899</v>
      </c>
      <c r="H2468" s="564">
        <v>40015</v>
      </c>
      <c r="I2468" s="563">
        <v>415.35</v>
      </c>
      <c r="J2468" s="563">
        <v>-415.35</v>
      </c>
      <c r="K2468" s="582">
        <f t="shared" si="111"/>
        <v>0</v>
      </c>
      <c r="L2468" s="563">
        <f t="shared" si="112"/>
        <v>0</v>
      </c>
      <c r="M2468" s="563">
        <f t="shared" si="113"/>
        <v>456.88500000000005</v>
      </c>
      <c r="N2468" s="580"/>
    </row>
    <row r="2469" spans="4:14" x14ac:dyDescent="0.25">
      <c r="D2469" s="559" t="s">
        <v>867</v>
      </c>
      <c r="E2469" s="558">
        <v>390144</v>
      </c>
      <c r="F2469" s="559">
        <v>300761</v>
      </c>
      <c r="G2469" s="558" t="s">
        <v>4899</v>
      </c>
      <c r="H2469" s="564">
        <v>40015</v>
      </c>
      <c r="I2469" s="563">
        <v>189.15</v>
      </c>
      <c r="J2469" s="563">
        <v>-189.15</v>
      </c>
      <c r="K2469" s="582">
        <f t="shared" si="111"/>
        <v>0</v>
      </c>
      <c r="L2469" s="563">
        <f t="shared" si="112"/>
        <v>0</v>
      </c>
      <c r="M2469" s="563">
        <f t="shared" si="113"/>
        <v>208.06500000000003</v>
      </c>
      <c r="N2469" s="580"/>
    </row>
    <row r="2470" spans="4:14" x14ac:dyDescent="0.25">
      <c r="D2470" s="559" t="s">
        <v>867</v>
      </c>
      <c r="E2470" s="558">
        <v>390145</v>
      </c>
      <c r="F2470" s="559">
        <v>301180</v>
      </c>
      <c r="G2470" s="558" t="s">
        <v>4899</v>
      </c>
      <c r="H2470" s="564">
        <v>40015</v>
      </c>
      <c r="I2470" s="563">
        <v>189.15</v>
      </c>
      <c r="J2470" s="563">
        <v>-189.15</v>
      </c>
      <c r="K2470" s="582">
        <f t="shared" si="111"/>
        <v>0</v>
      </c>
      <c r="L2470" s="563">
        <f t="shared" si="112"/>
        <v>0</v>
      </c>
      <c r="M2470" s="563">
        <f t="shared" si="113"/>
        <v>208.06500000000003</v>
      </c>
      <c r="N2470" s="580"/>
    </row>
    <row r="2471" spans="4:14" x14ac:dyDescent="0.25">
      <c r="D2471" s="559" t="s">
        <v>867</v>
      </c>
      <c r="E2471" s="558">
        <v>390146</v>
      </c>
      <c r="F2471" s="559">
        <v>301592</v>
      </c>
      <c r="G2471" s="558" t="s">
        <v>4900</v>
      </c>
      <c r="H2471" s="564">
        <v>40015</v>
      </c>
      <c r="I2471" s="563">
        <v>189.15</v>
      </c>
      <c r="J2471" s="563">
        <v>-189.15</v>
      </c>
      <c r="K2471" s="582">
        <f t="shared" si="111"/>
        <v>0</v>
      </c>
      <c r="L2471" s="563">
        <f t="shared" si="112"/>
        <v>0</v>
      </c>
      <c r="M2471" s="563">
        <f t="shared" si="113"/>
        <v>208.06500000000003</v>
      </c>
      <c r="N2471" s="580"/>
    </row>
    <row r="2472" spans="4:14" x14ac:dyDescent="0.25">
      <c r="D2472" s="559" t="s">
        <v>867</v>
      </c>
      <c r="E2472" s="558">
        <v>390147</v>
      </c>
      <c r="F2472" s="559">
        <v>300146</v>
      </c>
      <c r="G2472" s="558" t="s">
        <v>4900</v>
      </c>
      <c r="H2472" s="564">
        <v>40015</v>
      </c>
      <c r="I2472" s="563">
        <v>189.15</v>
      </c>
      <c r="J2472" s="563">
        <v>-189.15</v>
      </c>
      <c r="K2472" s="582">
        <f t="shared" si="111"/>
        <v>0</v>
      </c>
      <c r="L2472" s="563">
        <f t="shared" si="112"/>
        <v>0</v>
      </c>
      <c r="M2472" s="563">
        <f t="shared" si="113"/>
        <v>208.06500000000003</v>
      </c>
      <c r="N2472" s="580"/>
    </row>
    <row r="2473" spans="4:14" x14ac:dyDescent="0.25">
      <c r="D2473" s="559" t="s">
        <v>867</v>
      </c>
      <c r="E2473" s="558">
        <v>390148</v>
      </c>
      <c r="F2473" s="559">
        <v>302153</v>
      </c>
      <c r="G2473" s="558" t="s">
        <v>4900</v>
      </c>
      <c r="H2473" s="564">
        <v>40015</v>
      </c>
      <c r="I2473" s="563">
        <v>189.15</v>
      </c>
      <c r="J2473" s="563">
        <v>-189.15</v>
      </c>
      <c r="K2473" s="582">
        <f t="shared" ref="K2473:K2536" si="114">+I2473+J2473</f>
        <v>0</v>
      </c>
      <c r="L2473" s="563">
        <f t="shared" ref="L2473:L2536" si="115">+K2473*1.1</f>
        <v>0</v>
      </c>
      <c r="M2473" s="563">
        <f t="shared" ref="M2473:M2536" si="116">+I2473*1.1</f>
        <v>208.06500000000003</v>
      </c>
      <c r="N2473" s="580"/>
    </row>
    <row r="2474" spans="4:14" x14ac:dyDescent="0.25">
      <c r="D2474" s="559" t="s">
        <v>867</v>
      </c>
      <c r="E2474" s="558">
        <v>390149</v>
      </c>
      <c r="F2474" s="559">
        <v>301770</v>
      </c>
      <c r="G2474" s="558" t="s">
        <v>4900</v>
      </c>
      <c r="H2474" s="564">
        <v>40015</v>
      </c>
      <c r="I2474" s="563">
        <v>189.15</v>
      </c>
      <c r="J2474" s="563">
        <v>-189.15</v>
      </c>
      <c r="K2474" s="582">
        <f t="shared" si="114"/>
        <v>0</v>
      </c>
      <c r="L2474" s="563">
        <f t="shared" si="115"/>
        <v>0</v>
      </c>
      <c r="M2474" s="563">
        <f t="shared" si="116"/>
        <v>208.06500000000003</v>
      </c>
      <c r="N2474" s="580"/>
    </row>
    <row r="2475" spans="4:14" x14ac:dyDescent="0.25">
      <c r="D2475" s="559" t="s">
        <v>867</v>
      </c>
      <c r="E2475" s="558">
        <v>390151</v>
      </c>
      <c r="F2475" s="559">
        <v>300649</v>
      </c>
      <c r="G2475" s="558" t="s">
        <v>4900</v>
      </c>
      <c r="H2475" s="564">
        <v>40015</v>
      </c>
      <c r="I2475" s="563">
        <v>189.15</v>
      </c>
      <c r="J2475" s="563">
        <v>-189.15</v>
      </c>
      <c r="K2475" s="582">
        <f t="shared" si="114"/>
        <v>0</v>
      </c>
      <c r="L2475" s="563">
        <f t="shared" si="115"/>
        <v>0</v>
      </c>
      <c r="M2475" s="563">
        <f t="shared" si="116"/>
        <v>208.06500000000003</v>
      </c>
      <c r="N2475" s="580"/>
    </row>
    <row r="2476" spans="4:14" x14ac:dyDescent="0.25">
      <c r="D2476" s="559" t="s">
        <v>867</v>
      </c>
      <c r="E2476" s="558">
        <v>390152</v>
      </c>
      <c r="F2476" s="559">
        <v>301130</v>
      </c>
      <c r="G2476" s="558" t="s">
        <v>4901</v>
      </c>
      <c r="H2476" s="564">
        <v>40015</v>
      </c>
      <c r="I2476" s="563">
        <v>727.35</v>
      </c>
      <c r="J2476" s="563">
        <v>-585</v>
      </c>
      <c r="K2476" s="582">
        <f t="shared" si="114"/>
        <v>142.35000000000002</v>
      </c>
      <c r="L2476" s="563">
        <f t="shared" si="115"/>
        <v>156.58500000000004</v>
      </c>
      <c r="M2476" s="563">
        <f t="shared" si="116"/>
        <v>800.08500000000004</v>
      </c>
      <c r="N2476" s="580"/>
    </row>
    <row r="2477" spans="4:14" x14ac:dyDescent="0.25">
      <c r="D2477" s="559" t="s">
        <v>867</v>
      </c>
      <c r="E2477" s="558">
        <v>390153</v>
      </c>
      <c r="F2477" s="559">
        <v>300742</v>
      </c>
      <c r="G2477" s="558" t="s">
        <v>4901</v>
      </c>
      <c r="H2477" s="564">
        <v>40015</v>
      </c>
      <c r="I2477" s="563">
        <v>189.15</v>
      </c>
      <c r="J2477" s="563">
        <v>-189.15</v>
      </c>
      <c r="K2477" s="582">
        <f t="shared" si="114"/>
        <v>0</v>
      </c>
      <c r="L2477" s="563">
        <f t="shared" si="115"/>
        <v>0</v>
      </c>
      <c r="M2477" s="563">
        <f t="shared" si="116"/>
        <v>208.06500000000003</v>
      </c>
      <c r="N2477" s="580"/>
    </row>
    <row r="2478" spans="4:14" x14ac:dyDescent="0.25">
      <c r="D2478" s="559" t="s">
        <v>867</v>
      </c>
      <c r="E2478" s="558">
        <v>390154</v>
      </c>
      <c r="F2478" s="559">
        <v>301212</v>
      </c>
      <c r="G2478" s="558" t="s">
        <v>4901</v>
      </c>
      <c r="H2478" s="564">
        <v>40015</v>
      </c>
      <c r="I2478" s="563">
        <v>571.35</v>
      </c>
      <c r="J2478" s="563">
        <v>-571.35</v>
      </c>
      <c r="K2478" s="582">
        <f t="shared" si="114"/>
        <v>0</v>
      </c>
      <c r="L2478" s="563">
        <f t="shared" si="115"/>
        <v>0</v>
      </c>
      <c r="M2478" s="563">
        <f t="shared" si="116"/>
        <v>628.48500000000013</v>
      </c>
      <c r="N2478" s="580"/>
    </row>
    <row r="2479" spans="4:14" x14ac:dyDescent="0.25">
      <c r="D2479" s="559" t="s">
        <v>867</v>
      </c>
      <c r="E2479" s="558">
        <v>390155</v>
      </c>
      <c r="F2479" s="559">
        <v>302096</v>
      </c>
      <c r="G2479" s="558" t="s">
        <v>4901</v>
      </c>
      <c r="H2479" s="564">
        <v>40015</v>
      </c>
      <c r="I2479" s="563">
        <v>415.35</v>
      </c>
      <c r="J2479" s="563">
        <v>-415.35</v>
      </c>
      <c r="K2479" s="582">
        <f t="shared" si="114"/>
        <v>0</v>
      </c>
      <c r="L2479" s="563">
        <f t="shared" si="115"/>
        <v>0</v>
      </c>
      <c r="M2479" s="563">
        <f t="shared" si="116"/>
        <v>456.88500000000005</v>
      </c>
      <c r="N2479" s="580"/>
    </row>
    <row r="2480" spans="4:14" x14ac:dyDescent="0.25">
      <c r="D2480" s="559" t="s">
        <v>867</v>
      </c>
      <c r="E2480" s="558">
        <v>390156</v>
      </c>
      <c r="F2480" s="559">
        <v>301537</v>
      </c>
      <c r="G2480" s="558" t="s">
        <v>4901</v>
      </c>
      <c r="H2480" s="564">
        <v>40015</v>
      </c>
      <c r="I2480" s="563">
        <v>189.15</v>
      </c>
      <c r="J2480" s="563">
        <v>-189.15</v>
      </c>
      <c r="K2480" s="582">
        <f t="shared" si="114"/>
        <v>0</v>
      </c>
      <c r="L2480" s="563">
        <f t="shared" si="115"/>
        <v>0</v>
      </c>
      <c r="M2480" s="563">
        <f t="shared" si="116"/>
        <v>208.06500000000003</v>
      </c>
      <c r="N2480" s="580"/>
    </row>
    <row r="2481" spans="4:14" x14ac:dyDescent="0.25">
      <c r="D2481" s="559" t="s">
        <v>867</v>
      </c>
      <c r="E2481" s="558">
        <v>390170</v>
      </c>
      <c r="F2481" s="559">
        <v>301286</v>
      </c>
      <c r="G2481" s="558" t="s">
        <v>4902</v>
      </c>
      <c r="H2481" s="564">
        <v>40015</v>
      </c>
      <c r="I2481" s="563">
        <v>189.15</v>
      </c>
      <c r="J2481" s="563">
        <v>-189.15</v>
      </c>
      <c r="K2481" s="582">
        <f t="shared" si="114"/>
        <v>0</v>
      </c>
      <c r="L2481" s="563">
        <f t="shared" si="115"/>
        <v>0</v>
      </c>
      <c r="M2481" s="563">
        <f t="shared" si="116"/>
        <v>208.06500000000003</v>
      </c>
      <c r="N2481" s="580"/>
    </row>
    <row r="2482" spans="4:14" x14ac:dyDescent="0.25">
      <c r="D2482" s="559" t="s">
        <v>867</v>
      </c>
      <c r="E2482" s="558">
        <v>390171</v>
      </c>
      <c r="F2482" s="559">
        <v>301414</v>
      </c>
      <c r="G2482" s="558" t="s">
        <v>4902</v>
      </c>
      <c r="H2482" s="564">
        <v>40015</v>
      </c>
      <c r="I2482" s="563">
        <v>189.15</v>
      </c>
      <c r="J2482" s="563">
        <v>-189.15</v>
      </c>
      <c r="K2482" s="582">
        <f t="shared" si="114"/>
        <v>0</v>
      </c>
      <c r="L2482" s="563">
        <f t="shared" si="115"/>
        <v>0</v>
      </c>
      <c r="M2482" s="563">
        <f t="shared" si="116"/>
        <v>208.06500000000003</v>
      </c>
      <c r="N2482" s="580"/>
    </row>
    <row r="2483" spans="4:14" x14ac:dyDescent="0.25">
      <c r="D2483" s="559" t="s">
        <v>867</v>
      </c>
      <c r="E2483" s="558">
        <v>390174</v>
      </c>
      <c r="F2483" s="559">
        <v>301645</v>
      </c>
      <c r="G2483" s="558" t="s">
        <v>4902</v>
      </c>
      <c r="H2483" s="564">
        <v>40015</v>
      </c>
      <c r="I2483" s="563">
        <v>189.15</v>
      </c>
      <c r="J2483" s="563">
        <v>-189.15</v>
      </c>
      <c r="K2483" s="582">
        <f t="shared" si="114"/>
        <v>0</v>
      </c>
      <c r="L2483" s="563">
        <f t="shared" si="115"/>
        <v>0</v>
      </c>
      <c r="M2483" s="563">
        <f t="shared" si="116"/>
        <v>208.06500000000003</v>
      </c>
      <c r="N2483" s="580"/>
    </row>
    <row r="2484" spans="4:14" x14ac:dyDescent="0.25">
      <c r="D2484" s="559" t="s">
        <v>867</v>
      </c>
      <c r="E2484" s="558">
        <v>390177</v>
      </c>
      <c r="F2484" s="559">
        <v>301685</v>
      </c>
      <c r="G2484" s="558" t="s">
        <v>4902</v>
      </c>
      <c r="H2484" s="564">
        <v>40015</v>
      </c>
      <c r="I2484" s="563">
        <v>189.15</v>
      </c>
      <c r="J2484" s="563">
        <v>-189.15</v>
      </c>
      <c r="K2484" s="582">
        <f t="shared" si="114"/>
        <v>0</v>
      </c>
      <c r="L2484" s="563">
        <f t="shared" si="115"/>
        <v>0</v>
      </c>
      <c r="M2484" s="563">
        <f t="shared" si="116"/>
        <v>208.06500000000003</v>
      </c>
      <c r="N2484" s="580"/>
    </row>
    <row r="2485" spans="4:14" x14ac:dyDescent="0.25">
      <c r="D2485" s="559" t="s">
        <v>867</v>
      </c>
      <c r="E2485" s="558">
        <v>390178</v>
      </c>
      <c r="F2485" s="559">
        <v>302179</v>
      </c>
      <c r="G2485" s="558" t="s">
        <v>4902</v>
      </c>
      <c r="H2485" s="564">
        <v>40015</v>
      </c>
      <c r="I2485" s="563">
        <v>189.15</v>
      </c>
      <c r="J2485" s="563">
        <v>-189.15</v>
      </c>
      <c r="K2485" s="582">
        <f t="shared" si="114"/>
        <v>0</v>
      </c>
      <c r="L2485" s="563">
        <f t="shared" si="115"/>
        <v>0</v>
      </c>
      <c r="M2485" s="563">
        <f t="shared" si="116"/>
        <v>208.06500000000003</v>
      </c>
      <c r="N2485" s="580"/>
    </row>
    <row r="2486" spans="4:14" x14ac:dyDescent="0.25">
      <c r="D2486" s="559" t="s">
        <v>867</v>
      </c>
      <c r="E2486" s="558">
        <v>390180</v>
      </c>
      <c r="F2486" s="559">
        <v>300532</v>
      </c>
      <c r="G2486" s="558" t="s">
        <v>4903</v>
      </c>
      <c r="H2486" s="564">
        <v>40015</v>
      </c>
      <c r="I2486" s="563">
        <v>189.15</v>
      </c>
      <c r="J2486" s="563">
        <v>-189.15</v>
      </c>
      <c r="K2486" s="582">
        <f t="shared" si="114"/>
        <v>0</v>
      </c>
      <c r="L2486" s="563">
        <f t="shared" si="115"/>
        <v>0</v>
      </c>
      <c r="M2486" s="563">
        <f t="shared" si="116"/>
        <v>208.06500000000003</v>
      </c>
      <c r="N2486" s="580"/>
    </row>
    <row r="2487" spans="4:14" x14ac:dyDescent="0.25">
      <c r="D2487" s="559" t="s">
        <v>867</v>
      </c>
      <c r="E2487" s="558">
        <v>390184</v>
      </c>
      <c r="F2487" s="559">
        <v>300849</v>
      </c>
      <c r="G2487" s="558" t="s">
        <v>4903</v>
      </c>
      <c r="H2487" s="564">
        <v>40015</v>
      </c>
      <c r="I2487" s="563">
        <v>189.15</v>
      </c>
      <c r="J2487" s="563">
        <v>-189.15</v>
      </c>
      <c r="K2487" s="582">
        <f t="shared" si="114"/>
        <v>0</v>
      </c>
      <c r="L2487" s="563">
        <f t="shared" si="115"/>
        <v>0</v>
      </c>
      <c r="M2487" s="563">
        <f t="shared" si="116"/>
        <v>208.06500000000003</v>
      </c>
      <c r="N2487" s="580"/>
    </row>
    <row r="2488" spans="4:14" x14ac:dyDescent="0.25">
      <c r="D2488" s="559" t="s">
        <v>867</v>
      </c>
      <c r="E2488" s="558">
        <v>390186</v>
      </c>
      <c r="F2488" s="559">
        <v>301590</v>
      </c>
      <c r="G2488" s="558" t="s">
        <v>4903</v>
      </c>
      <c r="H2488" s="564">
        <v>40015</v>
      </c>
      <c r="I2488" s="563">
        <v>571.35</v>
      </c>
      <c r="J2488" s="563">
        <v>-571.35</v>
      </c>
      <c r="K2488" s="582">
        <f t="shared" si="114"/>
        <v>0</v>
      </c>
      <c r="L2488" s="563">
        <f t="shared" si="115"/>
        <v>0</v>
      </c>
      <c r="M2488" s="563">
        <f t="shared" si="116"/>
        <v>628.48500000000013</v>
      </c>
      <c r="N2488" s="580"/>
    </row>
    <row r="2489" spans="4:14" x14ac:dyDescent="0.25">
      <c r="D2489" s="559" t="s">
        <v>867</v>
      </c>
      <c r="E2489" s="558">
        <v>390189</v>
      </c>
      <c r="F2489" s="559">
        <v>301623</v>
      </c>
      <c r="G2489" s="558" t="s">
        <v>4903</v>
      </c>
      <c r="H2489" s="564">
        <v>40015</v>
      </c>
      <c r="I2489" s="563">
        <v>571.35</v>
      </c>
      <c r="J2489" s="563">
        <v>-571.35</v>
      </c>
      <c r="K2489" s="582">
        <f t="shared" si="114"/>
        <v>0</v>
      </c>
      <c r="L2489" s="563">
        <f t="shared" si="115"/>
        <v>0</v>
      </c>
      <c r="M2489" s="563">
        <f t="shared" si="116"/>
        <v>628.48500000000013</v>
      </c>
      <c r="N2489" s="580"/>
    </row>
    <row r="2490" spans="4:14" x14ac:dyDescent="0.25">
      <c r="D2490" s="559" t="s">
        <v>867</v>
      </c>
      <c r="E2490" s="558">
        <v>390191</v>
      </c>
      <c r="F2490" s="559">
        <v>301495</v>
      </c>
      <c r="G2490" s="558" t="s">
        <v>4903</v>
      </c>
      <c r="H2490" s="564">
        <v>40015</v>
      </c>
      <c r="I2490" s="563">
        <v>25.35</v>
      </c>
      <c r="J2490" s="563">
        <v>-25.35</v>
      </c>
      <c r="K2490" s="582">
        <f t="shared" si="114"/>
        <v>0</v>
      </c>
      <c r="L2490" s="563">
        <f t="shared" si="115"/>
        <v>0</v>
      </c>
      <c r="M2490" s="563">
        <f t="shared" si="116"/>
        <v>27.885000000000005</v>
      </c>
      <c r="N2490" s="580"/>
    </row>
    <row r="2491" spans="4:14" x14ac:dyDescent="0.25">
      <c r="D2491" s="559" t="s">
        <v>867</v>
      </c>
      <c r="E2491" s="558">
        <v>390197</v>
      </c>
      <c r="F2491" s="559">
        <v>300188</v>
      </c>
      <c r="G2491" s="558" t="s">
        <v>4904</v>
      </c>
      <c r="H2491" s="564">
        <v>40015</v>
      </c>
      <c r="I2491" s="563">
        <v>25.35</v>
      </c>
      <c r="J2491" s="563">
        <v>-25.35</v>
      </c>
      <c r="K2491" s="582">
        <f t="shared" si="114"/>
        <v>0</v>
      </c>
      <c r="L2491" s="563">
        <f t="shared" si="115"/>
        <v>0</v>
      </c>
      <c r="M2491" s="563">
        <f t="shared" si="116"/>
        <v>27.885000000000005</v>
      </c>
      <c r="N2491" s="580"/>
    </row>
    <row r="2492" spans="4:14" x14ac:dyDescent="0.25">
      <c r="D2492" s="559" t="s">
        <v>867</v>
      </c>
      <c r="E2492" s="558">
        <v>390198</v>
      </c>
      <c r="F2492" s="559">
        <v>300342</v>
      </c>
      <c r="G2492" s="558" t="s">
        <v>4904</v>
      </c>
      <c r="H2492" s="564">
        <v>40015</v>
      </c>
      <c r="I2492" s="563">
        <v>25.35</v>
      </c>
      <c r="J2492" s="563">
        <v>-25.35</v>
      </c>
      <c r="K2492" s="582">
        <f t="shared" si="114"/>
        <v>0</v>
      </c>
      <c r="L2492" s="563">
        <f t="shared" si="115"/>
        <v>0</v>
      </c>
      <c r="M2492" s="563">
        <f t="shared" si="116"/>
        <v>27.885000000000005</v>
      </c>
      <c r="N2492" s="580"/>
    </row>
    <row r="2493" spans="4:14" x14ac:dyDescent="0.25">
      <c r="D2493" s="559" t="s">
        <v>867</v>
      </c>
      <c r="E2493" s="558">
        <v>390204</v>
      </c>
      <c r="F2493" s="559">
        <v>301835</v>
      </c>
      <c r="G2493" s="558" t="s">
        <v>4904</v>
      </c>
      <c r="H2493" s="564">
        <v>40015</v>
      </c>
      <c r="I2493" s="563">
        <v>571.35</v>
      </c>
      <c r="J2493" s="563">
        <v>-571.35</v>
      </c>
      <c r="K2493" s="582">
        <f t="shared" si="114"/>
        <v>0</v>
      </c>
      <c r="L2493" s="563">
        <f t="shared" si="115"/>
        <v>0</v>
      </c>
      <c r="M2493" s="563">
        <f t="shared" si="116"/>
        <v>628.48500000000013</v>
      </c>
      <c r="N2493" s="580"/>
    </row>
    <row r="2494" spans="4:14" x14ac:dyDescent="0.25">
      <c r="D2494" s="559" t="s">
        <v>867</v>
      </c>
      <c r="E2494" s="558">
        <v>390205</v>
      </c>
      <c r="F2494" s="559">
        <v>300783</v>
      </c>
      <c r="G2494" s="558" t="s">
        <v>4904</v>
      </c>
      <c r="H2494" s="564">
        <v>40015</v>
      </c>
      <c r="I2494" s="563">
        <v>571.35</v>
      </c>
      <c r="J2494" s="563">
        <v>-571.35</v>
      </c>
      <c r="K2494" s="582">
        <f t="shared" si="114"/>
        <v>0</v>
      </c>
      <c r="L2494" s="563">
        <f t="shared" si="115"/>
        <v>0</v>
      </c>
      <c r="M2494" s="563">
        <f t="shared" si="116"/>
        <v>628.48500000000013</v>
      </c>
      <c r="N2494" s="580"/>
    </row>
    <row r="2495" spans="4:14" x14ac:dyDescent="0.25">
      <c r="D2495" s="559" t="s">
        <v>867</v>
      </c>
      <c r="E2495" s="558">
        <v>390207</v>
      </c>
      <c r="F2495" s="559">
        <v>300225</v>
      </c>
      <c r="G2495" s="558" t="s">
        <v>4904</v>
      </c>
      <c r="H2495" s="564">
        <v>40015</v>
      </c>
      <c r="I2495" s="563">
        <v>571.35</v>
      </c>
      <c r="J2495" s="563">
        <v>-571.35</v>
      </c>
      <c r="K2495" s="582">
        <f t="shared" si="114"/>
        <v>0</v>
      </c>
      <c r="L2495" s="563">
        <f t="shared" si="115"/>
        <v>0</v>
      </c>
      <c r="M2495" s="563">
        <f t="shared" si="116"/>
        <v>628.48500000000013</v>
      </c>
      <c r="N2495" s="580"/>
    </row>
    <row r="2496" spans="4:14" x14ac:dyDescent="0.25">
      <c r="D2496" s="559" t="s">
        <v>867</v>
      </c>
      <c r="E2496" s="558">
        <v>390208</v>
      </c>
      <c r="F2496" s="559">
        <v>300040</v>
      </c>
      <c r="G2496" s="558" t="s">
        <v>4844</v>
      </c>
      <c r="H2496" s="564">
        <v>40015</v>
      </c>
      <c r="I2496" s="563">
        <v>571.35</v>
      </c>
      <c r="J2496" s="563">
        <v>-571.35</v>
      </c>
      <c r="K2496" s="582">
        <f t="shared" si="114"/>
        <v>0</v>
      </c>
      <c r="L2496" s="563">
        <f t="shared" si="115"/>
        <v>0</v>
      </c>
      <c r="M2496" s="563">
        <f t="shared" si="116"/>
        <v>628.48500000000013</v>
      </c>
      <c r="N2496" s="580"/>
    </row>
    <row r="2497" spans="4:16" x14ac:dyDescent="0.25">
      <c r="D2497" s="559" t="s">
        <v>867</v>
      </c>
      <c r="E2497" s="558">
        <v>390209</v>
      </c>
      <c r="F2497" s="559">
        <v>301944</v>
      </c>
      <c r="G2497" s="558" t="s">
        <v>4844</v>
      </c>
      <c r="H2497" s="564">
        <v>40015</v>
      </c>
      <c r="I2497" s="563">
        <v>571.35</v>
      </c>
      <c r="J2497" s="563">
        <v>-571.35</v>
      </c>
      <c r="K2497" s="582">
        <f t="shared" si="114"/>
        <v>0</v>
      </c>
      <c r="L2497" s="563">
        <f t="shared" si="115"/>
        <v>0</v>
      </c>
      <c r="M2497" s="563">
        <f t="shared" si="116"/>
        <v>628.48500000000013</v>
      </c>
      <c r="N2497" s="580"/>
    </row>
    <row r="2498" spans="4:16" x14ac:dyDescent="0.25">
      <c r="D2498" s="559" t="s">
        <v>867</v>
      </c>
      <c r="E2498" s="558">
        <v>390210</v>
      </c>
      <c r="F2498" s="559">
        <v>301591</v>
      </c>
      <c r="G2498" s="558" t="s">
        <v>4844</v>
      </c>
      <c r="H2498" s="564">
        <v>40015</v>
      </c>
      <c r="I2498" s="563">
        <v>571.35</v>
      </c>
      <c r="J2498" s="563">
        <v>-571.35</v>
      </c>
      <c r="K2498" s="582">
        <f t="shared" si="114"/>
        <v>0</v>
      </c>
      <c r="L2498" s="563">
        <f t="shared" si="115"/>
        <v>0</v>
      </c>
      <c r="M2498" s="563">
        <f t="shared" si="116"/>
        <v>628.48500000000013</v>
      </c>
      <c r="N2498" s="580"/>
    </row>
    <row r="2499" spans="4:16" x14ac:dyDescent="0.25">
      <c r="D2499" s="559" t="s">
        <v>867</v>
      </c>
      <c r="E2499" s="558">
        <v>390214</v>
      </c>
      <c r="F2499" s="559">
        <v>300601</v>
      </c>
      <c r="G2499" s="558" t="s">
        <v>4844</v>
      </c>
      <c r="H2499" s="564">
        <v>40015</v>
      </c>
      <c r="I2499" s="563">
        <v>571.35</v>
      </c>
      <c r="J2499" s="563">
        <v>-571.35</v>
      </c>
      <c r="K2499" s="563">
        <f t="shared" si="114"/>
        <v>0</v>
      </c>
      <c r="L2499" s="563">
        <f t="shared" si="115"/>
        <v>0</v>
      </c>
      <c r="M2499" s="563">
        <f t="shared" si="116"/>
        <v>628.48500000000013</v>
      </c>
      <c r="N2499" s="580"/>
      <c r="O2499" s="558"/>
      <c r="P2499" s="564"/>
    </row>
    <row r="2500" spans="4:16" x14ac:dyDescent="0.25">
      <c r="D2500" s="559" t="s">
        <v>867</v>
      </c>
      <c r="E2500" s="558">
        <v>390217</v>
      </c>
      <c r="F2500" s="559">
        <v>301651</v>
      </c>
      <c r="G2500" s="558" t="s">
        <v>4844</v>
      </c>
      <c r="H2500" s="564">
        <v>40015</v>
      </c>
      <c r="I2500" s="563">
        <v>571.35</v>
      </c>
      <c r="J2500" s="563">
        <v>-571.35</v>
      </c>
      <c r="K2500" s="582">
        <f t="shared" si="114"/>
        <v>0</v>
      </c>
      <c r="L2500" s="563">
        <f t="shared" si="115"/>
        <v>0</v>
      </c>
      <c r="M2500" s="563">
        <f t="shared" si="116"/>
        <v>628.48500000000013</v>
      </c>
      <c r="N2500" s="580"/>
    </row>
    <row r="2501" spans="4:16" x14ac:dyDescent="0.25">
      <c r="D2501" s="559" t="s">
        <v>867</v>
      </c>
      <c r="E2501" s="558">
        <v>390218</v>
      </c>
      <c r="F2501" s="559">
        <v>300973</v>
      </c>
      <c r="G2501" s="558" t="s">
        <v>4905</v>
      </c>
      <c r="H2501" s="564">
        <v>40015</v>
      </c>
      <c r="I2501" s="563">
        <v>571.35</v>
      </c>
      <c r="J2501" s="563">
        <v>-571.35</v>
      </c>
      <c r="K2501" s="582">
        <f t="shared" si="114"/>
        <v>0</v>
      </c>
      <c r="L2501" s="563">
        <f t="shared" si="115"/>
        <v>0</v>
      </c>
      <c r="M2501" s="563">
        <f t="shared" si="116"/>
        <v>628.48500000000013</v>
      </c>
      <c r="N2501" s="580"/>
    </row>
    <row r="2502" spans="4:16" x14ac:dyDescent="0.25">
      <c r="D2502" s="559" t="s">
        <v>867</v>
      </c>
      <c r="E2502" s="558">
        <v>390219</v>
      </c>
      <c r="F2502" s="559">
        <v>301856</v>
      </c>
      <c r="G2502" s="558" t="s">
        <v>4905</v>
      </c>
      <c r="H2502" s="564">
        <v>40015</v>
      </c>
      <c r="I2502" s="563">
        <v>571.35</v>
      </c>
      <c r="J2502" s="563">
        <v>-571.35</v>
      </c>
      <c r="K2502" s="582">
        <f t="shared" si="114"/>
        <v>0</v>
      </c>
      <c r="L2502" s="563">
        <f t="shared" si="115"/>
        <v>0</v>
      </c>
      <c r="M2502" s="563">
        <f t="shared" si="116"/>
        <v>628.48500000000013</v>
      </c>
      <c r="N2502" s="580"/>
    </row>
    <row r="2503" spans="4:16" x14ac:dyDescent="0.25">
      <c r="D2503" s="559" t="s">
        <v>867</v>
      </c>
      <c r="E2503" s="558">
        <v>390220</v>
      </c>
      <c r="F2503" s="559">
        <v>300347</v>
      </c>
      <c r="G2503" s="558" t="s">
        <v>4905</v>
      </c>
      <c r="H2503" s="564">
        <v>40015</v>
      </c>
      <c r="I2503" s="563">
        <v>571.35</v>
      </c>
      <c r="J2503" s="563">
        <v>-571.35</v>
      </c>
      <c r="K2503" s="582">
        <f t="shared" si="114"/>
        <v>0</v>
      </c>
      <c r="L2503" s="563">
        <f t="shared" si="115"/>
        <v>0</v>
      </c>
      <c r="M2503" s="563">
        <f t="shared" si="116"/>
        <v>628.48500000000013</v>
      </c>
      <c r="N2503" s="580"/>
    </row>
    <row r="2504" spans="4:16" x14ac:dyDescent="0.25">
      <c r="D2504" s="559" t="s">
        <v>867</v>
      </c>
      <c r="E2504" s="558">
        <v>390222</v>
      </c>
      <c r="F2504" s="559">
        <v>301060</v>
      </c>
      <c r="G2504" s="558" t="s">
        <v>4905</v>
      </c>
      <c r="H2504" s="564">
        <v>40015</v>
      </c>
      <c r="I2504" s="563">
        <v>571.35</v>
      </c>
      <c r="J2504" s="563">
        <v>-571.35</v>
      </c>
      <c r="K2504" s="582">
        <f t="shared" si="114"/>
        <v>0</v>
      </c>
      <c r="L2504" s="563">
        <f t="shared" si="115"/>
        <v>0</v>
      </c>
      <c r="M2504" s="563">
        <f t="shared" si="116"/>
        <v>628.48500000000013</v>
      </c>
      <c r="N2504" s="580"/>
    </row>
    <row r="2505" spans="4:16" x14ac:dyDescent="0.25">
      <c r="D2505" s="559" t="s">
        <v>867</v>
      </c>
      <c r="E2505" s="558">
        <v>390223</v>
      </c>
      <c r="F2505" s="559">
        <v>300550</v>
      </c>
      <c r="G2505" s="558" t="s">
        <v>4905</v>
      </c>
      <c r="H2505" s="564">
        <v>40015</v>
      </c>
      <c r="I2505" s="563">
        <v>571.35</v>
      </c>
      <c r="J2505" s="563">
        <v>-571.35</v>
      </c>
      <c r="K2505" s="582">
        <f t="shared" si="114"/>
        <v>0</v>
      </c>
      <c r="L2505" s="563">
        <f t="shared" si="115"/>
        <v>0</v>
      </c>
      <c r="M2505" s="563">
        <f t="shared" si="116"/>
        <v>628.48500000000013</v>
      </c>
      <c r="N2505" s="580"/>
    </row>
    <row r="2506" spans="4:16" x14ac:dyDescent="0.25">
      <c r="D2506" s="559" t="s">
        <v>867</v>
      </c>
      <c r="E2506" s="558">
        <v>390224</v>
      </c>
      <c r="F2506" s="559">
        <v>301914</v>
      </c>
      <c r="G2506" s="558" t="s">
        <v>4906</v>
      </c>
      <c r="H2506" s="564">
        <v>40015</v>
      </c>
      <c r="I2506" s="563">
        <v>571.35</v>
      </c>
      <c r="J2506" s="563">
        <v>-571.35</v>
      </c>
      <c r="K2506" s="582">
        <f t="shared" si="114"/>
        <v>0</v>
      </c>
      <c r="L2506" s="563">
        <f t="shared" si="115"/>
        <v>0</v>
      </c>
      <c r="M2506" s="563">
        <f t="shared" si="116"/>
        <v>628.48500000000013</v>
      </c>
      <c r="N2506" s="580"/>
    </row>
    <row r="2507" spans="4:16" x14ac:dyDescent="0.25">
      <c r="D2507" s="559" t="s">
        <v>867</v>
      </c>
      <c r="E2507" s="558">
        <v>390225</v>
      </c>
      <c r="F2507" s="559">
        <v>303586</v>
      </c>
      <c r="G2507" s="558" t="s">
        <v>4906</v>
      </c>
      <c r="H2507" s="564">
        <v>40015</v>
      </c>
      <c r="I2507" s="563">
        <v>571.35</v>
      </c>
      <c r="J2507" s="563">
        <v>-571.35</v>
      </c>
      <c r="K2507" s="582">
        <f t="shared" si="114"/>
        <v>0</v>
      </c>
      <c r="L2507" s="563">
        <f t="shared" si="115"/>
        <v>0</v>
      </c>
      <c r="M2507" s="563">
        <f t="shared" si="116"/>
        <v>628.48500000000013</v>
      </c>
      <c r="N2507" s="580"/>
    </row>
    <row r="2508" spans="4:16" x14ac:dyDescent="0.25">
      <c r="D2508" s="559" t="s">
        <v>867</v>
      </c>
      <c r="E2508" s="558">
        <v>390228</v>
      </c>
      <c r="F2508" s="559">
        <v>300226</v>
      </c>
      <c r="G2508" s="558" t="s">
        <v>4906</v>
      </c>
      <c r="H2508" s="564">
        <v>40015</v>
      </c>
      <c r="I2508" s="563">
        <v>571.35</v>
      </c>
      <c r="J2508" s="563">
        <v>-571.35</v>
      </c>
      <c r="K2508" s="582">
        <f t="shared" si="114"/>
        <v>0</v>
      </c>
      <c r="L2508" s="563">
        <f t="shared" si="115"/>
        <v>0</v>
      </c>
      <c r="M2508" s="563">
        <f t="shared" si="116"/>
        <v>628.48500000000013</v>
      </c>
      <c r="N2508" s="580"/>
    </row>
    <row r="2509" spans="4:16" x14ac:dyDescent="0.25">
      <c r="D2509" s="559" t="s">
        <v>867</v>
      </c>
      <c r="E2509" s="558">
        <v>390229</v>
      </c>
      <c r="F2509" s="559">
        <v>301292</v>
      </c>
      <c r="G2509" s="558" t="s">
        <v>4906</v>
      </c>
      <c r="H2509" s="564">
        <v>40015</v>
      </c>
      <c r="I2509" s="563">
        <v>571.35</v>
      </c>
      <c r="J2509" s="563">
        <v>-571.35</v>
      </c>
      <c r="K2509" s="582">
        <f t="shared" si="114"/>
        <v>0</v>
      </c>
      <c r="L2509" s="563">
        <f t="shared" si="115"/>
        <v>0</v>
      </c>
      <c r="M2509" s="563">
        <f t="shared" si="116"/>
        <v>628.48500000000013</v>
      </c>
      <c r="N2509" s="580"/>
    </row>
    <row r="2510" spans="4:16" x14ac:dyDescent="0.25">
      <c r="D2510" s="559" t="s">
        <v>867</v>
      </c>
      <c r="E2510" s="558">
        <v>390233</v>
      </c>
      <c r="F2510" s="559">
        <v>300876</v>
      </c>
      <c r="G2510" s="558" t="s">
        <v>4906</v>
      </c>
      <c r="H2510" s="564">
        <v>40015</v>
      </c>
      <c r="I2510" s="563">
        <v>571.35</v>
      </c>
      <c r="J2510" s="563">
        <v>-571.35</v>
      </c>
      <c r="K2510" s="582">
        <f t="shared" si="114"/>
        <v>0</v>
      </c>
      <c r="L2510" s="563">
        <f t="shared" si="115"/>
        <v>0</v>
      </c>
      <c r="M2510" s="563">
        <f t="shared" si="116"/>
        <v>628.48500000000013</v>
      </c>
      <c r="N2510" s="580"/>
    </row>
    <row r="2511" spans="4:16" x14ac:dyDescent="0.25">
      <c r="D2511" s="559" t="s">
        <v>867</v>
      </c>
      <c r="E2511" s="558">
        <v>390234</v>
      </c>
      <c r="F2511" s="559">
        <v>300816</v>
      </c>
      <c r="G2511" s="558" t="s">
        <v>4907</v>
      </c>
      <c r="H2511" s="564">
        <v>40015</v>
      </c>
      <c r="I2511" s="563">
        <v>571.35</v>
      </c>
      <c r="J2511" s="563">
        <v>-571.35</v>
      </c>
      <c r="K2511" s="582">
        <f t="shared" si="114"/>
        <v>0</v>
      </c>
      <c r="L2511" s="563">
        <f t="shared" si="115"/>
        <v>0</v>
      </c>
      <c r="M2511" s="563">
        <f t="shared" si="116"/>
        <v>628.48500000000013</v>
      </c>
      <c r="N2511" s="580"/>
    </row>
    <row r="2512" spans="4:16" x14ac:dyDescent="0.25">
      <c r="D2512" s="559" t="s">
        <v>867</v>
      </c>
      <c r="E2512" s="558">
        <v>390236</v>
      </c>
      <c r="F2512" s="559">
        <v>301981</v>
      </c>
      <c r="G2512" s="558" t="s">
        <v>4907</v>
      </c>
      <c r="H2512" s="564">
        <v>40015</v>
      </c>
      <c r="I2512" s="563">
        <v>571.35</v>
      </c>
      <c r="J2512" s="563">
        <v>-571.35</v>
      </c>
      <c r="K2512" s="582">
        <f t="shared" si="114"/>
        <v>0</v>
      </c>
      <c r="L2512" s="563">
        <f t="shared" si="115"/>
        <v>0</v>
      </c>
      <c r="M2512" s="563">
        <f t="shared" si="116"/>
        <v>628.48500000000013</v>
      </c>
      <c r="N2512" s="580"/>
    </row>
    <row r="2513" spans="4:16" x14ac:dyDescent="0.25">
      <c r="D2513" s="559" t="s">
        <v>867</v>
      </c>
      <c r="E2513" s="558">
        <v>390237</v>
      </c>
      <c r="F2513" s="559">
        <v>300027</v>
      </c>
      <c r="G2513" s="558" t="s">
        <v>4907</v>
      </c>
      <c r="H2513" s="564">
        <v>40015</v>
      </c>
      <c r="I2513" s="563">
        <v>571.35</v>
      </c>
      <c r="J2513" s="563">
        <v>-571.35</v>
      </c>
      <c r="K2513" s="582">
        <f t="shared" si="114"/>
        <v>0</v>
      </c>
      <c r="L2513" s="563">
        <f t="shared" si="115"/>
        <v>0</v>
      </c>
      <c r="M2513" s="563">
        <f t="shared" si="116"/>
        <v>628.48500000000013</v>
      </c>
      <c r="N2513" s="580"/>
    </row>
    <row r="2514" spans="4:16" x14ac:dyDescent="0.25">
      <c r="D2514" s="559" t="s">
        <v>867</v>
      </c>
      <c r="E2514" s="558">
        <v>390238</v>
      </c>
      <c r="F2514" s="559">
        <v>300777</v>
      </c>
      <c r="G2514" s="558" t="s">
        <v>4907</v>
      </c>
      <c r="H2514" s="564">
        <v>40015</v>
      </c>
      <c r="I2514" s="563">
        <v>571.35</v>
      </c>
      <c r="J2514" s="563">
        <v>-571.35</v>
      </c>
      <c r="K2514" s="582">
        <f t="shared" si="114"/>
        <v>0</v>
      </c>
      <c r="L2514" s="563">
        <f t="shared" si="115"/>
        <v>0</v>
      </c>
      <c r="M2514" s="563">
        <f t="shared" si="116"/>
        <v>628.48500000000013</v>
      </c>
      <c r="N2514" s="580"/>
    </row>
    <row r="2515" spans="4:16" x14ac:dyDescent="0.25">
      <c r="D2515" s="559" t="s">
        <v>867</v>
      </c>
      <c r="E2515" s="558">
        <v>390240</v>
      </c>
      <c r="F2515" s="559">
        <v>300940</v>
      </c>
      <c r="G2515" s="558" t="s">
        <v>4907</v>
      </c>
      <c r="H2515" s="564">
        <v>40015</v>
      </c>
      <c r="I2515" s="563">
        <v>571.35</v>
      </c>
      <c r="J2515" s="563">
        <v>-571.35</v>
      </c>
      <c r="K2515" s="582">
        <f t="shared" si="114"/>
        <v>0</v>
      </c>
      <c r="L2515" s="563">
        <f t="shared" si="115"/>
        <v>0</v>
      </c>
      <c r="M2515" s="563">
        <f t="shared" si="116"/>
        <v>628.48500000000013</v>
      </c>
      <c r="N2515" s="580"/>
    </row>
    <row r="2516" spans="4:16" x14ac:dyDescent="0.25">
      <c r="D2516" s="559" t="s">
        <v>867</v>
      </c>
      <c r="E2516" s="558">
        <v>390241</v>
      </c>
      <c r="F2516" s="559">
        <v>300915</v>
      </c>
      <c r="G2516" s="558" t="s">
        <v>4908</v>
      </c>
      <c r="H2516" s="564">
        <v>40015</v>
      </c>
      <c r="I2516" s="563">
        <v>571.35</v>
      </c>
      <c r="J2516" s="563">
        <v>-571.35</v>
      </c>
      <c r="K2516" s="582">
        <f t="shared" si="114"/>
        <v>0</v>
      </c>
      <c r="L2516" s="563">
        <f t="shared" si="115"/>
        <v>0</v>
      </c>
      <c r="M2516" s="563">
        <f t="shared" si="116"/>
        <v>628.48500000000013</v>
      </c>
      <c r="N2516" s="580"/>
    </row>
    <row r="2517" spans="4:16" x14ac:dyDescent="0.25">
      <c r="D2517" s="559" t="s">
        <v>867</v>
      </c>
      <c r="E2517" s="558">
        <v>390242</v>
      </c>
      <c r="F2517" s="559">
        <v>302086</v>
      </c>
      <c r="G2517" s="558" t="s">
        <v>4908</v>
      </c>
      <c r="H2517" s="564">
        <v>40015</v>
      </c>
      <c r="I2517" s="563">
        <v>571.35</v>
      </c>
      <c r="J2517" s="563">
        <v>-571.35</v>
      </c>
      <c r="K2517" s="582">
        <f t="shared" si="114"/>
        <v>0</v>
      </c>
      <c r="L2517" s="563">
        <f t="shared" si="115"/>
        <v>0</v>
      </c>
      <c r="M2517" s="563">
        <f t="shared" si="116"/>
        <v>628.48500000000013</v>
      </c>
      <c r="N2517" s="580"/>
    </row>
    <row r="2518" spans="4:16" x14ac:dyDescent="0.25">
      <c r="D2518" s="559" t="s">
        <v>867</v>
      </c>
      <c r="E2518" s="558">
        <v>390244</v>
      </c>
      <c r="F2518" s="559">
        <v>300138</v>
      </c>
      <c r="G2518" s="558" t="s">
        <v>4908</v>
      </c>
      <c r="H2518" s="564">
        <v>40015</v>
      </c>
      <c r="I2518" s="563">
        <v>571.35</v>
      </c>
      <c r="J2518" s="563">
        <v>-571.35</v>
      </c>
      <c r="K2518" s="582">
        <f t="shared" si="114"/>
        <v>0</v>
      </c>
      <c r="L2518" s="563">
        <f t="shared" si="115"/>
        <v>0</v>
      </c>
      <c r="M2518" s="563">
        <f t="shared" si="116"/>
        <v>628.48500000000013</v>
      </c>
      <c r="N2518" s="580"/>
    </row>
    <row r="2519" spans="4:16" x14ac:dyDescent="0.25">
      <c r="D2519" s="559" t="s">
        <v>867</v>
      </c>
      <c r="E2519" s="558">
        <v>390245</v>
      </c>
      <c r="F2519" s="559">
        <v>301067</v>
      </c>
      <c r="G2519" s="558" t="s">
        <v>4908</v>
      </c>
      <c r="H2519" s="564">
        <v>40015</v>
      </c>
      <c r="I2519" s="563">
        <v>571.35</v>
      </c>
      <c r="J2519" s="563">
        <v>-571.35</v>
      </c>
      <c r="K2519" s="582">
        <f t="shared" si="114"/>
        <v>0</v>
      </c>
      <c r="L2519" s="563">
        <f t="shared" si="115"/>
        <v>0</v>
      </c>
      <c r="M2519" s="563">
        <f t="shared" si="116"/>
        <v>628.48500000000013</v>
      </c>
      <c r="N2519" s="580"/>
    </row>
    <row r="2520" spans="4:16" x14ac:dyDescent="0.25">
      <c r="D2520" s="559" t="s">
        <v>867</v>
      </c>
      <c r="E2520" s="558">
        <v>390246</v>
      </c>
      <c r="F2520" s="559">
        <v>300968</v>
      </c>
      <c r="G2520" s="558" t="s">
        <v>4908</v>
      </c>
      <c r="H2520" s="564">
        <v>40015</v>
      </c>
      <c r="I2520" s="563">
        <v>571.35</v>
      </c>
      <c r="J2520" s="563">
        <v>-571.35</v>
      </c>
      <c r="K2520" s="582">
        <f t="shared" si="114"/>
        <v>0</v>
      </c>
      <c r="L2520" s="563">
        <f t="shared" si="115"/>
        <v>0</v>
      </c>
      <c r="M2520" s="563">
        <f t="shared" si="116"/>
        <v>628.48500000000013</v>
      </c>
      <c r="N2520" s="580"/>
    </row>
    <row r="2521" spans="4:16" x14ac:dyDescent="0.25">
      <c r="D2521" s="559" t="s">
        <v>867</v>
      </c>
      <c r="E2521" s="558">
        <v>390247</v>
      </c>
      <c r="F2521" s="559">
        <v>300928</v>
      </c>
      <c r="G2521" s="558" t="s">
        <v>4845</v>
      </c>
      <c r="H2521" s="564">
        <v>40015</v>
      </c>
      <c r="I2521" s="563">
        <v>571.35</v>
      </c>
      <c r="J2521" s="563">
        <v>-571.35</v>
      </c>
      <c r="K2521" s="582">
        <f t="shared" si="114"/>
        <v>0</v>
      </c>
      <c r="L2521" s="563">
        <f t="shared" si="115"/>
        <v>0</v>
      </c>
      <c r="M2521" s="563">
        <f t="shared" si="116"/>
        <v>628.48500000000013</v>
      </c>
      <c r="N2521" s="580"/>
    </row>
    <row r="2522" spans="4:16" x14ac:dyDescent="0.25">
      <c r="D2522" s="559" t="s">
        <v>867</v>
      </c>
      <c r="E2522" s="558">
        <v>390248</v>
      </c>
      <c r="F2522" s="559">
        <v>301156</v>
      </c>
      <c r="G2522" s="558" t="s">
        <v>4845</v>
      </c>
      <c r="H2522" s="564">
        <v>40015</v>
      </c>
      <c r="I2522" s="563">
        <v>571.35</v>
      </c>
      <c r="J2522" s="563">
        <v>-571.35</v>
      </c>
      <c r="K2522" s="582">
        <f t="shared" si="114"/>
        <v>0</v>
      </c>
      <c r="L2522" s="563">
        <f t="shared" si="115"/>
        <v>0</v>
      </c>
      <c r="M2522" s="563">
        <f t="shared" si="116"/>
        <v>628.48500000000013</v>
      </c>
      <c r="N2522" s="580"/>
    </row>
    <row r="2523" spans="4:16" x14ac:dyDescent="0.25">
      <c r="D2523" s="559" t="s">
        <v>867</v>
      </c>
      <c r="E2523" s="558">
        <v>390249</v>
      </c>
      <c r="F2523" s="559">
        <v>303070</v>
      </c>
      <c r="G2523" s="558" t="s">
        <v>4845</v>
      </c>
      <c r="H2523" s="564">
        <v>40015</v>
      </c>
      <c r="I2523" s="563">
        <v>571.35</v>
      </c>
      <c r="J2523" s="563">
        <v>-571.35</v>
      </c>
      <c r="K2523" s="563">
        <f t="shared" si="114"/>
        <v>0</v>
      </c>
      <c r="L2523" s="563">
        <f t="shared" si="115"/>
        <v>0</v>
      </c>
      <c r="M2523" s="563">
        <f t="shared" si="116"/>
        <v>628.48500000000013</v>
      </c>
      <c r="N2523" s="580"/>
      <c r="O2523" s="558"/>
      <c r="P2523" s="564"/>
    </row>
    <row r="2524" spans="4:16" x14ac:dyDescent="0.25">
      <c r="D2524" s="559" t="s">
        <v>867</v>
      </c>
      <c r="E2524" s="558">
        <v>390250</v>
      </c>
      <c r="F2524" s="559">
        <v>300524</v>
      </c>
      <c r="G2524" s="558" t="s">
        <v>4845</v>
      </c>
      <c r="H2524" s="564">
        <v>40015</v>
      </c>
      <c r="I2524" s="563">
        <v>571.35</v>
      </c>
      <c r="J2524" s="563">
        <v>-571.35</v>
      </c>
      <c r="K2524" s="582">
        <f t="shared" si="114"/>
        <v>0</v>
      </c>
      <c r="L2524" s="563">
        <f t="shared" si="115"/>
        <v>0</v>
      </c>
      <c r="M2524" s="563">
        <f t="shared" si="116"/>
        <v>628.48500000000013</v>
      </c>
      <c r="N2524" s="580"/>
    </row>
    <row r="2525" spans="4:16" x14ac:dyDescent="0.25">
      <c r="D2525" s="559" t="s">
        <v>867</v>
      </c>
      <c r="E2525" s="558">
        <v>390267</v>
      </c>
      <c r="F2525" s="559">
        <v>301198</v>
      </c>
      <c r="G2525" s="558" t="s">
        <v>4845</v>
      </c>
      <c r="H2525" s="564">
        <v>40015</v>
      </c>
      <c r="I2525" s="563">
        <v>571.35</v>
      </c>
      <c r="J2525" s="563">
        <v>-571.35</v>
      </c>
      <c r="K2525" s="582">
        <f t="shared" si="114"/>
        <v>0</v>
      </c>
      <c r="L2525" s="563">
        <f t="shared" si="115"/>
        <v>0</v>
      </c>
      <c r="M2525" s="563">
        <f t="shared" si="116"/>
        <v>628.48500000000013</v>
      </c>
      <c r="N2525" s="580"/>
    </row>
    <row r="2526" spans="4:16" x14ac:dyDescent="0.25">
      <c r="D2526" s="559" t="s">
        <v>867</v>
      </c>
      <c r="E2526" s="558">
        <v>390276</v>
      </c>
      <c r="F2526" s="559">
        <v>303052</v>
      </c>
      <c r="G2526" s="558" t="s">
        <v>4846</v>
      </c>
      <c r="H2526" s="564">
        <v>40015</v>
      </c>
      <c r="I2526" s="563">
        <v>571.35</v>
      </c>
      <c r="J2526" s="563">
        <v>-571.35</v>
      </c>
      <c r="K2526" s="563">
        <f t="shared" si="114"/>
        <v>0</v>
      </c>
      <c r="L2526" s="563">
        <f t="shared" si="115"/>
        <v>0</v>
      </c>
      <c r="M2526" s="563">
        <f t="shared" si="116"/>
        <v>628.48500000000013</v>
      </c>
      <c r="N2526" s="580"/>
      <c r="O2526" s="558"/>
      <c r="P2526" s="564"/>
    </row>
    <row r="2527" spans="4:16" x14ac:dyDescent="0.25">
      <c r="D2527" s="559" t="s">
        <v>867</v>
      </c>
      <c r="E2527" s="558">
        <v>390296</v>
      </c>
      <c r="F2527" s="559">
        <v>301064</v>
      </c>
      <c r="G2527" s="558" t="s">
        <v>4846</v>
      </c>
      <c r="H2527" s="564">
        <v>40015</v>
      </c>
      <c r="I2527" s="563">
        <v>571.35</v>
      </c>
      <c r="J2527" s="563">
        <v>-571.35</v>
      </c>
      <c r="K2527" s="582">
        <f t="shared" si="114"/>
        <v>0</v>
      </c>
      <c r="L2527" s="563">
        <f t="shared" si="115"/>
        <v>0</v>
      </c>
      <c r="M2527" s="563">
        <f t="shared" si="116"/>
        <v>628.48500000000013</v>
      </c>
      <c r="N2527" s="580"/>
    </row>
    <row r="2528" spans="4:16" x14ac:dyDescent="0.25">
      <c r="D2528" s="559" t="s">
        <v>867</v>
      </c>
      <c r="E2528" s="558">
        <v>390302</v>
      </c>
      <c r="F2528" s="559">
        <v>301022</v>
      </c>
      <c r="G2528" s="558" t="s">
        <v>4846</v>
      </c>
      <c r="H2528" s="564">
        <v>40015</v>
      </c>
      <c r="I2528" s="563">
        <v>571.35</v>
      </c>
      <c r="J2528" s="563">
        <v>-571.35</v>
      </c>
      <c r="K2528" s="582">
        <f t="shared" si="114"/>
        <v>0</v>
      </c>
      <c r="L2528" s="563">
        <f t="shared" si="115"/>
        <v>0</v>
      </c>
      <c r="M2528" s="563">
        <f t="shared" si="116"/>
        <v>628.48500000000013</v>
      </c>
      <c r="N2528" s="580"/>
    </row>
    <row r="2529" spans="4:16" x14ac:dyDescent="0.25">
      <c r="D2529" s="559" t="s">
        <v>867</v>
      </c>
      <c r="E2529" s="558">
        <v>390303</v>
      </c>
      <c r="F2529" s="559">
        <v>301448</v>
      </c>
      <c r="G2529" s="558" t="s">
        <v>4846</v>
      </c>
      <c r="H2529" s="564">
        <v>40015</v>
      </c>
      <c r="I2529" s="563">
        <v>64.349999999999994</v>
      </c>
      <c r="J2529" s="563">
        <v>-64.349999999999994</v>
      </c>
      <c r="K2529" s="582">
        <f t="shared" si="114"/>
        <v>0</v>
      </c>
      <c r="L2529" s="563">
        <f t="shared" si="115"/>
        <v>0</v>
      </c>
      <c r="M2529" s="563">
        <f t="shared" si="116"/>
        <v>70.784999999999997</v>
      </c>
      <c r="N2529" s="580"/>
    </row>
    <row r="2530" spans="4:16" x14ac:dyDescent="0.25">
      <c r="D2530" s="559" t="s">
        <v>867</v>
      </c>
      <c r="E2530" s="558">
        <v>390307</v>
      </c>
      <c r="F2530" s="559">
        <v>303556</v>
      </c>
      <c r="G2530" s="558" t="s">
        <v>4846</v>
      </c>
      <c r="H2530" s="564">
        <v>40015</v>
      </c>
      <c r="I2530" s="563">
        <v>571.35</v>
      </c>
      <c r="J2530" s="563">
        <v>-571.35</v>
      </c>
      <c r="K2530" s="582">
        <f t="shared" si="114"/>
        <v>0</v>
      </c>
      <c r="L2530" s="563">
        <f t="shared" si="115"/>
        <v>0</v>
      </c>
      <c r="M2530" s="563">
        <f t="shared" si="116"/>
        <v>628.48500000000013</v>
      </c>
      <c r="N2530" s="580"/>
    </row>
    <row r="2531" spans="4:16" x14ac:dyDescent="0.25">
      <c r="D2531" s="559" t="s">
        <v>867</v>
      </c>
      <c r="E2531" s="558">
        <v>390308</v>
      </c>
      <c r="F2531" s="559">
        <v>300124</v>
      </c>
      <c r="G2531" s="558" t="s">
        <v>4909</v>
      </c>
      <c r="H2531" s="564">
        <v>40015</v>
      </c>
      <c r="I2531" s="563">
        <v>805.35</v>
      </c>
      <c r="J2531" s="563">
        <v>-585</v>
      </c>
      <c r="K2531" s="582">
        <f t="shared" si="114"/>
        <v>220.35000000000002</v>
      </c>
      <c r="L2531" s="563">
        <f t="shared" si="115"/>
        <v>242.38500000000005</v>
      </c>
      <c r="M2531" s="563">
        <f t="shared" si="116"/>
        <v>885.8850000000001</v>
      </c>
      <c r="N2531" s="580"/>
    </row>
    <row r="2532" spans="4:16" x14ac:dyDescent="0.25">
      <c r="D2532" s="559" t="s">
        <v>867</v>
      </c>
      <c r="E2532" s="558">
        <v>390311</v>
      </c>
      <c r="F2532" s="559">
        <v>301706</v>
      </c>
      <c r="G2532" s="558" t="s">
        <v>4909</v>
      </c>
      <c r="H2532" s="564">
        <v>40015</v>
      </c>
      <c r="I2532" s="563">
        <v>571.35</v>
      </c>
      <c r="J2532" s="563">
        <v>-571.35</v>
      </c>
      <c r="K2532" s="582">
        <f t="shared" si="114"/>
        <v>0</v>
      </c>
      <c r="L2532" s="563">
        <f t="shared" si="115"/>
        <v>0</v>
      </c>
      <c r="M2532" s="563">
        <f t="shared" si="116"/>
        <v>628.48500000000013</v>
      </c>
      <c r="N2532" s="580"/>
    </row>
    <row r="2533" spans="4:16" x14ac:dyDescent="0.25">
      <c r="D2533" s="559" t="s">
        <v>867</v>
      </c>
      <c r="E2533" s="558">
        <v>390320</v>
      </c>
      <c r="F2533" s="559">
        <v>301137</v>
      </c>
      <c r="G2533" s="558" t="s">
        <v>4909</v>
      </c>
      <c r="H2533" s="564">
        <v>40015</v>
      </c>
      <c r="I2533" s="563">
        <v>25.35</v>
      </c>
      <c r="J2533" s="563">
        <v>-25.35</v>
      </c>
      <c r="K2533" s="582">
        <f t="shared" si="114"/>
        <v>0</v>
      </c>
      <c r="L2533" s="563">
        <f t="shared" si="115"/>
        <v>0</v>
      </c>
      <c r="M2533" s="563">
        <f t="shared" si="116"/>
        <v>27.885000000000005</v>
      </c>
      <c r="N2533" s="580"/>
    </row>
    <row r="2534" spans="4:16" x14ac:dyDescent="0.25">
      <c r="D2534" s="559" t="s">
        <v>867</v>
      </c>
      <c r="E2534" s="558">
        <v>390551</v>
      </c>
      <c r="F2534" s="559">
        <v>300528</v>
      </c>
      <c r="G2534" s="558" t="s">
        <v>4909</v>
      </c>
      <c r="H2534" s="564">
        <v>40015</v>
      </c>
      <c r="I2534" s="563">
        <v>1326</v>
      </c>
      <c r="J2534" s="563">
        <v>-585</v>
      </c>
      <c r="K2534" s="582">
        <f t="shared" si="114"/>
        <v>741</v>
      </c>
      <c r="L2534" s="563">
        <f t="shared" si="115"/>
        <v>815.1</v>
      </c>
      <c r="M2534" s="563">
        <f t="shared" si="116"/>
        <v>1458.6000000000001</v>
      </c>
      <c r="N2534" s="580"/>
    </row>
    <row r="2535" spans="4:16" x14ac:dyDescent="0.25">
      <c r="D2535" s="559" t="s">
        <v>867</v>
      </c>
      <c r="E2535" s="558">
        <v>390553</v>
      </c>
      <c r="F2535" s="559">
        <v>303444</v>
      </c>
      <c r="G2535" s="558" t="s">
        <v>4909</v>
      </c>
      <c r="H2535" s="564">
        <v>40015</v>
      </c>
      <c r="I2535" s="563">
        <v>64.349999999999994</v>
      </c>
      <c r="J2535" s="563">
        <v>-64.349999999999994</v>
      </c>
      <c r="K2535" s="582">
        <f t="shared" si="114"/>
        <v>0</v>
      </c>
      <c r="L2535" s="563">
        <f t="shared" si="115"/>
        <v>0</v>
      </c>
      <c r="M2535" s="563">
        <f t="shared" si="116"/>
        <v>70.784999999999997</v>
      </c>
      <c r="N2535" s="580"/>
    </row>
    <row r="2536" spans="4:16" x14ac:dyDescent="0.25">
      <c r="D2536" s="559" t="s">
        <v>867</v>
      </c>
      <c r="E2536" s="558" t="s">
        <v>4847</v>
      </c>
      <c r="F2536" s="559">
        <v>102330</v>
      </c>
      <c r="G2536" s="558" t="s">
        <v>873</v>
      </c>
      <c r="H2536" s="564">
        <v>40015</v>
      </c>
      <c r="I2536" s="563">
        <v>436.8</v>
      </c>
      <c r="J2536" s="563">
        <v>-436.8</v>
      </c>
      <c r="K2536" s="563">
        <f t="shared" si="114"/>
        <v>0</v>
      </c>
      <c r="L2536" s="563">
        <f t="shared" si="115"/>
        <v>0</v>
      </c>
      <c r="M2536" s="563">
        <f t="shared" si="116"/>
        <v>480.48000000000008</v>
      </c>
      <c r="N2536" s="580"/>
      <c r="O2536" s="558"/>
      <c r="P2536" s="564"/>
    </row>
    <row r="2537" spans="4:16" x14ac:dyDescent="0.25">
      <c r="D2537" s="559" t="s">
        <v>867</v>
      </c>
      <c r="E2537" s="558" t="s">
        <v>4910</v>
      </c>
      <c r="F2537" s="559">
        <v>500194</v>
      </c>
      <c r="G2537" s="558" t="s">
        <v>4911</v>
      </c>
      <c r="H2537" s="564">
        <v>40015</v>
      </c>
      <c r="I2537" s="563">
        <v>2560.35</v>
      </c>
      <c r="J2537" s="563">
        <v>-585</v>
      </c>
      <c r="K2537" s="582">
        <f t="shared" ref="K2537:K2600" si="117">+I2537+J2537</f>
        <v>1975.35</v>
      </c>
      <c r="L2537" s="563">
        <f t="shared" ref="L2537:L2600" si="118">+K2537*1.1</f>
        <v>2172.8850000000002</v>
      </c>
      <c r="M2537" s="563">
        <f t="shared" ref="M2537:M2600" si="119">+I2537*1.1</f>
        <v>2816.3850000000002</v>
      </c>
      <c r="N2537" s="580"/>
    </row>
    <row r="2538" spans="4:16" x14ac:dyDescent="0.25">
      <c r="D2538" s="559" t="s">
        <v>867</v>
      </c>
      <c r="E2538" s="558" t="s">
        <v>4912</v>
      </c>
      <c r="F2538" s="559">
        <v>501955</v>
      </c>
      <c r="G2538" s="558" t="s">
        <v>4911</v>
      </c>
      <c r="H2538" s="564">
        <v>40015</v>
      </c>
      <c r="I2538" s="563">
        <v>25.35</v>
      </c>
      <c r="J2538" s="563">
        <v>-25.35</v>
      </c>
      <c r="K2538" s="582">
        <f t="shared" si="117"/>
        <v>0</v>
      </c>
      <c r="L2538" s="563">
        <f t="shared" si="118"/>
        <v>0</v>
      </c>
      <c r="M2538" s="563">
        <f t="shared" si="119"/>
        <v>27.885000000000005</v>
      </c>
      <c r="N2538" s="580"/>
    </row>
    <row r="2539" spans="4:16" x14ac:dyDescent="0.25">
      <c r="D2539" s="559" t="s">
        <v>867</v>
      </c>
      <c r="E2539" s="558" t="s">
        <v>4913</v>
      </c>
      <c r="F2539" s="559">
        <v>501955</v>
      </c>
      <c r="G2539" s="558" t="s">
        <v>4911</v>
      </c>
      <c r="H2539" s="564">
        <v>40015</v>
      </c>
      <c r="I2539" s="563">
        <v>2170.35</v>
      </c>
      <c r="J2539" s="563">
        <v>-585</v>
      </c>
      <c r="K2539" s="582">
        <f t="shared" si="117"/>
        <v>1585.35</v>
      </c>
      <c r="L2539" s="563">
        <f t="shared" si="118"/>
        <v>1743.885</v>
      </c>
      <c r="M2539" s="563">
        <f t="shared" si="119"/>
        <v>2387.3850000000002</v>
      </c>
      <c r="N2539" s="580"/>
    </row>
    <row r="2540" spans="4:16" x14ac:dyDescent="0.25">
      <c r="D2540" s="559" t="s">
        <v>867</v>
      </c>
      <c r="E2540" s="558" t="s">
        <v>4914</v>
      </c>
      <c r="F2540" s="559">
        <v>501960</v>
      </c>
      <c r="G2540" s="558" t="s">
        <v>4911</v>
      </c>
      <c r="H2540" s="564">
        <v>40015</v>
      </c>
      <c r="I2540" s="563">
        <v>298.35000000000002</v>
      </c>
      <c r="J2540" s="563">
        <v>-298.35000000000002</v>
      </c>
      <c r="K2540" s="582">
        <f t="shared" si="117"/>
        <v>0</v>
      </c>
      <c r="L2540" s="563">
        <f t="shared" si="118"/>
        <v>0</v>
      </c>
      <c r="M2540" s="563">
        <f t="shared" si="119"/>
        <v>328.18500000000006</v>
      </c>
      <c r="N2540" s="580"/>
    </row>
    <row r="2541" spans="4:16" x14ac:dyDescent="0.25">
      <c r="D2541" s="559" t="s">
        <v>867</v>
      </c>
      <c r="E2541" s="558" t="s">
        <v>4915</v>
      </c>
      <c r="F2541" s="559">
        <v>501962</v>
      </c>
      <c r="G2541" s="558" t="s">
        <v>4911</v>
      </c>
      <c r="H2541" s="564">
        <v>40015</v>
      </c>
      <c r="I2541" s="563">
        <v>415.35</v>
      </c>
      <c r="J2541" s="563">
        <v>-415.35</v>
      </c>
      <c r="K2541" s="582">
        <f t="shared" si="117"/>
        <v>0</v>
      </c>
      <c r="L2541" s="563">
        <f t="shared" si="118"/>
        <v>0</v>
      </c>
      <c r="M2541" s="563">
        <f t="shared" si="119"/>
        <v>456.88500000000005</v>
      </c>
      <c r="N2541" s="580"/>
    </row>
    <row r="2542" spans="4:16" x14ac:dyDescent="0.25">
      <c r="D2542" s="559" t="s">
        <v>867</v>
      </c>
      <c r="E2542" s="558" t="s">
        <v>4916</v>
      </c>
      <c r="F2542" s="559">
        <v>501963</v>
      </c>
      <c r="G2542" s="558" t="s">
        <v>4917</v>
      </c>
      <c r="H2542" s="564">
        <v>40015</v>
      </c>
      <c r="I2542" s="563">
        <v>376.35</v>
      </c>
      <c r="J2542" s="563">
        <v>-376.35</v>
      </c>
      <c r="K2542" s="582">
        <f t="shared" si="117"/>
        <v>0</v>
      </c>
      <c r="L2542" s="563">
        <f t="shared" si="118"/>
        <v>0</v>
      </c>
      <c r="M2542" s="563">
        <f t="shared" si="119"/>
        <v>413.98500000000007</v>
      </c>
      <c r="N2542" s="580"/>
    </row>
    <row r="2543" spans="4:16" x14ac:dyDescent="0.25">
      <c r="D2543" s="559" t="s">
        <v>867</v>
      </c>
      <c r="E2543" s="558" t="s">
        <v>4918</v>
      </c>
      <c r="F2543" s="559">
        <v>501969</v>
      </c>
      <c r="G2543" s="558" t="s">
        <v>4917</v>
      </c>
      <c r="H2543" s="564">
        <v>40015</v>
      </c>
      <c r="I2543" s="563">
        <v>688.35</v>
      </c>
      <c r="J2543" s="563">
        <v>-585</v>
      </c>
      <c r="K2543" s="582">
        <f t="shared" si="117"/>
        <v>103.35000000000002</v>
      </c>
      <c r="L2543" s="563">
        <f t="shared" si="118"/>
        <v>113.68500000000003</v>
      </c>
      <c r="M2543" s="563">
        <f t="shared" si="119"/>
        <v>757.18500000000006</v>
      </c>
      <c r="N2543" s="580"/>
    </row>
    <row r="2544" spans="4:16" x14ac:dyDescent="0.25">
      <c r="D2544" s="559" t="s">
        <v>867</v>
      </c>
      <c r="E2544" s="558" t="s">
        <v>4919</v>
      </c>
      <c r="F2544" s="559">
        <v>501971</v>
      </c>
      <c r="G2544" s="558" t="s">
        <v>4917</v>
      </c>
      <c r="H2544" s="564">
        <v>40015</v>
      </c>
      <c r="I2544" s="563">
        <v>688.35</v>
      </c>
      <c r="J2544" s="563">
        <v>-585</v>
      </c>
      <c r="K2544" s="582">
        <f t="shared" si="117"/>
        <v>103.35000000000002</v>
      </c>
      <c r="L2544" s="563">
        <f t="shared" si="118"/>
        <v>113.68500000000003</v>
      </c>
      <c r="M2544" s="563">
        <f t="shared" si="119"/>
        <v>757.18500000000006</v>
      </c>
      <c r="N2544" s="580"/>
    </row>
    <row r="2545" spans="4:14" x14ac:dyDescent="0.25">
      <c r="D2545" s="559" t="s">
        <v>867</v>
      </c>
      <c r="E2545" s="558" t="s">
        <v>4920</v>
      </c>
      <c r="F2545" s="559">
        <v>501977</v>
      </c>
      <c r="G2545" s="558" t="s">
        <v>4917</v>
      </c>
      <c r="H2545" s="564">
        <v>40015</v>
      </c>
      <c r="I2545" s="563">
        <v>493.35</v>
      </c>
      <c r="J2545" s="563">
        <v>-493.35</v>
      </c>
      <c r="K2545" s="582">
        <f t="shared" si="117"/>
        <v>0</v>
      </c>
      <c r="L2545" s="563">
        <f t="shared" si="118"/>
        <v>0</v>
      </c>
      <c r="M2545" s="563">
        <f t="shared" si="119"/>
        <v>542.68500000000006</v>
      </c>
      <c r="N2545" s="580"/>
    </row>
    <row r="2546" spans="4:14" x14ac:dyDescent="0.25">
      <c r="D2546" s="559" t="s">
        <v>867</v>
      </c>
      <c r="E2546" s="558" t="s">
        <v>4921</v>
      </c>
      <c r="F2546" s="559">
        <v>501978</v>
      </c>
      <c r="G2546" s="558" t="s">
        <v>4917</v>
      </c>
      <c r="H2546" s="564">
        <v>40015</v>
      </c>
      <c r="I2546" s="563">
        <v>337.35</v>
      </c>
      <c r="J2546" s="563">
        <v>-337.35</v>
      </c>
      <c r="K2546" s="582">
        <f t="shared" si="117"/>
        <v>0</v>
      </c>
      <c r="L2546" s="563">
        <f t="shared" si="118"/>
        <v>0</v>
      </c>
      <c r="M2546" s="563">
        <f t="shared" si="119"/>
        <v>371.08500000000004</v>
      </c>
      <c r="N2546" s="580"/>
    </row>
    <row r="2547" spans="4:14" x14ac:dyDescent="0.25">
      <c r="D2547" s="559" t="s">
        <v>867</v>
      </c>
      <c r="E2547" s="558" t="s">
        <v>4922</v>
      </c>
      <c r="F2547" s="559">
        <v>500196</v>
      </c>
      <c r="G2547" s="558" t="s">
        <v>4923</v>
      </c>
      <c r="H2547" s="564">
        <v>40015</v>
      </c>
      <c r="I2547" s="563">
        <v>961.35</v>
      </c>
      <c r="J2547" s="563">
        <v>-585</v>
      </c>
      <c r="K2547" s="582">
        <f t="shared" si="117"/>
        <v>376.35</v>
      </c>
      <c r="L2547" s="563">
        <f t="shared" si="118"/>
        <v>413.98500000000007</v>
      </c>
      <c r="M2547" s="563">
        <f t="shared" si="119"/>
        <v>1057.4850000000001</v>
      </c>
      <c r="N2547" s="580"/>
    </row>
    <row r="2548" spans="4:14" x14ac:dyDescent="0.25">
      <c r="D2548" s="559" t="s">
        <v>867</v>
      </c>
      <c r="E2548" s="558" t="s">
        <v>4924</v>
      </c>
      <c r="F2548" s="559">
        <v>500197</v>
      </c>
      <c r="G2548" s="558" t="s">
        <v>4923</v>
      </c>
      <c r="H2548" s="564">
        <v>40015</v>
      </c>
      <c r="I2548" s="563">
        <v>337.35</v>
      </c>
      <c r="J2548" s="563">
        <v>-337.35</v>
      </c>
      <c r="K2548" s="582">
        <f t="shared" si="117"/>
        <v>0</v>
      </c>
      <c r="L2548" s="563">
        <f t="shared" si="118"/>
        <v>0</v>
      </c>
      <c r="M2548" s="563">
        <f t="shared" si="119"/>
        <v>371.08500000000004</v>
      </c>
      <c r="N2548" s="580"/>
    </row>
    <row r="2549" spans="4:14" x14ac:dyDescent="0.25">
      <c r="D2549" s="559" t="s">
        <v>867</v>
      </c>
      <c r="E2549" s="558" t="s">
        <v>4925</v>
      </c>
      <c r="F2549" s="559">
        <v>501980</v>
      </c>
      <c r="G2549" s="558" t="s">
        <v>4923</v>
      </c>
      <c r="H2549" s="564">
        <v>40015</v>
      </c>
      <c r="I2549" s="563">
        <v>493.35</v>
      </c>
      <c r="J2549" s="563">
        <v>-493.35</v>
      </c>
      <c r="K2549" s="582">
        <f t="shared" si="117"/>
        <v>0</v>
      </c>
      <c r="L2549" s="563">
        <f t="shared" si="118"/>
        <v>0</v>
      </c>
      <c r="M2549" s="563">
        <f t="shared" si="119"/>
        <v>542.68500000000006</v>
      </c>
      <c r="N2549" s="580"/>
    </row>
    <row r="2550" spans="4:14" x14ac:dyDescent="0.25">
      <c r="D2550" s="559" t="s">
        <v>867</v>
      </c>
      <c r="E2550" s="558" t="s">
        <v>4926</v>
      </c>
      <c r="F2550" s="559">
        <v>500198</v>
      </c>
      <c r="G2550" s="558" t="s">
        <v>4923</v>
      </c>
      <c r="H2550" s="564">
        <v>40015</v>
      </c>
      <c r="I2550" s="563">
        <v>493.35</v>
      </c>
      <c r="J2550" s="563">
        <v>-493.35</v>
      </c>
      <c r="K2550" s="582">
        <f t="shared" si="117"/>
        <v>0</v>
      </c>
      <c r="L2550" s="563">
        <f t="shared" si="118"/>
        <v>0</v>
      </c>
      <c r="M2550" s="563">
        <f t="shared" si="119"/>
        <v>542.68500000000006</v>
      </c>
      <c r="N2550" s="580"/>
    </row>
    <row r="2551" spans="4:14" x14ac:dyDescent="0.25">
      <c r="D2551" s="559" t="s">
        <v>867</v>
      </c>
      <c r="E2551" s="558" t="s">
        <v>4927</v>
      </c>
      <c r="F2551" s="559">
        <v>500199</v>
      </c>
      <c r="G2551" s="558" t="s">
        <v>4923</v>
      </c>
      <c r="H2551" s="564">
        <v>40015</v>
      </c>
      <c r="I2551" s="563">
        <v>649.35</v>
      </c>
      <c r="J2551" s="563">
        <v>-585</v>
      </c>
      <c r="K2551" s="582">
        <f t="shared" si="117"/>
        <v>64.350000000000023</v>
      </c>
      <c r="L2551" s="563">
        <f t="shared" si="118"/>
        <v>70.785000000000025</v>
      </c>
      <c r="M2551" s="563">
        <f t="shared" si="119"/>
        <v>714.28500000000008</v>
      </c>
      <c r="N2551" s="580"/>
    </row>
    <row r="2552" spans="4:14" x14ac:dyDescent="0.25">
      <c r="D2552" s="559" t="s">
        <v>867</v>
      </c>
      <c r="E2552" s="558" t="s">
        <v>4928</v>
      </c>
      <c r="F2552" s="559">
        <v>500200</v>
      </c>
      <c r="G2552" s="558" t="s">
        <v>4929</v>
      </c>
      <c r="H2552" s="564">
        <v>40015</v>
      </c>
      <c r="I2552" s="563">
        <v>649.35</v>
      </c>
      <c r="J2552" s="563">
        <v>-585</v>
      </c>
      <c r="K2552" s="582">
        <f t="shared" si="117"/>
        <v>64.350000000000023</v>
      </c>
      <c r="L2552" s="563">
        <f t="shared" si="118"/>
        <v>70.785000000000025</v>
      </c>
      <c r="M2552" s="563">
        <f t="shared" si="119"/>
        <v>714.28500000000008</v>
      </c>
      <c r="N2552" s="580"/>
    </row>
    <row r="2553" spans="4:14" x14ac:dyDescent="0.25">
      <c r="D2553" s="559" t="s">
        <v>867</v>
      </c>
      <c r="E2553" s="558" t="s">
        <v>4930</v>
      </c>
      <c r="F2553" s="559">
        <v>501981</v>
      </c>
      <c r="G2553" s="558" t="s">
        <v>4929</v>
      </c>
      <c r="H2553" s="564">
        <v>40015</v>
      </c>
      <c r="I2553" s="563">
        <v>64.349999999999994</v>
      </c>
      <c r="J2553" s="563">
        <v>-64.349999999999994</v>
      </c>
      <c r="K2553" s="582">
        <f t="shared" si="117"/>
        <v>0</v>
      </c>
      <c r="L2553" s="563">
        <f t="shared" si="118"/>
        <v>0</v>
      </c>
      <c r="M2553" s="563">
        <f t="shared" si="119"/>
        <v>70.784999999999997</v>
      </c>
      <c r="N2553" s="580"/>
    </row>
    <row r="2554" spans="4:14" x14ac:dyDescent="0.25">
      <c r="D2554" s="559" t="s">
        <v>867</v>
      </c>
      <c r="E2554" s="558" t="s">
        <v>4931</v>
      </c>
      <c r="F2554" s="559">
        <v>501982</v>
      </c>
      <c r="G2554" s="558" t="s">
        <v>4929</v>
      </c>
      <c r="H2554" s="564">
        <v>40015</v>
      </c>
      <c r="I2554" s="563">
        <v>181.35</v>
      </c>
      <c r="J2554" s="563">
        <v>-181.35</v>
      </c>
      <c r="K2554" s="582">
        <f t="shared" si="117"/>
        <v>0</v>
      </c>
      <c r="L2554" s="563">
        <f t="shared" si="118"/>
        <v>0</v>
      </c>
      <c r="M2554" s="563">
        <f t="shared" si="119"/>
        <v>199.48500000000001</v>
      </c>
      <c r="N2554" s="580"/>
    </row>
    <row r="2555" spans="4:14" x14ac:dyDescent="0.25">
      <c r="D2555" s="559" t="s">
        <v>867</v>
      </c>
      <c r="E2555" s="558" t="s">
        <v>4932</v>
      </c>
      <c r="F2555" s="559">
        <v>501983</v>
      </c>
      <c r="G2555" s="558" t="s">
        <v>4929</v>
      </c>
      <c r="H2555" s="564">
        <v>40015</v>
      </c>
      <c r="I2555" s="563">
        <v>64.349999999999994</v>
      </c>
      <c r="J2555" s="563">
        <v>-64.349999999999994</v>
      </c>
      <c r="K2555" s="582">
        <f t="shared" si="117"/>
        <v>0</v>
      </c>
      <c r="L2555" s="563">
        <f t="shared" si="118"/>
        <v>0</v>
      </c>
      <c r="M2555" s="563">
        <f t="shared" si="119"/>
        <v>70.784999999999997</v>
      </c>
      <c r="N2555" s="580"/>
    </row>
    <row r="2556" spans="4:14" x14ac:dyDescent="0.25">
      <c r="D2556" s="559" t="s">
        <v>867</v>
      </c>
      <c r="E2556" s="558" t="s">
        <v>4933</v>
      </c>
      <c r="F2556" s="559">
        <v>500201</v>
      </c>
      <c r="G2556" s="558" t="s">
        <v>4929</v>
      </c>
      <c r="H2556" s="564">
        <v>40015</v>
      </c>
      <c r="I2556" s="563">
        <v>337.35</v>
      </c>
      <c r="J2556" s="563">
        <v>-337.35</v>
      </c>
      <c r="K2556" s="582">
        <f t="shared" si="117"/>
        <v>0</v>
      </c>
      <c r="L2556" s="563">
        <f t="shared" si="118"/>
        <v>0</v>
      </c>
      <c r="M2556" s="563">
        <f t="shared" si="119"/>
        <v>371.08500000000004</v>
      </c>
      <c r="N2556" s="580"/>
    </row>
    <row r="2557" spans="4:14" x14ac:dyDescent="0.25">
      <c r="D2557" s="559" t="s">
        <v>867</v>
      </c>
      <c r="E2557" s="558" t="s">
        <v>4934</v>
      </c>
      <c r="F2557" s="559">
        <v>501984</v>
      </c>
      <c r="G2557" s="558" t="s">
        <v>4935</v>
      </c>
      <c r="H2557" s="564">
        <v>40015</v>
      </c>
      <c r="I2557" s="563">
        <v>337.35</v>
      </c>
      <c r="J2557" s="563">
        <v>-337.35</v>
      </c>
      <c r="K2557" s="582">
        <f t="shared" si="117"/>
        <v>0</v>
      </c>
      <c r="L2557" s="563">
        <f t="shared" si="118"/>
        <v>0</v>
      </c>
      <c r="M2557" s="563">
        <f t="shared" si="119"/>
        <v>371.08500000000004</v>
      </c>
      <c r="N2557" s="580"/>
    </row>
    <row r="2558" spans="4:14" x14ac:dyDescent="0.25">
      <c r="D2558" s="559" t="s">
        <v>867</v>
      </c>
      <c r="E2558" s="558" t="s">
        <v>4936</v>
      </c>
      <c r="F2558" s="559">
        <v>500202</v>
      </c>
      <c r="G2558" s="558" t="s">
        <v>4935</v>
      </c>
      <c r="H2558" s="564">
        <v>40015</v>
      </c>
      <c r="I2558" s="563">
        <v>688.35</v>
      </c>
      <c r="J2558" s="563">
        <v>-585</v>
      </c>
      <c r="K2558" s="582">
        <f t="shared" si="117"/>
        <v>103.35000000000002</v>
      </c>
      <c r="L2558" s="563">
        <f t="shared" si="118"/>
        <v>113.68500000000003</v>
      </c>
      <c r="M2558" s="563">
        <f t="shared" si="119"/>
        <v>757.18500000000006</v>
      </c>
      <c r="N2558" s="580"/>
    </row>
    <row r="2559" spans="4:14" x14ac:dyDescent="0.25">
      <c r="D2559" s="559" t="s">
        <v>867</v>
      </c>
      <c r="E2559" s="558" t="s">
        <v>4937</v>
      </c>
      <c r="F2559" s="559">
        <v>501985</v>
      </c>
      <c r="G2559" s="558" t="s">
        <v>4935</v>
      </c>
      <c r="H2559" s="564">
        <v>40015</v>
      </c>
      <c r="I2559" s="563">
        <v>337.35</v>
      </c>
      <c r="J2559" s="563">
        <v>-337.35</v>
      </c>
      <c r="K2559" s="582">
        <f t="shared" si="117"/>
        <v>0</v>
      </c>
      <c r="L2559" s="563">
        <f t="shared" si="118"/>
        <v>0</v>
      </c>
      <c r="M2559" s="563">
        <f t="shared" si="119"/>
        <v>371.08500000000004</v>
      </c>
      <c r="N2559" s="580"/>
    </row>
    <row r="2560" spans="4:14" x14ac:dyDescent="0.25">
      <c r="D2560" s="559" t="s">
        <v>867</v>
      </c>
      <c r="E2560" s="558" t="s">
        <v>4938</v>
      </c>
      <c r="F2560" s="559">
        <v>500203</v>
      </c>
      <c r="G2560" s="558" t="s">
        <v>4935</v>
      </c>
      <c r="H2560" s="564">
        <v>40015</v>
      </c>
      <c r="I2560" s="563">
        <v>337.35</v>
      </c>
      <c r="J2560" s="563">
        <v>-337.35</v>
      </c>
      <c r="K2560" s="582">
        <f t="shared" si="117"/>
        <v>0</v>
      </c>
      <c r="L2560" s="563">
        <f t="shared" si="118"/>
        <v>0</v>
      </c>
      <c r="M2560" s="563">
        <f t="shared" si="119"/>
        <v>371.08500000000004</v>
      </c>
      <c r="N2560" s="580"/>
    </row>
    <row r="2561" spans="4:14" x14ac:dyDescent="0.25">
      <c r="D2561" s="559" t="s">
        <v>867</v>
      </c>
      <c r="E2561" s="558" t="s">
        <v>4939</v>
      </c>
      <c r="F2561" s="559">
        <v>500204</v>
      </c>
      <c r="G2561" s="558" t="s">
        <v>4935</v>
      </c>
      <c r="H2561" s="564">
        <v>40015</v>
      </c>
      <c r="I2561" s="563">
        <v>337.35</v>
      </c>
      <c r="J2561" s="563">
        <v>-337.35</v>
      </c>
      <c r="K2561" s="582">
        <f t="shared" si="117"/>
        <v>0</v>
      </c>
      <c r="L2561" s="563">
        <f t="shared" si="118"/>
        <v>0</v>
      </c>
      <c r="M2561" s="563">
        <f t="shared" si="119"/>
        <v>371.08500000000004</v>
      </c>
      <c r="N2561" s="580"/>
    </row>
    <row r="2562" spans="4:14" x14ac:dyDescent="0.25">
      <c r="D2562" s="559" t="s">
        <v>867</v>
      </c>
      <c r="E2562" s="558" t="s">
        <v>4940</v>
      </c>
      <c r="F2562" s="559">
        <v>500205</v>
      </c>
      <c r="G2562" s="558" t="s">
        <v>4941</v>
      </c>
      <c r="H2562" s="564">
        <v>40015</v>
      </c>
      <c r="I2562" s="563">
        <v>337.35</v>
      </c>
      <c r="J2562" s="563">
        <v>-337.35</v>
      </c>
      <c r="K2562" s="582">
        <f t="shared" si="117"/>
        <v>0</v>
      </c>
      <c r="L2562" s="563">
        <f t="shared" si="118"/>
        <v>0</v>
      </c>
      <c r="M2562" s="563">
        <f t="shared" si="119"/>
        <v>371.08500000000004</v>
      </c>
      <c r="N2562" s="580"/>
    </row>
    <row r="2563" spans="4:14" x14ac:dyDescent="0.25">
      <c r="D2563" s="559" t="s">
        <v>867</v>
      </c>
      <c r="E2563" s="558" t="s">
        <v>4942</v>
      </c>
      <c r="F2563" s="559">
        <v>500206</v>
      </c>
      <c r="G2563" s="558" t="s">
        <v>4941</v>
      </c>
      <c r="H2563" s="564">
        <v>40015</v>
      </c>
      <c r="I2563" s="563">
        <v>376.35</v>
      </c>
      <c r="J2563" s="563">
        <v>-376.35</v>
      </c>
      <c r="K2563" s="582">
        <f t="shared" si="117"/>
        <v>0</v>
      </c>
      <c r="L2563" s="563">
        <f t="shared" si="118"/>
        <v>0</v>
      </c>
      <c r="M2563" s="563">
        <f t="shared" si="119"/>
        <v>413.98500000000007</v>
      </c>
      <c r="N2563" s="580"/>
    </row>
    <row r="2564" spans="4:14" x14ac:dyDescent="0.25">
      <c r="D2564" s="559" t="s">
        <v>867</v>
      </c>
      <c r="E2564" s="558" t="s">
        <v>4943</v>
      </c>
      <c r="F2564" s="559">
        <v>500207</v>
      </c>
      <c r="G2564" s="558" t="s">
        <v>4941</v>
      </c>
      <c r="H2564" s="564">
        <v>40015</v>
      </c>
      <c r="I2564" s="563">
        <v>337.35</v>
      </c>
      <c r="J2564" s="563">
        <v>-337.35</v>
      </c>
      <c r="K2564" s="582">
        <f t="shared" si="117"/>
        <v>0</v>
      </c>
      <c r="L2564" s="563">
        <f t="shared" si="118"/>
        <v>0</v>
      </c>
      <c r="M2564" s="563">
        <f t="shared" si="119"/>
        <v>371.08500000000004</v>
      </c>
      <c r="N2564" s="580"/>
    </row>
    <row r="2565" spans="4:14" x14ac:dyDescent="0.25">
      <c r="D2565" s="559" t="s">
        <v>867</v>
      </c>
      <c r="E2565" s="558" t="s">
        <v>4944</v>
      </c>
      <c r="F2565" s="559">
        <v>500208</v>
      </c>
      <c r="G2565" s="558" t="s">
        <v>4941</v>
      </c>
      <c r="H2565" s="564">
        <v>40015</v>
      </c>
      <c r="I2565" s="563">
        <v>337.35</v>
      </c>
      <c r="J2565" s="563">
        <v>-337.35</v>
      </c>
      <c r="K2565" s="582">
        <f t="shared" si="117"/>
        <v>0</v>
      </c>
      <c r="L2565" s="563">
        <f t="shared" si="118"/>
        <v>0</v>
      </c>
      <c r="M2565" s="563">
        <f t="shared" si="119"/>
        <v>371.08500000000004</v>
      </c>
      <c r="N2565" s="580"/>
    </row>
    <row r="2566" spans="4:14" x14ac:dyDescent="0.25">
      <c r="D2566" s="559" t="s">
        <v>867</v>
      </c>
      <c r="E2566" s="558" t="s">
        <v>4945</v>
      </c>
      <c r="F2566" s="559">
        <v>500209</v>
      </c>
      <c r="G2566" s="558" t="s">
        <v>4941</v>
      </c>
      <c r="H2566" s="564">
        <v>40015</v>
      </c>
      <c r="I2566" s="563">
        <v>493.35</v>
      </c>
      <c r="J2566" s="563">
        <v>-493.35</v>
      </c>
      <c r="K2566" s="582">
        <f t="shared" si="117"/>
        <v>0</v>
      </c>
      <c r="L2566" s="563">
        <f t="shared" si="118"/>
        <v>0</v>
      </c>
      <c r="M2566" s="563">
        <f t="shared" si="119"/>
        <v>542.68500000000006</v>
      </c>
      <c r="N2566" s="580"/>
    </row>
    <row r="2567" spans="4:14" x14ac:dyDescent="0.25">
      <c r="D2567" s="559" t="s">
        <v>867</v>
      </c>
      <c r="E2567" s="558" t="s">
        <v>4946</v>
      </c>
      <c r="F2567" s="559">
        <v>500210</v>
      </c>
      <c r="G2567" s="558" t="s">
        <v>4947</v>
      </c>
      <c r="H2567" s="564">
        <v>40015</v>
      </c>
      <c r="I2567" s="563">
        <v>493.35</v>
      </c>
      <c r="J2567" s="563">
        <v>-493.35</v>
      </c>
      <c r="K2567" s="582">
        <f t="shared" si="117"/>
        <v>0</v>
      </c>
      <c r="L2567" s="563">
        <f t="shared" si="118"/>
        <v>0</v>
      </c>
      <c r="M2567" s="563">
        <f t="shared" si="119"/>
        <v>542.68500000000006</v>
      </c>
      <c r="N2567" s="580"/>
    </row>
    <row r="2568" spans="4:14" x14ac:dyDescent="0.25">
      <c r="D2568" s="559" t="s">
        <v>867</v>
      </c>
      <c r="E2568" s="558" t="s">
        <v>4948</v>
      </c>
      <c r="F2568" s="559">
        <v>500211</v>
      </c>
      <c r="G2568" s="558" t="s">
        <v>4947</v>
      </c>
      <c r="H2568" s="564">
        <v>40015</v>
      </c>
      <c r="I2568" s="563">
        <v>337.35</v>
      </c>
      <c r="J2568" s="563">
        <v>-337.35</v>
      </c>
      <c r="K2568" s="582">
        <f t="shared" si="117"/>
        <v>0</v>
      </c>
      <c r="L2568" s="563">
        <f t="shared" si="118"/>
        <v>0</v>
      </c>
      <c r="M2568" s="563">
        <f t="shared" si="119"/>
        <v>371.08500000000004</v>
      </c>
      <c r="N2568" s="580"/>
    </row>
    <row r="2569" spans="4:14" x14ac:dyDescent="0.25">
      <c r="D2569" s="559" t="s">
        <v>867</v>
      </c>
      <c r="E2569" s="558" t="s">
        <v>4949</v>
      </c>
      <c r="F2569" s="559">
        <v>500212</v>
      </c>
      <c r="G2569" s="558" t="s">
        <v>4947</v>
      </c>
      <c r="H2569" s="564">
        <v>40015</v>
      </c>
      <c r="I2569" s="563">
        <v>688.35</v>
      </c>
      <c r="J2569" s="563">
        <v>-585</v>
      </c>
      <c r="K2569" s="582">
        <f t="shared" si="117"/>
        <v>103.35000000000002</v>
      </c>
      <c r="L2569" s="563">
        <f t="shared" si="118"/>
        <v>113.68500000000003</v>
      </c>
      <c r="M2569" s="563">
        <f t="shared" si="119"/>
        <v>757.18500000000006</v>
      </c>
      <c r="N2569" s="580"/>
    </row>
    <row r="2570" spans="4:14" x14ac:dyDescent="0.25">
      <c r="D2570" s="559" t="s">
        <v>867</v>
      </c>
      <c r="E2570" s="558" t="s">
        <v>4950</v>
      </c>
      <c r="F2570" s="559">
        <v>501987</v>
      </c>
      <c r="G2570" s="558" t="s">
        <v>4947</v>
      </c>
      <c r="H2570" s="564">
        <v>40015</v>
      </c>
      <c r="I2570" s="563">
        <v>337.35</v>
      </c>
      <c r="J2570" s="563">
        <v>-337.35</v>
      </c>
      <c r="K2570" s="582">
        <f t="shared" si="117"/>
        <v>0</v>
      </c>
      <c r="L2570" s="563">
        <f t="shared" si="118"/>
        <v>0</v>
      </c>
      <c r="M2570" s="563">
        <f t="shared" si="119"/>
        <v>371.08500000000004</v>
      </c>
      <c r="N2570" s="580"/>
    </row>
    <row r="2571" spans="4:14" x14ac:dyDescent="0.25">
      <c r="D2571" s="559" t="s">
        <v>867</v>
      </c>
      <c r="E2571" s="558" t="s">
        <v>4951</v>
      </c>
      <c r="F2571" s="559">
        <v>500213</v>
      </c>
      <c r="G2571" s="558" t="s">
        <v>4947</v>
      </c>
      <c r="H2571" s="564">
        <v>40015</v>
      </c>
      <c r="I2571" s="563">
        <v>688.35</v>
      </c>
      <c r="J2571" s="563">
        <v>-585</v>
      </c>
      <c r="K2571" s="582">
        <f t="shared" si="117"/>
        <v>103.35000000000002</v>
      </c>
      <c r="L2571" s="563">
        <f t="shared" si="118"/>
        <v>113.68500000000003</v>
      </c>
      <c r="M2571" s="563">
        <f t="shared" si="119"/>
        <v>757.18500000000006</v>
      </c>
      <c r="N2571" s="580"/>
    </row>
    <row r="2572" spans="4:14" x14ac:dyDescent="0.25">
      <c r="D2572" s="559" t="s">
        <v>867</v>
      </c>
      <c r="E2572" s="558" t="s">
        <v>4952</v>
      </c>
      <c r="F2572" s="559">
        <v>501989</v>
      </c>
      <c r="G2572" s="558" t="s">
        <v>4953</v>
      </c>
      <c r="H2572" s="564">
        <v>40015</v>
      </c>
      <c r="I2572" s="563">
        <v>688.35</v>
      </c>
      <c r="J2572" s="563">
        <v>-585</v>
      </c>
      <c r="K2572" s="582">
        <f t="shared" si="117"/>
        <v>103.35000000000002</v>
      </c>
      <c r="L2572" s="563">
        <f t="shared" si="118"/>
        <v>113.68500000000003</v>
      </c>
      <c r="M2572" s="563">
        <f t="shared" si="119"/>
        <v>757.18500000000006</v>
      </c>
      <c r="N2572" s="580"/>
    </row>
    <row r="2573" spans="4:14" x14ac:dyDescent="0.25">
      <c r="D2573" s="559" t="s">
        <v>867</v>
      </c>
      <c r="E2573" s="558" t="s">
        <v>4954</v>
      </c>
      <c r="F2573" s="559">
        <v>501992</v>
      </c>
      <c r="G2573" s="558" t="s">
        <v>4953</v>
      </c>
      <c r="H2573" s="564">
        <v>40015</v>
      </c>
      <c r="I2573" s="563">
        <v>688.35</v>
      </c>
      <c r="J2573" s="563">
        <v>-585</v>
      </c>
      <c r="K2573" s="582">
        <f t="shared" si="117"/>
        <v>103.35000000000002</v>
      </c>
      <c r="L2573" s="563">
        <f t="shared" si="118"/>
        <v>113.68500000000003</v>
      </c>
      <c r="M2573" s="563">
        <f t="shared" si="119"/>
        <v>757.18500000000006</v>
      </c>
      <c r="N2573" s="580"/>
    </row>
    <row r="2574" spans="4:14" x14ac:dyDescent="0.25">
      <c r="D2574" s="559" t="s">
        <v>867</v>
      </c>
      <c r="E2574" s="558" t="s">
        <v>4955</v>
      </c>
      <c r="F2574" s="559">
        <v>501994</v>
      </c>
      <c r="G2574" s="558" t="s">
        <v>4953</v>
      </c>
      <c r="H2574" s="564">
        <v>40015</v>
      </c>
      <c r="I2574" s="563">
        <v>688.35</v>
      </c>
      <c r="J2574" s="563">
        <v>-585</v>
      </c>
      <c r="K2574" s="582">
        <f t="shared" si="117"/>
        <v>103.35000000000002</v>
      </c>
      <c r="L2574" s="563">
        <f t="shared" si="118"/>
        <v>113.68500000000003</v>
      </c>
      <c r="M2574" s="563">
        <f t="shared" si="119"/>
        <v>757.18500000000006</v>
      </c>
      <c r="N2574" s="580"/>
    </row>
    <row r="2575" spans="4:14" x14ac:dyDescent="0.25">
      <c r="D2575" s="559" t="s">
        <v>867</v>
      </c>
      <c r="E2575" s="558" t="s">
        <v>4956</v>
      </c>
      <c r="F2575" s="559">
        <v>500214</v>
      </c>
      <c r="G2575" s="558" t="s">
        <v>4953</v>
      </c>
      <c r="H2575" s="564">
        <v>40015</v>
      </c>
      <c r="I2575" s="563">
        <v>493.35</v>
      </c>
      <c r="J2575" s="563">
        <v>-493.35</v>
      </c>
      <c r="K2575" s="582">
        <f t="shared" si="117"/>
        <v>0</v>
      </c>
      <c r="L2575" s="563">
        <f t="shared" si="118"/>
        <v>0</v>
      </c>
      <c r="M2575" s="563">
        <f t="shared" si="119"/>
        <v>542.68500000000006</v>
      </c>
      <c r="N2575" s="580"/>
    </row>
    <row r="2576" spans="4:14" x14ac:dyDescent="0.25">
      <c r="D2576" s="559" t="s">
        <v>867</v>
      </c>
      <c r="E2576" s="558" t="s">
        <v>4957</v>
      </c>
      <c r="F2576" s="559">
        <v>502001</v>
      </c>
      <c r="G2576" s="558" t="s">
        <v>4953</v>
      </c>
      <c r="H2576" s="564">
        <v>40015</v>
      </c>
      <c r="I2576" s="563">
        <v>727.35</v>
      </c>
      <c r="J2576" s="563">
        <v>-585</v>
      </c>
      <c r="K2576" s="582">
        <f t="shared" si="117"/>
        <v>142.35000000000002</v>
      </c>
      <c r="L2576" s="563">
        <f t="shared" si="118"/>
        <v>156.58500000000004</v>
      </c>
      <c r="M2576" s="563">
        <f t="shared" si="119"/>
        <v>800.08500000000004</v>
      </c>
      <c r="N2576" s="580"/>
    </row>
    <row r="2577" spans="4:14" x14ac:dyDescent="0.25">
      <c r="D2577" s="559" t="s">
        <v>867</v>
      </c>
      <c r="E2577" s="558" t="s">
        <v>4958</v>
      </c>
      <c r="F2577" s="559">
        <v>502006</v>
      </c>
      <c r="G2577" s="558" t="s">
        <v>774</v>
      </c>
      <c r="H2577" s="564">
        <v>40015</v>
      </c>
      <c r="I2577" s="563">
        <v>688.35</v>
      </c>
      <c r="J2577" s="563">
        <v>-585</v>
      </c>
      <c r="K2577" s="582">
        <f t="shared" si="117"/>
        <v>103.35000000000002</v>
      </c>
      <c r="L2577" s="563">
        <f t="shared" si="118"/>
        <v>113.68500000000003</v>
      </c>
      <c r="M2577" s="563">
        <f t="shared" si="119"/>
        <v>757.18500000000006</v>
      </c>
      <c r="N2577" s="580"/>
    </row>
    <row r="2578" spans="4:14" x14ac:dyDescent="0.25">
      <c r="D2578" s="559" t="s">
        <v>867</v>
      </c>
      <c r="E2578" s="558" t="s">
        <v>4959</v>
      </c>
      <c r="F2578" s="559">
        <v>502008</v>
      </c>
      <c r="G2578" s="558" t="s">
        <v>774</v>
      </c>
      <c r="H2578" s="564">
        <v>40015</v>
      </c>
      <c r="I2578" s="563">
        <v>688.35</v>
      </c>
      <c r="J2578" s="563">
        <v>-585</v>
      </c>
      <c r="K2578" s="582">
        <f t="shared" si="117"/>
        <v>103.35000000000002</v>
      </c>
      <c r="L2578" s="563">
        <f t="shared" si="118"/>
        <v>113.68500000000003</v>
      </c>
      <c r="M2578" s="563">
        <f t="shared" si="119"/>
        <v>757.18500000000006</v>
      </c>
      <c r="N2578" s="580"/>
    </row>
    <row r="2579" spans="4:14" x14ac:dyDescent="0.25">
      <c r="D2579" s="559" t="s">
        <v>867</v>
      </c>
      <c r="E2579" s="558" t="s">
        <v>4960</v>
      </c>
      <c r="F2579" s="559">
        <v>502011</v>
      </c>
      <c r="G2579" s="558" t="s">
        <v>774</v>
      </c>
      <c r="H2579" s="564">
        <v>40015</v>
      </c>
      <c r="I2579" s="563">
        <v>688.35</v>
      </c>
      <c r="J2579" s="563">
        <v>-585</v>
      </c>
      <c r="K2579" s="582">
        <f t="shared" si="117"/>
        <v>103.35000000000002</v>
      </c>
      <c r="L2579" s="563">
        <f t="shared" si="118"/>
        <v>113.68500000000003</v>
      </c>
      <c r="M2579" s="563">
        <f t="shared" si="119"/>
        <v>757.18500000000006</v>
      </c>
      <c r="N2579" s="580"/>
    </row>
    <row r="2580" spans="4:14" x14ac:dyDescent="0.25">
      <c r="D2580" s="559" t="s">
        <v>867</v>
      </c>
      <c r="E2580" s="558" t="s">
        <v>4961</v>
      </c>
      <c r="F2580" s="559">
        <v>500215</v>
      </c>
      <c r="G2580" s="558" t="s">
        <v>774</v>
      </c>
      <c r="H2580" s="564">
        <v>40015</v>
      </c>
      <c r="I2580" s="563">
        <v>337.35</v>
      </c>
      <c r="J2580" s="563">
        <v>-337.35</v>
      </c>
      <c r="K2580" s="582">
        <f t="shared" si="117"/>
        <v>0</v>
      </c>
      <c r="L2580" s="563">
        <f t="shared" si="118"/>
        <v>0</v>
      </c>
      <c r="M2580" s="563">
        <f t="shared" si="119"/>
        <v>371.08500000000004</v>
      </c>
      <c r="N2580" s="580"/>
    </row>
    <row r="2581" spans="4:14" x14ac:dyDescent="0.25">
      <c r="D2581" s="559" t="s">
        <v>867</v>
      </c>
      <c r="E2581" s="558" t="s">
        <v>4962</v>
      </c>
      <c r="F2581" s="559">
        <v>500225</v>
      </c>
      <c r="G2581" s="558" t="s">
        <v>4963</v>
      </c>
      <c r="H2581" s="564">
        <v>40015</v>
      </c>
      <c r="I2581" s="563">
        <v>688.35</v>
      </c>
      <c r="J2581" s="563">
        <v>-585</v>
      </c>
      <c r="K2581" s="582">
        <f t="shared" si="117"/>
        <v>103.35000000000002</v>
      </c>
      <c r="L2581" s="563">
        <f t="shared" si="118"/>
        <v>113.68500000000003</v>
      </c>
      <c r="M2581" s="563">
        <f t="shared" si="119"/>
        <v>757.18500000000006</v>
      </c>
      <c r="N2581" s="580"/>
    </row>
    <row r="2582" spans="4:14" x14ac:dyDescent="0.25">
      <c r="D2582" s="559" t="s">
        <v>867</v>
      </c>
      <c r="E2582" s="558" t="s">
        <v>4964</v>
      </c>
      <c r="F2582" s="559">
        <v>501493</v>
      </c>
      <c r="G2582" s="558" t="s">
        <v>4963</v>
      </c>
      <c r="H2582" s="564">
        <v>40015</v>
      </c>
      <c r="I2582" s="563">
        <v>883.35</v>
      </c>
      <c r="J2582" s="563">
        <v>-585</v>
      </c>
      <c r="K2582" s="582">
        <f t="shared" si="117"/>
        <v>298.35000000000002</v>
      </c>
      <c r="L2582" s="563">
        <f t="shared" si="118"/>
        <v>328.18500000000006</v>
      </c>
      <c r="M2582" s="563">
        <f t="shared" si="119"/>
        <v>971.68500000000006</v>
      </c>
      <c r="N2582" s="580"/>
    </row>
    <row r="2583" spans="4:14" x14ac:dyDescent="0.25">
      <c r="D2583" s="559" t="s">
        <v>867</v>
      </c>
      <c r="E2583" s="558" t="s">
        <v>4965</v>
      </c>
      <c r="F2583" s="559">
        <v>501495</v>
      </c>
      <c r="G2583" s="558" t="s">
        <v>4966</v>
      </c>
      <c r="H2583" s="564">
        <v>40015</v>
      </c>
      <c r="I2583" s="563">
        <v>493.35</v>
      </c>
      <c r="J2583" s="563">
        <v>-493.35</v>
      </c>
      <c r="K2583" s="582">
        <f t="shared" si="117"/>
        <v>0</v>
      </c>
      <c r="L2583" s="563">
        <f t="shared" si="118"/>
        <v>0</v>
      </c>
      <c r="M2583" s="563">
        <f t="shared" si="119"/>
        <v>542.68500000000006</v>
      </c>
      <c r="N2583" s="580"/>
    </row>
    <row r="2584" spans="4:14" x14ac:dyDescent="0.25">
      <c r="D2584" s="559" t="s">
        <v>867</v>
      </c>
      <c r="E2584" s="558" t="s">
        <v>4967</v>
      </c>
      <c r="F2584" s="559">
        <v>501503</v>
      </c>
      <c r="G2584" s="558" t="s">
        <v>4966</v>
      </c>
      <c r="H2584" s="564">
        <v>40015</v>
      </c>
      <c r="I2584" s="563">
        <v>25.35</v>
      </c>
      <c r="J2584" s="563">
        <v>-25.35</v>
      </c>
      <c r="K2584" s="582">
        <f t="shared" si="117"/>
        <v>0</v>
      </c>
      <c r="L2584" s="563">
        <f t="shared" si="118"/>
        <v>0</v>
      </c>
      <c r="M2584" s="563">
        <f t="shared" si="119"/>
        <v>27.885000000000005</v>
      </c>
      <c r="N2584" s="580"/>
    </row>
    <row r="2585" spans="4:14" x14ac:dyDescent="0.25">
      <c r="D2585" s="559" t="s">
        <v>867</v>
      </c>
      <c r="E2585" s="558" t="s">
        <v>4968</v>
      </c>
      <c r="F2585" s="559">
        <v>501503</v>
      </c>
      <c r="G2585" s="558" t="s">
        <v>4966</v>
      </c>
      <c r="H2585" s="564">
        <v>40015</v>
      </c>
      <c r="I2585" s="563">
        <v>337.35</v>
      </c>
      <c r="J2585" s="563">
        <v>-337.35</v>
      </c>
      <c r="K2585" s="582">
        <f t="shared" si="117"/>
        <v>0</v>
      </c>
      <c r="L2585" s="563">
        <f t="shared" si="118"/>
        <v>0</v>
      </c>
      <c r="M2585" s="563">
        <f t="shared" si="119"/>
        <v>371.08500000000004</v>
      </c>
      <c r="N2585" s="580"/>
    </row>
    <row r="2586" spans="4:14" x14ac:dyDescent="0.25">
      <c r="D2586" s="559" t="s">
        <v>867</v>
      </c>
      <c r="E2586" s="558" t="s">
        <v>1133</v>
      </c>
      <c r="F2586" s="559">
        <v>500226</v>
      </c>
      <c r="G2586" s="558" t="s">
        <v>4966</v>
      </c>
      <c r="H2586" s="564">
        <v>40015</v>
      </c>
      <c r="I2586" s="563">
        <v>64.349999999999994</v>
      </c>
      <c r="J2586" s="563">
        <v>-64.349999999999994</v>
      </c>
      <c r="K2586" s="582">
        <f t="shared" si="117"/>
        <v>0</v>
      </c>
      <c r="L2586" s="563">
        <f t="shared" si="118"/>
        <v>0</v>
      </c>
      <c r="M2586" s="563">
        <f t="shared" si="119"/>
        <v>70.784999999999997</v>
      </c>
      <c r="N2586" s="580"/>
    </row>
    <row r="2587" spans="4:14" x14ac:dyDescent="0.25">
      <c r="D2587" s="559" t="s">
        <v>867</v>
      </c>
      <c r="E2587" s="558" t="s">
        <v>1134</v>
      </c>
      <c r="F2587" s="559">
        <v>501505</v>
      </c>
      <c r="G2587" s="558" t="s">
        <v>4966</v>
      </c>
      <c r="H2587" s="564">
        <v>40015</v>
      </c>
      <c r="I2587" s="563">
        <v>493.35</v>
      </c>
      <c r="J2587" s="563">
        <v>-493.35</v>
      </c>
      <c r="K2587" s="582">
        <f t="shared" si="117"/>
        <v>0</v>
      </c>
      <c r="L2587" s="563">
        <f t="shared" si="118"/>
        <v>0</v>
      </c>
      <c r="M2587" s="563">
        <f t="shared" si="119"/>
        <v>542.68500000000006</v>
      </c>
      <c r="N2587" s="580"/>
    </row>
    <row r="2588" spans="4:14" x14ac:dyDescent="0.25">
      <c r="D2588" s="559" t="s">
        <v>867</v>
      </c>
      <c r="E2588" s="558" t="s">
        <v>1135</v>
      </c>
      <c r="F2588" s="559">
        <v>500227</v>
      </c>
      <c r="G2588" s="558" t="s">
        <v>1136</v>
      </c>
      <c r="H2588" s="564">
        <v>40015</v>
      </c>
      <c r="I2588" s="563">
        <v>493.35</v>
      </c>
      <c r="J2588" s="563">
        <v>-493.35</v>
      </c>
      <c r="K2588" s="582">
        <f t="shared" si="117"/>
        <v>0</v>
      </c>
      <c r="L2588" s="563">
        <f t="shared" si="118"/>
        <v>0</v>
      </c>
      <c r="M2588" s="563">
        <f t="shared" si="119"/>
        <v>542.68500000000006</v>
      </c>
      <c r="N2588" s="580"/>
    </row>
    <row r="2589" spans="4:14" x14ac:dyDescent="0.25">
      <c r="D2589" s="559" t="s">
        <v>867</v>
      </c>
      <c r="E2589" s="558" t="s">
        <v>1137</v>
      </c>
      <c r="F2589" s="559">
        <v>500228</v>
      </c>
      <c r="G2589" s="558" t="s">
        <v>1136</v>
      </c>
      <c r="H2589" s="564">
        <v>40015</v>
      </c>
      <c r="I2589" s="563">
        <v>649.35</v>
      </c>
      <c r="J2589" s="563">
        <v>-585</v>
      </c>
      <c r="K2589" s="582">
        <f t="shared" si="117"/>
        <v>64.350000000000023</v>
      </c>
      <c r="L2589" s="563">
        <f t="shared" si="118"/>
        <v>70.785000000000025</v>
      </c>
      <c r="M2589" s="563">
        <f t="shared" si="119"/>
        <v>714.28500000000008</v>
      </c>
      <c r="N2589" s="580"/>
    </row>
    <row r="2590" spans="4:14" x14ac:dyDescent="0.25">
      <c r="D2590" s="559" t="s">
        <v>867</v>
      </c>
      <c r="E2590" s="558" t="s">
        <v>1138</v>
      </c>
      <c r="F2590" s="559">
        <v>501506</v>
      </c>
      <c r="G2590" s="558" t="s">
        <v>1136</v>
      </c>
      <c r="H2590" s="564">
        <v>40015</v>
      </c>
      <c r="I2590" s="563">
        <v>493.35</v>
      </c>
      <c r="J2590" s="563">
        <v>-493.35</v>
      </c>
      <c r="K2590" s="582">
        <f t="shared" si="117"/>
        <v>0</v>
      </c>
      <c r="L2590" s="563">
        <f t="shared" si="118"/>
        <v>0</v>
      </c>
      <c r="M2590" s="563">
        <f t="shared" si="119"/>
        <v>542.68500000000006</v>
      </c>
      <c r="N2590" s="580"/>
    </row>
    <row r="2591" spans="4:14" x14ac:dyDescent="0.25">
      <c r="D2591" s="559" t="s">
        <v>867</v>
      </c>
      <c r="E2591" s="558" t="s">
        <v>1139</v>
      </c>
      <c r="F2591" s="559">
        <v>500229</v>
      </c>
      <c r="G2591" s="558" t="s">
        <v>1136</v>
      </c>
      <c r="H2591" s="564">
        <v>40015</v>
      </c>
      <c r="I2591" s="563">
        <v>181.35</v>
      </c>
      <c r="J2591" s="563">
        <v>-181.35</v>
      </c>
      <c r="K2591" s="582">
        <f t="shared" si="117"/>
        <v>0</v>
      </c>
      <c r="L2591" s="563">
        <f t="shared" si="118"/>
        <v>0</v>
      </c>
      <c r="M2591" s="563">
        <f t="shared" si="119"/>
        <v>199.48500000000001</v>
      </c>
      <c r="N2591" s="580"/>
    </row>
    <row r="2592" spans="4:14" x14ac:dyDescent="0.25">
      <c r="D2592" s="559" t="s">
        <v>867</v>
      </c>
      <c r="E2592" s="558" t="s">
        <v>1140</v>
      </c>
      <c r="F2592" s="559">
        <v>500230</v>
      </c>
      <c r="G2592" s="558" t="s">
        <v>1136</v>
      </c>
      <c r="H2592" s="564">
        <v>40015</v>
      </c>
      <c r="I2592" s="563">
        <v>493.35</v>
      </c>
      <c r="J2592" s="563">
        <v>-493.35</v>
      </c>
      <c r="K2592" s="582">
        <f t="shared" si="117"/>
        <v>0</v>
      </c>
      <c r="L2592" s="563">
        <f t="shared" si="118"/>
        <v>0</v>
      </c>
      <c r="M2592" s="563">
        <f t="shared" si="119"/>
        <v>542.68500000000006</v>
      </c>
      <c r="N2592" s="580"/>
    </row>
    <row r="2593" spans="4:14" x14ac:dyDescent="0.25">
      <c r="D2593" s="559" t="s">
        <v>867</v>
      </c>
      <c r="E2593" s="558" t="s">
        <v>1141</v>
      </c>
      <c r="F2593" s="559">
        <v>500242</v>
      </c>
      <c r="G2593" s="558" t="s">
        <v>1142</v>
      </c>
      <c r="H2593" s="564">
        <v>40015</v>
      </c>
      <c r="I2593" s="563">
        <v>493.35</v>
      </c>
      <c r="J2593" s="563">
        <v>-493.35</v>
      </c>
      <c r="K2593" s="582">
        <f t="shared" si="117"/>
        <v>0</v>
      </c>
      <c r="L2593" s="563">
        <f t="shared" si="118"/>
        <v>0</v>
      </c>
      <c r="M2593" s="563">
        <f t="shared" si="119"/>
        <v>542.68500000000006</v>
      </c>
      <c r="N2593" s="580"/>
    </row>
    <row r="2594" spans="4:14" x14ac:dyDescent="0.25">
      <c r="D2594" s="559" t="s">
        <v>867</v>
      </c>
      <c r="E2594" s="558" t="s">
        <v>1143</v>
      </c>
      <c r="F2594" s="559">
        <v>501510</v>
      </c>
      <c r="G2594" s="558" t="s">
        <v>1142</v>
      </c>
      <c r="H2594" s="564">
        <v>40015</v>
      </c>
      <c r="I2594" s="563">
        <v>493.35</v>
      </c>
      <c r="J2594" s="563">
        <v>-493.35</v>
      </c>
      <c r="K2594" s="582">
        <f t="shared" si="117"/>
        <v>0</v>
      </c>
      <c r="L2594" s="563">
        <f t="shared" si="118"/>
        <v>0</v>
      </c>
      <c r="M2594" s="563">
        <f t="shared" si="119"/>
        <v>542.68500000000006</v>
      </c>
      <c r="N2594" s="580"/>
    </row>
    <row r="2595" spans="4:14" x14ac:dyDescent="0.25">
      <c r="D2595" s="559" t="s">
        <v>867</v>
      </c>
      <c r="E2595" s="558" t="s">
        <v>1144</v>
      </c>
      <c r="F2595" s="559">
        <v>501511</v>
      </c>
      <c r="G2595" s="558" t="s">
        <v>1142</v>
      </c>
      <c r="H2595" s="564">
        <v>40015</v>
      </c>
      <c r="I2595" s="563">
        <v>493.35</v>
      </c>
      <c r="J2595" s="563">
        <v>-493.35</v>
      </c>
      <c r="K2595" s="582">
        <f t="shared" si="117"/>
        <v>0</v>
      </c>
      <c r="L2595" s="563">
        <f t="shared" si="118"/>
        <v>0</v>
      </c>
      <c r="M2595" s="563">
        <f t="shared" si="119"/>
        <v>542.68500000000006</v>
      </c>
      <c r="N2595" s="580"/>
    </row>
    <row r="2596" spans="4:14" x14ac:dyDescent="0.25">
      <c r="D2596" s="559" t="s">
        <v>867</v>
      </c>
      <c r="E2596" s="558" t="s">
        <v>1145</v>
      </c>
      <c r="F2596" s="559">
        <v>501513</v>
      </c>
      <c r="G2596" s="558" t="s">
        <v>1142</v>
      </c>
      <c r="H2596" s="564">
        <v>40015</v>
      </c>
      <c r="I2596" s="563">
        <v>493.35</v>
      </c>
      <c r="J2596" s="563">
        <v>-493.35</v>
      </c>
      <c r="K2596" s="582">
        <f t="shared" si="117"/>
        <v>0</v>
      </c>
      <c r="L2596" s="563">
        <f t="shared" si="118"/>
        <v>0</v>
      </c>
      <c r="M2596" s="563">
        <f t="shared" si="119"/>
        <v>542.68500000000006</v>
      </c>
      <c r="N2596" s="580"/>
    </row>
    <row r="2597" spans="4:14" x14ac:dyDescent="0.25">
      <c r="D2597" s="559" t="s">
        <v>867</v>
      </c>
      <c r="E2597" s="558" t="s">
        <v>1146</v>
      </c>
      <c r="F2597" s="559">
        <v>501514</v>
      </c>
      <c r="G2597" s="558" t="s">
        <v>1142</v>
      </c>
      <c r="H2597" s="564">
        <v>40015</v>
      </c>
      <c r="I2597" s="563">
        <v>493.35</v>
      </c>
      <c r="J2597" s="563">
        <v>-493.35</v>
      </c>
      <c r="K2597" s="582">
        <f t="shared" si="117"/>
        <v>0</v>
      </c>
      <c r="L2597" s="563">
        <f t="shared" si="118"/>
        <v>0</v>
      </c>
      <c r="M2597" s="563">
        <f t="shared" si="119"/>
        <v>542.68500000000006</v>
      </c>
      <c r="N2597" s="580"/>
    </row>
    <row r="2598" spans="4:14" x14ac:dyDescent="0.25">
      <c r="D2598" s="559" t="s">
        <v>867</v>
      </c>
      <c r="E2598" s="558" t="s">
        <v>1147</v>
      </c>
      <c r="F2598" s="559">
        <v>500232</v>
      </c>
      <c r="G2598" s="558" t="s">
        <v>1148</v>
      </c>
      <c r="H2598" s="564">
        <v>40015</v>
      </c>
      <c r="I2598" s="563">
        <v>298.35000000000002</v>
      </c>
      <c r="J2598" s="563">
        <v>-298.35000000000002</v>
      </c>
      <c r="K2598" s="582">
        <f t="shared" si="117"/>
        <v>0</v>
      </c>
      <c r="L2598" s="563">
        <f t="shared" si="118"/>
        <v>0</v>
      </c>
      <c r="M2598" s="563">
        <f t="shared" si="119"/>
        <v>328.18500000000006</v>
      </c>
      <c r="N2598" s="580"/>
    </row>
    <row r="2599" spans="4:14" x14ac:dyDescent="0.25">
      <c r="D2599" s="559" t="s">
        <v>867</v>
      </c>
      <c r="E2599" s="558" t="s">
        <v>1149</v>
      </c>
      <c r="F2599" s="559">
        <v>501517</v>
      </c>
      <c r="G2599" s="558" t="s">
        <v>1148</v>
      </c>
      <c r="H2599" s="564">
        <v>40015</v>
      </c>
      <c r="I2599" s="563">
        <v>688.35</v>
      </c>
      <c r="J2599" s="563">
        <v>-585</v>
      </c>
      <c r="K2599" s="582">
        <f t="shared" si="117"/>
        <v>103.35000000000002</v>
      </c>
      <c r="L2599" s="563">
        <f t="shared" si="118"/>
        <v>113.68500000000003</v>
      </c>
      <c r="M2599" s="563">
        <f t="shared" si="119"/>
        <v>757.18500000000006</v>
      </c>
      <c r="N2599" s="580"/>
    </row>
    <row r="2600" spans="4:14" x14ac:dyDescent="0.25">
      <c r="D2600" s="559" t="s">
        <v>867</v>
      </c>
      <c r="E2600" s="558" t="s">
        <v>1150</v>
      </c>
      <c r="F2600" s="559">
        <v>501521</v>
      </c>
      <c r="G2600" s="558" t="s">
        <v>1148</v>
      </c>
      <c r="H2600" s="564">
        <v>40015</v>
      </c>
      <c r="I2600" s="563">
        <v>493.35</v>
      </c>
      <c r="J2600" s="563">
        <v>-493.35</v>
      </c>
      <c r="K2600" s="582">
        <f t="shared" si="117"/>
        <v>0</v>
      </c>
      <c r="L2600" s="563">
        <f t="shared" si="118"/>
        <v>0</v>
      </c>
      <c r="M2600" s="563">
        <f t="shared" si="119"/>
        <v>542.68500000000006</v>
      </c>
      <c r="N2600" s="580"/>
    </row>
    <row r="2601" spans="4:14" x14ac:dyDescent="0.25">
      <c r="D2601" s="559" t="s">
        <v>867</v>
      </c>
      <c r="E2601" s="558" t="s">
        <v>1151</v>
      </c>
      <c r="F2601" s="559">
        <v>500233</v>
      </c>
      <c r="G2601" s="558" t="s">
        <v>1148</v>
      </c>
      <c r="H2601" s="564">
        <v>40015</v>
      </c>
      <c r="I2601" s="563">
        <v>493.35</v>
      </c>
      <c r="J2601" s="563">
        <v>-493.35</v>
      </c>
      <c r="K2601" s="582">
        <f t="shared" ref="K2601:K2664" si="120">+I2601+J2601</f>
        <v>0</v>
      </c>
      <c r="L2601" s="563">
        <f t="shared" ref="L2601:L2664" si="121">+K2601*1.1</f>
        <v>0</v>
      </c>
      <c r="M2601" s="563">
        <f t="shared" ref="M2601:M2664" si="122">+I2601*1.1</f>
        <v>542.68500000000006</v>
      </c>
      <c r="N2601" s="580"/>
    </row>
    <row r="2602" spans="4:14" x14ac:dyDescent="0.25">
      <c r="D2602" s="559" t="s">
        <v>867</v>
      </c>
      <c r="E2602" s="558" t="s">
        <v>1152</v>
      </c>
      <c r="F2602" s="559">
        <v>500234</v>
      </c>
      <c r="G2602" s="558" t="s">
        <v>1148</v>
      </c>
      <c r="H2602" s="564">
        <v>40015</v>
      </c>
      <c r="I2602" s="563">
        <v>493.35</v>
      </c>
      <c r="J2602" s="563">
        <v>-493.35</v>
      </c>
      <c r="K2602" s="582">
        <f t="shared" si="120"/>
        <v>0</v>
      </c>
      <c r="L2602" s="563">
        <f t="shared" si="121"/>
        <v>0</v>
      </c>
      <c r="M2602" s="563">
        <f t="shared" si="122"/>
        <v>542.68500000000006</v>
      </c>
      <c r="N2602" s="580"/>
    </row>
    <row r="2603" spans="4:14" x14ac:dyDescent="0.25">
      <c r="D2603" s="559" t="s">
        <v>867</v>
      </c>
      <c r="E2603" s="558" t="s">
        <v>1153</v>
      </c>
      <c r="F2603" s="559">
        <v>500235</v>
      </c>
      <c r="G2603" s="558" t="s">
        <v>1154</v>
      </c>
      <c r="H2603" s="564">
        <v>40015</v>
      </c>
      <c r="I2603" s="563">
        <v>493.35</v>
      </c>
      <c r="J2603" s="563">
        <v>-493.35</v>
      </c>
      <c r="K2603" s="582">
        <f t="shared" si="120"/>
        <v>0</v>
      </c>
      <c r="L2603" s="563">
        <f t="shared" si="121"/>
        <v>0</v>
      </c>
      <c r="M2603" s="563">
        <f t="shared" si="122"/>
        <v>542.68500000000006</v>
      </c>
      <c r="N2603" s="580"/>
    </row>
    <row r="2604" spans="4:14" x14ac:dyDescent="0.25">
      <c r="D2604" s="559" t="s">
        <v>867</v>
      </c>
      <c r="E2604" s="558" t="s">
        <v>1155</v>
      </c>
      <c r="F2604" s="559">
        <v>500236</v>
      </c>
      <c r="G2604" s="558" t="s">
        <v>1154</v>
      </c>
      <c r="H2604" s="564">
        <v>40015</v>
      </c>
      <c r="I2604" s="563">
        <v>493.35</v>
      </c>
      <c r="J2604" s="563">
        <v>-493.35</v>
      </c>
      <c r="K2604" s="582">
        <f t="shared" si="120"/>
        <v>0</v>
      </c>
      <c r="L2604" s="563">
        <f t="shared" si="121"/>
        <v>0</v>
      </c>
      <c r="M2604" s="563">
        <f t="shared" si="122"/>
        <v>542.68500000000006</v>
      </c>
      <c r="N2604" s="580"/>
    </row>
    <row r="2605" spans="4:14" x14ac:dyDescent="0.25">
      <c r="D2605" s="559" t="s">
        <v>867</v>
      </c>
      <c r="E2605" s="558" t="s">
        <v>1156</v>
      </c>
      <c r="F2605" s="559">
        <v>500237</v>
      </c>
      <c r="G2605" s="558" t="s">
        <v>1154</v>
      </c>
      <c r="H2605" s="564">
        <v>40015</v>
      </c>
      <c r="I2605" s="563">
        <v>493.35</v>
      </c>
      <c r="J2605" s="563">
        <v>-493.35</v>
      </c>
      <c r="K2605" s="582">
        <f t="shared" si="120"/>
        <v>0</v>
      </c>
      <c r="L2605" s="563">
        <f t="shared" si="121"/>
        <v>0</v>
      </c>
      <c r="M2605" s="563">
        <f t="shared" si="122"/>
        <v>542.68500000000006</v>
      </c>
      <c r="N2605" s="580"/>
    </row>
    <row r="2606" spans="4:14" x14ac:dyDescent="0.25">
      <c r="D2606" s="559" t="s">
        <v>867</v>
      </c>
      <c r="E2606" s="558" t="s">
        <v>1157</v>
      </c>
      <c r="F2606" s="559">
        <v>500238</v>
      </c>
      <c r="G2606" s="558" t="s">
        <v>1154</v>
      </c>
      <c r="H2606" s="564">
        <v>40015</v>
      </c>
      <c r="I2606" s="563">
        <v>493.35</v>
      </c>
      <c r="J2606" s="563">
        <v>-493.35</v>
      </c>
      <c r="K2606" s="582">
        <f t="shared" si="120"/>
        <v>0</v>
      </c>
      <c r="L2606" s="563">
        <f t="shared" si="121"/>
        <v>0</v>
      </c>
      <c r="M2606" s="563">
        <f t="shared" si="122"/>
        <v>542.68500000000006</v>
      </c>
      <c r="N2606" s="580"/>
    </row>
    <row r="2607" spans="4:14" x14ac:dyDescent="0.25">
      <c r="D2607" s="559" t="s">
        <v>867</v>
      </c>
      <c r="E2607" s="558" t="s">
        <v>1158</v>
      </c>
      <c r="F2607" s="559">
        <v>500239</v>
      </c>
      <c r="G2607" s="558" t="s">
        <v>1154</v>
      </c>
      <c r="H2607" s="564">
        <v>40015</v>
      </c>
      <c r="I2607" s="563">
        <v>493.35</v>
      </c>
      <c r="J2607" s="563">
        <v>-493.35</v>
      </c>
      <c r="K2607" s="582">
        <f t="shared" si="120"/>
        <v>0</v>
      </c>
      <c r="L2607" s="563">
        <f t="shared" si="121"/>
        <v>0</v>
      </c>
      <c r="M2607" s="563">
        <f t="shared" si="122"/>
        <v>542.68500000000006</v>
      </c>
      <c r="N2607" s="580"/>
    </row>
    <row r="2608" spans="4:14" x14ac:dyDescent="0.25">
      <c r="D2608" s="559" t="s">
        <v>867</v>
      </c>
      <c r="E2608" s="558" t="s">
        <v>1159</v>
      </c>
      <c r="F2608" s="559">
        <v>500240</v>
      </c>
      <c r="G2608" s="558" t="s">
        <v>1160</v>
      </c>
      <c r="H2608" s="564">
        <v>40015</v>
      </c>
      <c r="I2608" s="563">
        <v>493.35</v>
      </c>
      <c r="J2608" s="563">
        <v>-493.35</v>
      </c>
      <c r="K2608" s="582">
        <f t="shared" si="120"/>
        <v>0</v>
      </c>
      <c r="L2608" s="563">
        <f t="shared" si="121"/>
        <v>0</v>
      </c>
      <c r="M2608" s="563">
        <f t="shared" si="122"/>
        <v>542.68500000000006</v>
      </c>
      <c r="N2608" s="580"/>
    </row>
    <row r="2609" spans="4:14" x14ac:dyDescent="0.25">
      <c r="D2609" s="559" t="s">
        <v>867</v>
      </c>
      <c r="E2609" s="558" t="s">
        <v>1161</v>
      </c>
      <c r="F2609" s="559">
        <v>501354</v>
      </c>
      <c r="G2609" s="558" t="s">
        <v>1160</v>
      </c>
      <c r="H2609" s="564">
        <v>40015</v>
      </c>
      <c r="I2609" s="563">
        <v>493.35</v>
      </c>
      <c r="J2609" s="563">
        <v>-493.35</v>
      </c>
      <c r="K2609" s="582">
        <f t="shared" si="120"/>
        <v>0</v>
      </c>
      <c r="L2609" s="563">
        <f t="shared" si="121"/>
        <v>0</v>
      </c>
      <c r="M2609" s="563">
        <f t="shared" si="122"/>
        <v>542.68500000000006</v>
      </c>
      <c r="N2609" s="580"/>
    </row>
    <row r="2610" spans="4:14" x14ac:dyDescent="0.25">
      <c r="D2610" s="559" t="s">
        <v>867</v>
      </c>
      <c r="E2610" s="558" t="s">
        <v>1162</v>
      </c>
      <c r="F2610" s="559">
        <v>501524</v>
      </c>
      <c r="G2610" s="558" t="s">
        <v>1160</v>
      </c>
      <c r="H2610" s="564">
        <v>40015</v>
      </c>
      <c r="I2610" s="563">
        <v>298.35000000000002</v>
      </c>
      <c r="J2610" s="563">
        <v>-298.35000000000002</v>
      </c>
      <c r="K2610" s="582">
        <f t="shared" si="120"/>
        <v>0</v>
      </c>
      <c r="L2610" s="563">
        <f t="shared" si="121"/>
        <v>0</v>
      </c>
      <c r="M2610" s="563">
        <f t="shared" si="122"/>
        <v>328.18500000000006</v>
      </c>
      <c r="N2610" s="580"/>
    </row>
    <row r="2611" spans="4:14" x14ac:dyDescent="0.25">
      <c r="D2611" s="559" t="s">
        <v>867</v>
      </c>
      <c r="E2611" s="558" t="s">
        <v>1163</v>
      </c>
      <c r="F2611" s="559">
        <v>501525</v>
      </c>
      <c r="G2611" s="558" t="s">
        <v>1160</v>
      </c>
      <c r="H2611" s="564">
        <v>40015</v>
      </c>
      <c r="I2611" s="563">
        <v>688.35</v>
      </c>
      <c r="J2611" s="563">
        <v>-585</v>
      </c>
      <c r="K2611" s="582">
        <f t="shared" si="120"/>
        <v>103.35000000000002</v>
      </c>
      <c r="L2611" s="563">
        <f t="shared" si="121"/>
        <v>113.68500000000003</v>
      </c>
      <c r="M2611" s="563">
        <f t="shared" si="122"/>
        <v>757.18500000000006</v>
      </c>
      <c r="N2611" s="580"/>
    </row>
    <row r="2612" spans="4:14" x14ac:dyDescent="0.25">
      <c r="D2612" s="559" t="s">
        <v>867</v>
      </c>
      <c r="E2612" s="558" t="s">
        <v>1164</v>
      </c>
      <c r="F2612" s="559">
        <v>501528</v>
      </c>
      <c r="G2612" s="558" t="s">
        <v>1160</v>
      </c>
      <c r="H2612" s="564">
        <v>40015</v>
      </c>
      <c r="I2612" s="563">
        <v>25.35</v>
      </c>
      <c r="J2612" s="563">
        <v>-25.35</v>
      </c>
      <c r="K2612" s="582">
        <f t="shared" si="120"/>
        <v>0</v>
      </c>
      <c r="L2612" s="563">
        <f t="shared" si="121"/>
        <v>0</v>
      </c>
      <c r="M2612" s="563">
        <f t="shared" si="122"/>
        <v>27.885000000000005</v>
      </c>
      <c r="N2612" s="580"/>
    </row>
    <row r="2613" spans="4:14" x14ac:dyDescent="0.25">
      <c r="D2613" s="559" t="s">
        <v>867</v>
      </c>
      <c r="E2613" s="558" t="s">
        <v>1165</v>
      </c>
      <c r="F2613" s="559">
        <v>501533</v>
      </c>
      <c r="G2613" s="558" t="s">
        <v>1166</v>
      </c>
      <c r="H2613" s="564">
        <v>40015</v>
      </c>
      <c r="I2613" s="563">
        <v>298.35000000000002</v>
      </c>
      <c r="J2613" s="563">
        <v>-298.35000000000002</v>
      </c>
      <c r="K2613" s="582">
        <f t="shared" si="120"/>
        <v>0</v>
      </c>
      <c r="L2613" s="563">
        <f t="shared" si="121"/>
        <v>0</v>
      </c>
      <c r="M2613" s="563">
        <f t="shared" si="122"/>
        <v>328.18500000000006</v>
      </c>
      <c r="N2613" s="580"/>
    </row>
    <row r="2614" spans="4:14" x14ac:dyDescent="0.25">
      <c r="D2614" s="559" t="s">
        <v>867</v>
      </c>
      <c r="E2614" s="558" t="s">
        <v>1167</v>
      </c>
      <c r="F2614" s="559">
        <v>502264</v>
      </c>
      <c r="G2614" s="558" t="s">
        <v>1166</v>
      </c>
      <c r="H2614" s="564">
        <v>40015</v>
      </c>
      <c r="I2614" s="563">
        <v>298.35000000000002</v>
      </c>
      <c r="J2614" s="563">
        <v>-298.35000000000002</v>
      </c>
      <c r="K2614" s="582">
        <f t="shared" si="120"/>
        <v>0</v>
      </c>
      <c r="L2614" s="563">
        <f t="shared" si="121"/>
        <v>0</v>
      </c>
      <c r="M2614" s="563">
        <f t="shared" si="122"/>
        <v>328.18500000000006</v>
      </c>
      <c r="N2614" s="580"/>
    </row>
    <row r="2615" spans="4:14" x14ac:dyDescent="0.25">
      <c r="D2615" s="559" t="s">
        <v>867</v>
      </c>
      <c r="E2615" s="558" t="s">
        <v>1168</v>
      </c>
      <c r="F2615" s="559">
        <v>500243</v>
      </c>
      <c r="G2615" s="558" t="s">
        <v>1166</v>
      </c>
      <c r="H2615" s="564">
        <v>40015</v>
      </c>
      <c r="I2615" s="563">
        <v>688.35</v>
      </c>
      <c r="J2615" s="563">
        <v>-585</v>
      </c>
      <c r="K2615" s="582">
        <f t="shared" si="120"/>
        <v>103.35000000000002</v>
      </c>
      <c r="L2615" s="563">
        <f t="shared" si="121"/>
        <v>113.68500000000003</v>
      </c>
      <c r="M2615" s="563">
        <f t="shared" si="122"/>
        <v>757.18500000000006</v>
      </c>
      <c r="N2615" s="580"/>
    </row>
    <row r="2616" spans="4:14" x14ac:dyDescent="0.25">
      <c r="D2616" s="559" t="s">
        <v>867</v>
      </c>
      <c r="E2616" s="558" t="s">
        <v>1169</v>
      </c>
      <c r="F2616" s="559">
        <v>500244</v>
      </c>
      <c r="G2616" s="558" t="s">
        <v>1166</v>
      </c>
      <c r="H2616" s="564">
        <v>40015</v>
      </c>
      <c r="I2616" s="563">
        <v>688.35</v>
      </c>
      <c r="J2616" s="563">
        <v>-585</v>
      </c>
      <c r="K2616" s="582">
        <f t="shared" si="120"/>
        <v>103.35000000000002</v>
      </c>
      <c r="L2616" s="563">
        <f t="shared" si="121"/>
        <v>113.68500000000003</v>
      </c>
      <c r="M2616" s="563">
        <f t="shared" si="122"/>
        <v>757.18500000000006</v>
      </c>
      <c r="N2616" s="580"/>
    </row>
    <row r="2617" spans="4:14" x14ac:dyDescent="0.25">
      <c r="D2617" s="559" t="s">
        <v>867</v>
      </c>
      <c r="E2617" s="558" t="s">
        <v>1170</v>
      </c>
      <c r="F2617" s="559">
        <v>500245</v>
      </c>
      <c r="G2617" s="558" t="s">
        <v>1166</v>
      </c>
      <c r="H2617" s="564">
        <v>40015</v>
      </c>
      <c r="I2617" s="563">
        <v>688.35</v>
      </c>
      <c r="J2617" s="563">
        <v>-585</v>
      </c>
      <c r="K2617" s="582">
        <f t="shared" si="120"/>
        <v>103.35000000000002</v>
      </c>
      <c r="L2617" s="563">
        <f t="shared" si="121"/>
        <v>113.68500000000003</v>
      </c>
      <c r="M2617" s="563">
        <f t="shared" si="122"/>
        <v>757.18500000000006</v>
      </c>
      <c r="N2617" s="580"/>
    </row>
    <row r="2618" spans="4:14" x14ac:dyDescent="0.25">
      <c r="D2618" s="559" t="s">
        <v>867</v>
      </c>
      <c r="E2618" s="558" t="s">
        <v>4203</v>
      </c>
      <c r="F2618" s="559">
        <v>501541</v>
      </c>
      <c r="G2618" s="558" t="s">
        <v>4204</v>
      </c>
      <c r="H2618" s="564">
        <v>40015</v>
      </c>
      <c r="I2618" s="563">
        <v>493.35</v>
      </c>
      <c r="J2618" s="563">
        <v>-493.35</v>
      </c>
      <c r="K2618" s="582">
        <f t="shared" si="120"/>
        <v>0</v>
      </c>
      <c r="L2618" s="563">
        <f t="shared" si="121"/>
        <v>0</v>
      </c>
      <c r="M2618" s="563">
        <f t="shared" si="122"/>
        <v>542.68500000000006</v>
      </c>
      <c r="N2618" s="580"/>
    </row>
    <row r="2619" spans="4:14" x14ac:dyDescent="0.25">
      <c r="D2619" s="559" t="s">
        <v>867</v>
      </c>
      <c r="E2619" s="558" t="s">
        <v>4205</v>
      </c>
      <c r="F2619" s="559">
        <v>500246</v>
      </c>
      <c r="G2619" s="558" t="s">
        <v>4204</v>
      </c>
      <c r="H2619" s="564">
        <v>40015</v>
      </c>
      <c r="I2619" s="563">
        <v>571.35</v>
      </c>
      <c r="J2619" s="563">
        <v>-571.35</v>
      </c>
      <c r="K2619" s="582">
        <f t="shared" si="120"/>
        <v>0</v>
      </c>
      <c r="L2619" s="563">
        <f t="shared" si="121"/>
        <v>0</v>
      </c>
      <c r="M2619" s="563">
        <f t="shared" si="122"/>
        <v>628.48500000000013</v>
      </c>
      <c r="N2619" s="580"/>
    </row>
    <row r="2620" spans="4:14" x14ac:dyDescent="0.25">
      <c r="D2620" s="559" t="s">
        <v>867</v>
      </c>
      <c r="E2620" s="558" t="s">
        <v>4206</v>
      </c>
      <c r="F2620" s="559">
        <v>500247</v>
      </c>
      <c r="G2620" s="558" t="s">
        <v>4204</v>
      </c>
      <c r="H2620" s="564">
        <v>40015</v>
      </c>
      <c r="I2620" s="563">
        <v>337.35</v>
      </c>
      <c r="J2620" s="563">
        <v>-337.35</v>
      </c>
      <c r="K2620" s="582">
        <f t="shared" si="120"/>
        <v>0</v>
      </c>
      <c r="L2620" s="563">
        <f t="shared" si="121"/>
        <v>0</v>
      </c>
      <c r="M2620" s="563">
        <f t="shared" si="122"/>
        <v>371.08500000000004</v>
      </c>
      <c r="N2620" s="580"/>
    </row>
    <row r="2621" spans="4:14" x14ac:dyDescent="0.25">
      <c r="D2621" s="559" t="s">
        <v>867</v>
      </c>
      <c r="E2621" s="558" t="s">
        <v>4207</v>
      </c>
      <c r="F2621" s="559">
        <v>501544</v>
      </c>
      <c r="G2621" s="558" t="s">
        <v>4204</v>
      </c>
      <c r="H2621" s="564">
        <v>40015</v>
      </c>
      <c r="I2621" s="563">
        <v>337.35</v>
      </c>
      <c r="J2621" s="563">
        <v>-337.35</v>
      </c>
      <c r="K2621" s="582">
        <f t="shared" si="120"/>
        <v>0</v>
      </c>
      <c r="L2621" s="563">
        <f t="shared" si="121"/>
        <v>0</v>
      </c>
      <c r="M2621" s="563">
        <f t="shared" si="122"/>
        <v>371.08500000000004</v>
      </c>
      <c r="N2621" s="580"/>
    </row>
    <row r="2622" spans="4:14" x14ac:dyDescent="0.25">
      <c r="D2622" s="559" t="s">
        <v>867</v>
      </c>
      <c r="E2622" s="558" t="s">
        <v>4208</v>
      </c>
      <c r="F2622" s="559">
        <v>501545</v>
      </c>
      <c r="G2622" s="558" t="s">
        <v>4204</v>
      </c>
      <c r="H2622" s="564">
        <v>40015</v>
      </c>
      <c r="I2622" s="563">
        <v>337.35</v>
      </c>
      <c r="J2622" s="563">
        <v>-337.35</v>
      </c>
      <c r="K2622" s="582">
        <f t="shared" si="120"/>
        <v>0</v>
      </c>
      <c r="L2622" s="563">
        <f t="shared" si="121"/>
        <v>0</v>
      </c>
      <c r="M2622" s="563">
        <f t="shared" si="122"/>
        <v>371.08500000000004</v>
      </c>
      <c r="N2622" s="580"/>
    </row>
    <row r="2623" spans="4:14" x14ac:dyDescent="0.25">
      <c r="D2623" s="559" t="s">
        <v>867</v>
      </c>
      <c r="E2623" s="558" t="s">
        <v>4209</v>
      </c>
      <c r="F2623" s="559">
        <v>501547</v>
      </c>
      <c r="G2623" s="558" t="s">
        <v>4210</v>
      </c>
      <c r="H2623" s="564">
        <v>40015</v>
      </c>
      <c r="I2623" s="563">
        <v>337.35</v>
      </c>
      <c r="J2623" s="563">
        <v>-337.35</v>
      </c>
      <c r="K2623" s="582">
        <f t="shared" si="120"/>
        <v>0</v>
      </c>
      <c r="L2623" s="563">
        <f t="shared" si="121"/>
        <v>0</v>
      </c>
      <c r="M2623" s="563">
        <f t="shared" si="122"/>
        <v>371.08500000000004</v>
      </c>
      <c r="N2623" s="580"/>
    </row>
    <row r="2624" spans="4:14" x14ac:dyDescent="0.25">
      <c r="D2624" s="559" t="s">
        <v>867</v>
      </c>
      <c r="E2624" s="558" t="s">
        <v>4211</v>
      </c>
      <c r="F2624" s="559">
        <v>500248</v>
      </c>
      <c r="G2624" s="558" t="s">
        <v>4210</v>
      </c>
      <c r="H2624" s="564">
        <v>40015</v>
      </c>
      <c r="I2624" s="563">
        <v>337.35</v>
      </c>
      <c r="J2624" s="563">
        <v>-337.35</v>
      </c>
      <c r="K2624" s="582">
        <f t="shared" si="120"/>
        <v>0</v>
      </c>
      <c r="L2624" s="563">
        <f t="shared" si="121"/>
        <v>0</v>
      </c>
      <c r="M2624" s="563">
        <f t="shared" si="122"/>
        <v>371.08500000000004</v>
      </c>
      <c r="N2624" s="580"/>
    </row>
    <row r="2625" spans="4:14" x14ac:dyDescent="0.25">
      <c r="D2625" s="559" t="s">
        <v>867</v>
      </c>
      <c r="E2625" s="558" t="s">
        <v>4212</v>
      </c>
      <c r="F2625" s="559">
        <v>500249</v>
      </c>
      <c r="G2625" s="558" t="s">
        <v>4210</v>
      </c>
      <c r="H2625" s="564">
        <v>40015</v>
      </c>
      <c r="I2625" s="563">
        <v>64.349999999999994</v>
      </c>
      <c r="J2625" s="563">
        <v>-64.349999999999994</v>
      </c>
      <c r="K2625" s="582">
        <f t="shared" si="120"/>
        <v>0</v>
      </c>
      <c r="L2625" s="563">
        <f t="shared" si="121"/>
        <v>0</v>
      </c>
      <c r="M2625" s="563">
        <f t="shared" si="122"/>
        <v>70.784999999999997</v>
      </c>
      <c r="N2625" s="580"/>
    </row>
    <row r="2626" spans="4:14" x14ac:dyDescent="0.25">
      <c r="D2626" s="559" t="s">
        <v>867</v>
      </c>
      <c r="E2626" s="558" t="s">
        <v>4213</v>
      </c>
      <c r="F2626" s="559">
        <v>501554</v>
      </c>
      <c r="G2626" s="558" t="s">
        <v>4210</v>
      </c>
      <c r="H2626" s="564">
        <v>40015</v>
      </c>
      <c r="I2626" s="563">
        <v>220.35</v>
      </c>
      <c r="J2626" s="563">
        <v>-220.35</v>
      </c>
      <c r="K2626" s="582">
        <f t="shared" si="120"/>
        <v>0</v>
      </c>
      <c r="L2626" s="563">
        <f t="shared" si="121"/>
        <v>0</v>
      </c>
      <c r="M2626" s="563">
        <f t="shared" si="122"/>
        <v>242.38500000000002</v>
      </c>
      <c r="N2626" s="580"/>
    </row>
    <row r="2627" spans="4:14" x14ac:dyDescent="0.25">
      <c r="D2627" s="559" t="s">
        <v>867</v>
      </c>
      <c r="E2627" s="558" t="s">
        <v>4214</v>
      </c>
      <c r="F2627" s="559">
        <v>501561</v>
      </c>
      <c r="G2627" s="558" t="s">
        <v>4210</v>
      </c>
      <c r="H2627" s="564">
        <v>40015</v>
      </c>
      <c r="I2627" s="563">
        <v>766.35</v>
      </c>
      <c r="J2627" s="563">
        <v>-585</v>
      </c>
      <c r="K2627" s="582">
        <f t="shared" si="120"/>
        <v>181.35000000000002</v>
      </c>
      <c r="L2627" s="563">
        <f t="shared" si="121"/>
        <v>199.48500000000004</v>
      </c>
      <c r="M2627" s="563">
        <f t="shared" si="122"/>
        <v>842.98500000000013</v>
      </c>
      <c r="N2627" s="580"/>
    </row>
    <row r="2628" spans="4:14" x14ac:dyDescent="0.25">
      <c r="D2628" s="559" t="s">
        <v>867</v>
      </c>
      <c r="E2628" s="558" t="s">
        <v>4215</v>
      </c>
      <c r="F2628" s="559">
        <v>501562</v>
      </c>
      <c r="G2628" s="558" t="s">
        <v>4216</v>
      </c>
      <c r="H2628" s="564">
        <v>40015</v>
      </c>
      <c r="I2628" s="563">
        <v>337.35</v>
      </c>
      <c r="J2628" s="563">
        <v>-337.35</v>
      </c>
      <c r="K2628" s="582">
        <f t="shared" si="120"/>
        <v>0</v>
      </c>
      <c r="L2628" s="563">
        <f t="shared" si="121"/>
        <v>0</v>
      </c>
      <c r="M2628" s="563">
        <f t="shared" si="122"/>
        <v>371.08500000000004</v>
      </c>
      <c r="N2628" s="580"/>
    </row>
    <row r="2629" spans="4:14" x14ac:dyDescent="0.25">
      <c r="D2629" s="559" t="s">
        <v>867</v>
      </c>
      <c r="E2629" s="558" t="s">
        <v>4217</v>
      </c>
      <c r="F2629" s="559">
        <v>501563</v>
      </c>
      <c r="G2629" s="558" t="s">
        <v>4216</v>
      </c>
      <c r="H2629" s="564">
        <v>40015</v>
      </c>
      <c r="I2629" s="563">
        <v>220.35</v>
      </c>
      <c r="J2629" s="563">
        <v>-220.35</v>
      </c>
      <c r="K2629" s="582">
        <f t="shared" si="120"/>
        <v>0</v>
      </c>
      <c r="L2629" s="563">
        <f t="shared" si="121"/>
        <v>0</v>
      </c>
      <c r="M2629" s="563">
        <f t="shared" si="122"/>
        <v>242.38500000000002</v>
      </c>
      <c r="N2629" s="580"/>
    </row>
    <row r="2630" spans="4:14" x14ac:dyDescent="0.25">
      <c r="D2630" s="559" t="s">
        <v>867</v>
      </c>
      <c r="E2630" s="558" t="s">
        <v>4218</v>
      </c>
      <c r="F2630" s="559">
        <v>501564</v>
      </c>
      <c r="G2630" s="558" t="s">
        <v>4216</v>
      </c>
      <c r="H2630" s="564">
        <v>40015</v>
      </c>
      <c r="I2630" s="563">
        <v>337.35</v>
      </c>
      <c r="J2630" s="563">
        <v>-337.35</v>
      </c>
      <c r="K2630" s="582">
        <f t="shared" si="120"/>
        <v>0</v>
      </c>
      <c r="L2630" s="563">
        <f t="shared" si="121"/>
        <v>0</v>
      </c>
      <c r="M2630" s="563">
        <f t="shared" si="122"/>
        <v>371.08500000000004</v>
      </c>
      <c r="N2630" s="580"/>
    </row>
    <row r="2631" spans="4:14" x14ac:dyDescent="0.25">
      <c r="D2631" s="559" t="s">
        <v>867</v>
      </c>
      <c r="E2631" s="558" t="s">
        <v>4219</v>
      </c>
      <c r="F2631" s="559">
        <v>500250</v>
      </c>
      <c r="G2631" s="558" t="s">
        <v>4216</v>
      </c>
      <c r="H2631" s="564">
        <v>40015</v>
      </c>
      <c r="I2631" s="563">
        <v>493.35</v>
      </c>
      <c r="J2631" s="563">
        <v>-493.35</v>
      </c>
      <c r="K2631" s="582">
        <f t="shared" si="120"/>
        <v>0</v>
      </c>
      <c r="L2631" s="563">
        <f t="shared" si="121"/>
        <v>0</v>
      </c>
      <c r="M2631" s="563">
        <f t="shared" si="122"/>
        <v>542.68500000000006</v>
      </c>
      <c r="N2631" s="580"/>
    </row>
    <row r="2632" spans="4:14" x14ac:dyDescent="0.25">
      <c r="D2632" s="559" t="s">
        <v>867</v>
      </c>
      <c r="E2632" s="558" t="s">
        <v>4220</v>
      </c>
      <c r="F2632" s="559">
        <v>500251</v>
      </c>
      <c r="G2632" s="558" t="s">
        <v>4216</v>
      </c>
      <c r="H2632" s="564">
        <v>40015</v>
      </c>
      <c r="I2632" s="563">
        <v>493.35</v>
      </c>
      <c r="J2632" s="563">
        <v>-493.35</v>
      </c>
      <c r="K2632" s="582">
        <f t="shared" si="120"/>
        <v>0</v>
      </c>
      <c r="L2632" s="563">
        <f t="shared" si="121"/>
        <v>0</v>
      </c>
      <c r="M2632" s="563">
        <f t="shared" si="122"/>
        <v>542.68500000000006</v>
      </c>
      <c r="N2632" s="580"/>
    </row>
    <row r="2633" spans="4:14" x14ac:dyDescent="0.25">
      <c r="D2633" s="559" t="s">
        <v>867</v>
      </c>
      <c r="E2633" s="558" t="s">
        <v>4221</v>
      </c>
      <c r="F2633" s="559">
        <v>501567</v>
      </c>
      <c r="G2633" s="558" t="s">
        <v>4222</v>
      </c>
      <c r="H2633" s="564">
        <v>40015</v>
      </c>
      <c r="I2633" s="563">
        <v>493.35</v>
      </c>
      <c r="J2633" s="563">
        <v>-493.35</v>
      </c>
      <c r="K2633" s="582">
        <f t="shared" si="120"/>
        <v>0</v>
      </c>
      <c r="L2633" s="563">
        <f t="shared" si="121"/>
        <v>0</v>
      </c>
      <c r="M2633" s="563">
        <f t="shared" si="122"/>
        <v>542.68500000000006</v>
      </c>
      <c r="N2633" s="580"/>
    </row>
    <row r="2634" spans="4:14" x14ac:dyDescent="0.25">
      <c r="D2634" s="559" t="s">
        <v>867</v>
      </c>
      <c r="E2634" s="558" t="s">
        <v>4223</v>
      </c>
      <c r="F2634" s="559">
        <v>500252</v>
      </c>
      <c r="G2634" s="558" t="s">
        <v>4222</v>
      </c>
      <c r="H2634" s="564">
        <v>40015</v>
      </c>
      <c r="I2634" s="563">
        <v>493.35</v>
      </c>
      <c r="J2634" s="563">
        <v>-493.35</v>
      </c>
      <c r="K2634" s="582">
        <f t="shared" si="120"/>
        <v>0</v>
      </c>
      <c r="L2634" s="563">
        <f t="shared" si="121"/>
        <v>0</v>
      </c>
      <c r="M2634" s="563">
        <f t="shared" si="122"/>
        <v>542.68500000000006</v>
      </c>
      <c r="N2634" s="580"/>
    </row>
    <row r="2635" spans="4:14" x14ac:dyDescent="0.25">
      <c r="D2635" s="559" t="s">
        <v>867</v>
      </c>
      <c r="E2635" s="558" t="s">
        <v>4224</v>
      </c>
      <c r="F2635" s="559">
        <v>500253</v>
      </c>
      <c r="G2635" s="558" t="s">
        <v>4222</v>
      </c>
      <c r="H2635" s="564">
        <v>40015</v>
      </c>
      <c r="I2635" s="563">
        <v>493.35</v>
      </c>
      <c r="J2635" s="563">
        <v>-493.35</v>
      </c>
      <c r="K2635" s="582">
        <f t="shared" si="120"/>
        <v>0</v>
      </c>
      <c r="L2635" s="563">
        <f t="shared" si="121"/>
        <v>0</v>
      </c>
      <c r="M2635" s="563">
        <f t="shared" si="122"/>
        <v>542.68500000000006</v>
      </c>
      <c r="N2635" s="580"/>
    </row>
    <row r="2636" spans="4:14" x14ac:dyDescent="0.25">
      <c r="D2636" s="559" t="s">
        <v>867</v>
      </c>
      <c r="E2636" s="558" t="s">
        <v>4225</v>
      </c>
      <c r="F2636" s="559">
        <v>501570</v>
      </c>
      <c r="G2636" s="558" t="s">
        <v>4222</v>
      </c>
      <c r="H2636" s="564">
        <v>40015</v>
      </c>
      <c r="I2636" s="563">
        <v>493.35</v>
      </c>
      <c r="J2636" s="563">
        <v>-493.35</v>
      </c>
      <c r="K2636" s="582">
        <f t="shared" si="120"/>
        <v>0</v>
      </c>
      <c r="L2636" s="563">
        <f t="shared" si="121"/>
        <v>0</v>
      </c>
      <c r="M2636" s="563">
        <f t="shared" si="122"/>
        <v>542.68500000000006</v>
      </c>
      <c r="N2636" s="580"/>
    </row>
    <row r="2637" spans="4:14" x14ac:dyDescent="0.25">
      <c r="D2637" s="559" t="s">
        <v>867</v>
      </c>
      <c r="E2637" s="558" t="s">
        <v>4226</v>
      </c>
      <c r="F2637" s="559">
        <v>501571</v>
      </c>
      <c r="G2637" s="558" t="s">
        <v>4222</v>
      </c>
      <c r="H2637" s="564">
        <v>40015</v>
      </c>
      <c r="I2637" s="563">
        <v>493.35</v>
      </c>
      <c r="J2637" s="563">
        <v>-493.35</v>
      </c>
      <c r="K2637" s="582">
        <f t="shared" si="120"/>
        <v>0</v>
      </c>
      <c r="L2637" s="563">
        <f t="shared" si="121"/>
        <v>0</v>
      </c>
      <c r="M2637" s="563">
        <f t="shared" si="122"/>
        <v>542.68500000000006</v>
      </c>
      <c r="N2637" s="580"/>
    </row>
    <row r="2638" spans="4:14" x14ac:dyDescent="0.25">
      <c r="D2638" s="559" t="s">
        <v>867</v>
      </c>
      <c r="E2638" s="558" t="s">
        <v>4227</v>
      </c>
      <c r="F2638" s="559">
        <v>500254</v>
      </c>
      <c r="G2638" s="558" t="s">
        <v>4228</v>
      </c>
      <c r="H2638" s="564">
        <v>40015</v>
      </c>
      <c r="I2638" s="563">
        <v>493.35</v>
      </c>
      <c r="J2638" s="563">
        <v>-493.35</v>
      </c>
      <c r="K2638" s="582">
        <f t="shared" si="120"/>
        <v>0</v>
      </c>
      <c r="L2638" s="563">
        <f t="shared" si="121"/>
        <v>0</v>
      </c>
      <c r="M2638" s="563">
        <f t="shared" si="122"/>
        <v>542.68500000000006</v>
      </c>
      <c r="N2638" s="580"/>
    </row>
    <row r="2639" spans="4:14" x14ac:dyDescent="0.25">
      <c r="D2639" s="559" t="s">
        <v>867</v>
      </c>
      <c r="E2639" s="558" t="s">
        <v>4229</v>
      </c>
      <c r="F2639" s="559">
        <v>501573</v>
      </c>
      <c r="G2639" s="558" t="s">
        <v>4228</v>
      </c>
      <c r="H2639" s="564">
        <v>40015</v>
      </c>
      <c r="I2639" s="563">
        <v>493.35</v>
      </c>
      <c r="J2639" s="563">
        <v>-493.35</v>
      </c>
      <c r="K2639" s="582">
        <f t="shared" si="120"/>
        <v>0</v>
      </c>
      <c r="L2639" s="563">
        <f t="shared" si="121"/>
        <v>0</v>
      </c>
      <c r="M2639" s="563">
        <f t="shared" si="122"/>
        <v>542.68500000000006</v>
      </c>
      <c r="N2639" s="580"/>
    </row>
    <row r="2640" spans="4:14" x14ac:dyDescent="0.25">
      <c r="D2640" s="559" t="s">
        <v>867</v>
      </c>
      <c r="E2640" s="558" t="s">
        <v>4230</v>
      </c>
      <c r="F2640" s="559">
        <v>501574</v>
      </c>
      <c r="G2640" s="558" t="s">
        <v>4228</v>
      </c>
      <c r="H2640" s="564">
        <v>40015</v>
      </c>
      <c r="I2640" s="563">
        <v>493.35</v>
      </c>
      <c r="J2640" s="563">
        <v>-493.35</v>
      </c>
      <c r="K2640" s="582">
        <f t="shared" si="120"/>
        <v>0</v>
      </c>
      <c r="L2640" s="563">
        <f t="shared" si="121"/>
        <v>0</v>
      </c>
      <c r="M2640" s="563">
        <f t="shared" si="122"/>
        <v>542.68500000000006</v>
      </c>
      <c r="N2640" s="580"/>
    </row>
    <row r="2641" spans="4:14" x14ac:dyDescent="0.25">
      <c r="D2641" s="559" t="s">
        <v>867</v>
      </c>
      <c r="E2641" s="558" t="s">
        <v>4231</v>
      </c>
      <c r="F2641" s="559">
        <v>501575</v>
      </c>
      <c r="G2641" s="558" t="s">
        <v>4228</v>
      </c>
      <c r="H2641" s="564">
        <v>40015</v>
      </c>
      <c r="I2641" s="563">
        <v>493.35</v>
      </c>
      <c r="J2641" s="563">
        <v>-493.35</v>
      </c>
      <c r="K2641" s="582">
        <f t="shared" si="120"/>
        <v>0</v>
      </c>
      <c r="L2641" s="563">
        <f t="shared" si="121"/>
        <v>0</v>
      </c>
      <c r="M2641" s="563">
        <f t="shared" si="122"/>
        <v>542.68500000000006</v>
      </c>
      <c r="N2641" s="580"/>
    </row>
    <row r="2642" spans="4:14" x14ac:dyDescent="0.25">
      <c r="D2642" s="559" t="s">
        <v>867</v>
      </c>
      <c r="E2642" s="558" t="s">
        <v>4232</v>
      </c>
      <c r="F2642" s="559">
        <v>501576</v>
      </c>
      <c r="G2642" s="558" t="s">
        <v>4228</v>
      </c>
      <c r="H2642" s="564">
        <v>40015</v>
      </c>
      <c r="I2642" s="563">
        <v>493.35</v>
      </c>
      <c r="J2642" s="563">
        <v>-493.35</v>
      </c>
      <c r="K2642" s="582">
        <f t="shared" si="120"/>
        <v>0</v>
      </c>
      <c r="L2642" s="563">
        <f t="shared" si="121"/>
        <v>0</v>
      </c>
      <c r="M2642" s="563">
        <f t="shared" si="122"/>
        <v>542.68500000000006</v>
      </c>
      <c r="N2642" s="580"/>
    </row>
    <row r="2643" spans="4:14" x14ac:dyDescent="0.25">
      <c r="D2643" s="559" t="s">
        <v>867</v>
      </c>
      <c r="E2643" s="558" t="s">
        <v>4233</v>
      </c>
      <c r="F2643" s="559">
        <v>501577</v>
      </c>
      <c r="G2643" s="558" t="s">
        <v>4234</v>
      </c>
      <c r="H2643" s="564">
        <v>40015</v>
      </c>
      <c r="I2643" s="563">
        <v>493.35</v>
      </c>
      <c r="J2643" s="563">
        <v>-493.35</v>
      </c>
      <c r="K2643" s="582">
        <f t="shared" si="120"/>
        <v>0</v>
      </c>
      <c r="L2643" s="563">
        <f t="shared" si="121"/>
        <v>0</v>
      </c>
      <c r="M2643" s="563">
        <f t="shared" si="122"/>
        <v>542.68500000000006</v>
      </c>
      <c r="N2643" s="580"/>
    </row>
    <row r="2644" spans="4:14" x14ac:dyDescent="0.25">
      <c r="D2644" s="559" t="s">
        <v>867</v>
      </c>
      <c r="E2644" s="558" t="s">
        <v>4235</v>
      </c>
      <c r="F2644" s="559">
        <v>500255</v>
      </c>
      <c r="G2644" s="558" t="s">
        <v>4234</v>
      </c>
      <c r="H2644" s="564">
        <v>40015</v>
      </c>
      <c r="I2644" s="563">
        <v>688.35</v>
      </c>
      <c r="J2644" s="563">
        <v>-585</v>
      </c>
      <c r="K2644" s="582">
        <f t="shared" si="120"/>
        <v>103.35000000000002</v>
      </c>
      <c r="L2644" s="563">
        <f t="shared" si="121"/>
        <v>113.68500000000003</v>
      </c>
      <c r="M2644" s="563">
        <f t="shared" si="122"/>
        <v>757.18500000000006</v>
      </c>
      <c r="N2644" s="580"/>
    </row>
    <row r="2645" spans="4:14" x14ac:dyDescent="0.25">
      <c r="D2645" s="559" t="s">
        <v>867</v>
      </c>
      <c r="E2645" s="558" t="s">
        <v>4236</v>
      </c>
      <c r="F2645" s="559">
        <v>500256</v>
      </c>
      <c r="G2645" s="558" t="s">
        <v>4234</v>
      </c>
      <c r="H2645" s="564">
        <v>40015</v>
      </c>
      <c r="I2645" s="563">
        <v>493.35</v>
      </c>
      <c r="J2645" s="563">
        <v>-493.35</v>
      </c>
      <c r="K2645" s="582">
        <f t="shared" si="120"/>
        <v>0</v>
      </c>
      <c r="L2645" s="563">
        <f t="shared" si="121"/>
        <v>0</v>
      </c>
      <c r="M2645" s="563">
        <f t="shared" si="122"/>
        <v>542.68500000000006</v>
      </c>
      <c r="N2645" s="580"/>
    </row>
    <row r="2646" spans="4:14" x14ac:dyDescent="0.25">
      <c r="D2646" s="559" t="s">
        <v>867</v>
      </c>
      <c r="E2646" s="558" t="s">
        <v>4237</v>
      </c>
      <c r="F2646" s="559">
        <v>500257</v>
      </c>
      <c r="G2646" s="558" t="s">
        <v>4234</v>
      </c>
      <c r="H2646" s="564">
        <v>40015</v>
      </c>
      <c r="I2646" s="563">
        <v>493.35</v>
      </c>
      <c r="J2646" s="563">
        <v>-493.35</v>
      </c>
      <c r="K2646" s="582">
        <f t="shared" si="120"/>
        <v>0</v>
      </c>
      <c r="L2646" s="563">
        <f t="shared" si="121"/>
        <v>0</v>
      </c>
      <c r="M2646" s="563">
        <f t="shared" si="122"/>
        <v>542.68500000000006</v>
      </c>
      <c r="N2646" s="580"/>
    </row>
    <row r="2647" spans="4:14" x14ac:dyDescent="0.25">
      <c r="D2647" s="559" t="s">
        <v>867</v>
      </c>
      <c r="E2647" s="558" t="s">
        <v>4238</v>
      </c>
      <c r="F2647" s="559">
        <v>500258</v>
      </c>
      <c r="G2647" s="558" t="s">
        <v>4234</v>
      </c>
      <c r="H2647" s="564">
        <v>40015</v>
      </c>
      <c r="I2647" s="563">
        <v>493.35</v>
      </c>
      <c r="J2647" s="563">
        <v>-493.35</v>
      </c>
      <c r="K2647" s="582">
        <f t="shared" si="120"/>
        <v>0</v>
      </c>
      <c r="L2647" s="563">
        <f t="shared" si="121"/>
        <v>0</v>
      </c>
      <c r="M2647" s="563">
        <f t="shared" si="122"/>
        <v>542.68500000000006</v>
      </c>
      <c r="N2647" s="580"/>
    </row>
    <row r="2648" spans="4:14" x14ac:dyDescent="0.25">
      <c r="D2648" s="559" t="s">
        <v>867</v>
      </c>
      <c r="E2648" s="558" t="s">
        <v>4239</v>
      </c>
      <c r="F2648" s="559">
        <v>500259</v>
      </c>
      <c r="G2648" s="558" t="s">
        <v>4240</v>
      </c>
      <c r="H2648" s="564">
        <v>40015</v>
      </c>
      <c r="I2648" s="563">
        <v>493.35</v>
      </c>
      <c r="J2648" s="563">
        <v>-493.35</v>
      </c>
      <c r="K2648" s="582">
        <f t="shared" si="120"/>
        <v>0</v>
      </c>
      <c r="L2648" s="563">
        <f t="shared" si="121"/>
        <v>0</v>
      </c>
      <c r="M2648" s="563">
        <f t="shared" si="122"/>
        <v>542.68500000000006</v>
      </c>
      <c r="N2648" s="580"/>
    </row>
    <row r="2649" spans="4:14" x14ac:dyDescent="0.25">
      <c r="D2649" s="559" t="s">
        <v>867</v>
      </c>
      <c r="E2649" s="558" t="s">
        <v>4241</v>
      </c>
      <c r="F2649" s="559">
        <v>500260</v>
      </c>
      <c r="G2649" s="558" t="s">
        <v>4240</v>
      </c>
      <c r="H2649" s="564">
        <v>40015</v>
      </c>
      <c r="I2649" s="563">
        <v>493.35</v>
      </c>
      <c r="J2649" s="563">
        <v>-493.35</v>
      </c>
      <c r="K2649" s="582">
        <f t="shared" si="120"/>
        <v>0</v>
      </c>
      <c r="L2649" s="563">
        <f t="shared" si="121"/>
        <v>0</v>
      </c>
      <c r="M2649" s="563">
        <f t="shared" si="122"/>
        <v>542.68500000000006</v>
      </c>
      <c r="N2649" s="580"/>
    </row>
    <row r="2650" spans="4:14" x14ac:dyDescent="0.25">
      <c r="D2650" s="559" t="s">
        <v>867</v>
      </c>
      <c r="E2650" s="558" t="s">
        <v>4242</v>
      </c>
      <c r="F2650" s="559">
        <v>500261</v>
      </c>
      <c r="G2650" s="558" t="s">
        <v>4240</v>
      </c>
      <c r="H2650" s="564">
        <v>40015</v>
      </c>
      <c r="I2650" s="563">
        <v>493.35</v>
      </c>
      <c r="J2650" s="563">
        <v>-493.35</v>
      </c>
      <c r="K2650" s="582">
        <f t="shared" si="120"/>
        <v>0</v>
      </c>
      <c r="L2650" s="563">
        <f t="shared" si="121"/>
        <v>0</v>
      </c>
      <c r="M2650" s="563">
        <f t="shared" si="122"/>
        <v>542.68500000000006</v>
      </c>
      <c r="N2650" s="580"/>
    </row>
    <row r="2651" spans="4:14" x14ac:dyDescent="0.25">
      <c r="D2651" s="559" t="s">
        <v>867</v>
      </c>
      <c r="E2651" s="558" t="s">
        <v>4243</v>
      </c>
      <c r="F2651" s="559">
        <v>500262</v>
      </c>
      <c r="G2651" s="558" t="s">
        <v>4240</v>
      </c>
      <c r="H2651" s="564">
        <v>40015</v>
      </c>
      <c r="I2651" s="563">
        <v>493.35</v>
      </c>
      <c r="J2651" s="563">
        <v>-493.35</v>
      </c>
      <c r="K2651" s="582">
        <f t="shared" si="120"/>
        <v>0</v>
      </c>
      <c r="L2651" s="563">
        <f t="shared" si="121"/>
        <v>0</v>
      </c>
      <c r="M2651" s="563">
        <f t="shared" si="122"/>
        <v>542.68500000000006</v>
      </c>
      <c r="N2651" s="580"/>
    </row>
    <row r="2652" spans="4:14" x14ac:dyDescent="0.25">
      <c r="D2652" s="559" t="s">
        <v>867</v>
      </c>
      <c r="E2652" s="558" t="s">
        <v>4244</v>
      </c>
      <c r="F2652" s="559">
        <v>500263</v>
      </c>
      <c r="G2652" s="558" t="s">
        <v>4240</v>
      </c>
      <c r="H2652" s="564">
        <v>40015</v>
      </c>
      <c r="I2652" s="563">
        <v>493.35</v>
      </c>
      <c r="J2652" s="563">
        <v>-493.35</v>
      </c>
      <c r="K2652" s="582">
        <f t="shared" si="120"/>
        <v>0</v>
      </c>
      <c r="L2652" s="563">
        <f t="shared" si="121"/>
        <v>0</v>
      </c>
      <c r="M2652" s="563">
        <f t="shared" si="122"/>
        <v>542.68500000000006</v>
      </c>
      <c r="N2652" s="580"/>
    </row>
    <row r="2653" spans="4:14" x14ac:dyDescent="0.25">
      <c r="D2653" s="559" t="s">
        <v>867</v>
      </c>
      <c r="E2653" s="558" t="s">
        <v>4245</v>
      </c>
      <c r="F2653" s="559">
        <v>500264</v>
      </c>
      <c r="G2653" s="558" t="s">
        <v>4246</v>
      </c>
      <c r="H2653" s="564">
        <v>40015</v>
      </c>
      <c r="I2653" s="563">
        <v>25.35</v>
      </c>
      <c r="J2653" s="563">
        <v>-25.35</v>
      </c>
      <c r="K2653" s="582">
        <f t="shared" si="120"/>
        <v>0</v>
      </c>
      <c r="L2653" s="563">
        <f t="shared" si="121"/>
        <v>0</v>
      </c>
      <c r="M2653" s="563">
        <f t="shared" si="122"/>
        <v>27.885000000000005</v>
      </c>
      <c r="N2653" s="580"/>
    </row>
    <row r="2654" spans="4:14" x14ac:dyDescent="0.25">
      <c r="D2654" s="559" t="s">
        <v>867</v>
      </c>
      <c r="E2654" s="558" t="s">
        <v>4247</v>
      </c>
      <c r="F2654" s="559">
        <v>500265</v>
      </c>
      <c r="G2654" s="558" t="s">
        <v>4246</v>
      </c>
      <c r="H2654" s="564">
        <v>40015</v>
      </c>
      <c r="I2654" s="563">
        <v>25.35</v>
      </c>
      <c r="J2654" s="563">
        <v>-25.35</v>
      </c>
      <c r="K2654" s="582">
        <f t="shared" si="120"/>
        <v>0</v>
      </c>
      <c r="L2654" s="563">
        <f t="shared" si="121"/>
        <v>0</v>
      </c>
      <c r="M2654" s="563">
        <f t="shared" si="122"/>
        <v>27.885000000000005</v>
      </c>
      <c r="N2654" s="580"/>
    </row>
    <row r="2655" spans="4:14" x14ac:dyDescent="0.25">
      <c r="D2655" s="559" t="s">
        <v>867</v>
      </c>
      <c r="E2655" s="558" t="s">
        <v>4248</v>
      </c>
      <c r="F2655" s="559">
        <v>500266</v>
      </c>
      <c r="G2655" s="558" t="s">
        <v>4246</v>
      </c>
      <c r="H2655" s="564">
        <v>40015</v>
      </c>
      <c r="I2655" s="563">
        <v>337.35</v>
      </c>
      <c r="J2655" s="563">
        <v>-337.35</v>
      </c>
      <c r="K2655" s="582">
        <f t="shared" si="120"/>
        <v>0</v>
      </c>
      <c r="L2655" s="563">
        <f t="shared" si="121"/>
        <v>0</v>
      </c>
      <c r="M2655" s="563">
        <f t="shared" si="122"/>
        <v>371.08500000000004</v>
      </c>
      <c r="N2655" s="580"/>
    </row>
    <row r="2656" spans="4:14" x14ac:dyDescent="0.25">
      <c r="D2656" s="559" t="s">
        <v>867</v>
      </c>
      <c r="E2656" s="558" t="s">
        <v>4249</v>
      </c>
      <c r="F2656" s="559">
        <v>501592</v>
      </c>
      <c r="G2656" s="558" t="s">
        <v>4246</v>
      </c>
      <c r="H2656" s="564">
        <v>40015</v>
      </c>
      <c r="I2656" s="563">
        <v>688.35</v>
      </c>
      <c r="J2656" s="563">
        <v>-585</v>
      </c>
      <c r="K2656" s="582">
        <f t="shared" si="120"/>
        <v>103.35000000000002</v>
      </c>
      <c r="L2656" s="563">
        <f t="shared" si="121"/>
        <v>113.68500000000003</v>
      </c>
      <c r="M2656" s="563">
        <f t="shared" si="122"/>
        <v>757.18500000000006</v>
      </c>
      <c r="N2656" s="580"/>
    </row>
    <row r="2657" spans="4:14" x14ac:dyDescent="0.25">
      <c r="D2657" s="559" t="s">
        <v>867</v>
      </c>
      <c r="E2657" s="558" t="s">
        <v>4250</v>
      </c>
      <c r="F2657" s="559">
        <v>501594</v>
      </c>
      <c r="G2657" s="558" t="s">
        <v>4246</v>
      </c>
      <c r="H2657" s="564">
        <v>40015</v>
      </c>
      <c r="I2657" s="563">
        <v>688.35</v>
      </c>
      <c r="J2657" s="563">
        <v>-585</v>
      </c>
      <c r="K2657" s="582">
        <f t="shared" si="120"/>
        <v>103.35000000000002</v>
      </c>
      <c r="L2657" s="563">
        <f t="shared" si="121"/>
        <v>113.68500000000003</v>
      </c>
      <c r="M2657" s="563">
        <f t="shared" si="122"/>
        <v>757.18500000000006</v>
      </c>
      <c r="N2657" s="580"/>
    </row>
    <row r="2658" spans="4:14" x14ac:dyDescent="0.25">
      <c r="D2658" s="559" t="s">
        <v>867</v>
      </c>
      <c r="E2658" s="558" t="s">
        <v>4251</v>
      </c>
      <c r="F2658" s="559">
        <v>500267</v>
      </c>
      <c r="G2658" s="558" t="s">
        <v>4252</v>
      </c>
      <c r="H2658" s="564">
        <v>40015</v>
      </c>
      <c r="I2658" s="563">
        <v>64.349999999999994</v>
      </c>
      <c r="J2658" s="563">
        <v>-64.349999999999994</v>
      </c>
      <c r="K2658" s="582">
        <f t="shared" si="120"/>
        <v>0</v>
      </c>
      <c r="L2658" s="563">
        <f t="shared" si="121"/>
        <v>0</v>
      </c>
      <c r="M2658" s="563">
        <f t="shared" si="122"/>
        <v>70.784999999999997</v>
      </c>
      <c r="N2658" s="580"/>
    </row>
    <row r="2659" spans="4:14" x14ac:dyDescent="0.25">
      <c r="D2659" s="559" t="s">
        <v>867</v>
      </c>
      <c r="E2659" s="558" t="s">
        <v>4253</v>
      </c>
      <c r="F2659" s="559">
        <v>500268</v>
      </c>
      <c r="G2659" s="558" t="s">
        <v>4252</v>
      </c>
      <c r="H2659" s="564">
        <v>40015</v>
      </c>
      <c r="I2659" s="563">
        <v>220.35</v>
      </c>
      <c r="J2659" s="563">
        <v>-220.35</v>
      </c>
      <c r="K2659" s="582">
        <f t="shared" si="120"/>
        <v>0</v>
      </c>
      <c r="L2659" s="563">
        <f t="shared" si="121"/>
        <v>0</v>
      </c>
      <c r="M2659" s="563">
        <f t="shared" si="122"/>
        <v>242.38500000000002</v>
      </c>
      <c r="N2659" s="580"/>
    </row>
    <row r="2660" spans="4:14" x14ac:dyDescent="0.25">
      <c r="D2660" s="559" t="s">
        <v>867</v>
      </c>
      <c r="E2660" s="558" t="s">
        <v>4254</v>
      </c>
      <c r="F2660" s="559">
        <v>501012</v>
      </c>
      <c r="G2660" s="558" t="s">
        <v>4252</v>
      </c>
      <c r="H2660" s="564">
        <v>40015</v>
      </c>
      <c r="I2660" s="563">
        <v>883.35</v>
      </c>
      <c r="J2660" s="563">
        <v>-585</v>
      </c>
      <c r="K2660" s="582">
        <f t="shared" si="120"/>
        <v>298.35000000000002</v>
      </c>
      <c r="L2660" s="563">
        <f t="shared" si="121"/>
        <v>328.18500000000006</v>
      </c>
      <c r="M2660" s="563">
        <f t="shared" si="122"/>
        <v>971.68500000000006</v>
      </c>
      <c r="N2660" s="580"/>
    </row>
    <row r="2661" spans="4:14" x14ac:dyDescent="0.25">
      <c r="D2661" s="559" t="s">
        <v>867</v>
      </c>
      <c r="E2661" s="558" t="s">
        <v>4255</v>
      </c>
      <c r="F2661" s="559">
        <v>500269</v>
      </c>
      <c r="G2661" s="558" t="s">
        <v>4252</v>
      </c>
      <c r="H2661" s="564">
        <v>40015</v>
      </c>
      <c r="I2661" s="563">
        <v>688.35</v>
      </c>
      <c r="J2661" s="563">
        <v>-585</v>
      </c>
      <c r="K2661" s="582">
        <f t="shared" si="120"/>
        <v>103.35000000000002</v>
      </c>
      <c r="L2661" s="563">
        <f t="shared" si="121"/>
        <v>113.68500000000003</v>
      </c>
      <c r="M2661" s="563">
        <f t="shared" si="122"/>
        <v>757.18500000000006</v>
      </c>
      <c r="N2661" s="580"/>
    </row>
    <row r="2662" spans="4:14" x14ac:dyDescent="0.25">
      <c r="D2662" s="559" t="s">
        <v>867</v>
      </c>
      <c r="E2662" s="558" t="s">
        <v>4256</v>
      </c>
      <c r="F2662" s="559">
        <v>501598</v>
      </c>
      <c r="G2662" s="558" t="s">
        <v>4252</v>
      </c>
      <c r="H2662" s="564">
        <v>40015</v>
      </c>
      <c r="I2662" s="563">
        <v>376.35</v>
      </c>
      <c r="J2662" s="563">
        <v>-376.35</v>
      </c>
      <c r="K2662" s="582">
        <f t="shared" si="120"/>
        <v>0</v>
      </c>
      <c r="L2662" s="563">
        <f t="shared" si="121"/>
        <v>0</v>
      </c>
      <c r="M2662" s="563">
        <f t="shared" si="122"/>
        <v>413.98500000000007</v>
      </c>
      <c r="N2662" s="580"/>
    </row>
    <row r="2663" spans="4:14" x14ac:dyDescent="0.25">
      <c r="D2663" s="559" t="s">
        <v>867</v>
      </c>
      <c r="E2663" s="558" t="s">
        <v>4257</v>
      </c>
      <c r="F2663" s="559">
        <v>500270</v>
      </c>
      <c r="G2663" s="558" t="s">
        <v>4258</v>
      </c>
      <c r="H2663" s="564">
        <v>40015</v>
      </c>
      <c r="I2663" s="563">
        <v>688.35</v>
      </c>
      <c r="J2663" s="563">
        <v>-585</v>
      </c>
      <c r="K2663" s="582">
        <f t="shared" si="120"/>
        <v>103.35000000000002</v>
      </c>
      <c r="L2663" s="563">
        <f t="shared" si="121"/>
        <v>113.68500000000003</v>
      </c>
      <c r="M2663" s="563">
        <f t="shared" si="122"/>
        <v>757.18500000000006</v>
      </c>
      <c r="N2663" s="580"/>
    </row>
    <row r="2664" spans="4:14" x14ac:dyDescent="0.25">
      <c r="D2664" s="559" t="s">
        <v>867</v>
      </c>
      <c r="E2664" s="558" t="s">
        <v>4259</v>
      </c>
      <c r="F2664" s="559">
        <v>501607</v>
      </c>
      <c r="G2664" s="558" t="s">
        <v>4258</v>
      </c>
      <c r="H2664" s="564">
        <v>40015</v>
      </c>
      <c r="I2664" s="563">
        <v>64.349999999999994</v>
      </c>
      <c r="J2664" s="563">
        <v>-64.349999999999994</v>
      </c>
      <c r="K2664" s="582">
        <f t="shared" si="120"/>
        <v>0</v>
      </c>
      <c r="L2664" s="563">
        <f t="shared" si="121"/>
        <v>0</v>
      </c>
      <c r="M2664" s="563">
        <f t="shared" si="122"/>
        <v>70.784999999999997</v>
      </c>
      <c r="N2664" s="580"/>
    </row>
    <row r="2665" spans="4:14" x14ac:dyDescent="0.25">
      <c r="D2665" s="559" t="s">
        <v>867</v>
      </c>
      <c r="E2665" s="558" t="s">
        <v>4260</v>
      </c>
      <c r="F2665" s="559">
        <v>501611</v>
      </c>
      <c r="G2665" s="558" t="s">
        <v>4258</v>
      </c>
      <c r="H2665" s="564">
        <v>40015</v>
      </c>
      <c r="I2665" s="563">
        <v>688.35</v>
      </c>
      <c r="J2665" s="563">
        <v>-585</v>
      </c>
      <c r="K2665" s="582">
        <f t="shared" ref="K2665:K2728" si="123">+I2665+J2665</f>
        <v>103.35000000000002</v>
      </c>
      <c r="L2665" s="563">
        <f t="shared" ref="L2665:L2728" si="124">+K2665*1.1</f>
        <v>113.68500000000003</v>
      </c>
      <c r="M2665" s="563">
        <f t="shared" ref="M2665:M2728" si="125">+I2665*1.1</f>
        <v>757.18500000000006</v>
      </c>
      <c r="N2665" s="580"/>
    </row>
    <row r="2666" spans="4:14" x14ac:dyDescent="0.25">
      <c r="D2666" s="559" t="s">
        <v>867</v>
      </c>
      <c r="E2666" s="558" t="s">
        <v>4261</v>
      </c>
      <c r="F2666" s="559">
        <v>501613</v>
      </c>
      <c r="G2666" s="558" t="s">
        <v>4258</v>
      </c>
      <c r="H2666" s="564">
        <v>40015</v>
      </c>
      <c r="I2666" s="563">
        <v>688.35</v>
      </c>
      <c r="J2666" s="563">
        <v>-585</v>
      </c>
      <c r="K2666" s="582">
        <f t="shared" si="123"/>
        <v>103.35000000000002</v>
      </c>
      <c r="L2666" s="563">
        <f t="shared" si="124"/>
        <v>113.68500000000003</v>
      </c>
      <c r="M2666" s="563">
        <f t="shared" si="125"/>
        <v>757.18500000000006</v>
      </c>
      <c r="N2666" s="580"/>
    </row>
    <row r="2667" spans="4:14" x14ac:dyDescent="0.25">
      <c r="D2667" s="559" t="s">
        <v>867</v>
      </c>
      <c r="E2667" s="558" t="s">
        <v>4262</v>
      </c>
      <c r="F2667" s="559">
        <v>501614</v>
      </c>
      <c r="G2667" s="558" t="s">
        <v>4258</v>
      </c>
      <c r="H2667" s="564">
        <v>40015</v>
      </c>
      <c r="I2667" s="563">
        <v>688.35</v>
      </c>
      <c r="J2667" s="563">
        <v>-585</v>
      </c>
      <c r="K2667" s="582">
        <f t="shared" si="123"/>
        <v>103.35000000000002</v>
      </c>
      <c r="L2667" s="563">
        <f t="shared" si="124"/>
        <v>113.68500000000003</v>
      </c>
      <c r="M2667" s="563">
        <f t="shared" si="125"/>
        <v>757.18500000000006</v>
      </c>
      <c r="N2667" s="580"/>
    </row>
    <row r="2668" spans="4:14" x14ac:dyDescent="0.25">
      <c r="D2668" s="559" t="s">
        <v>867</v>
      </c>
      <c r="E2668" s="558" t="s">
        <v>4263</v>
      </c>
      <c r="F2668" s="559">
        <v>500271</v>
      </c>
      <c r="G2668" s="558" t="s">
        <v>4264</v>
      </c>
      <c r="H2668" s="564">
        <v>40015</v>
      </c>
      <c r="I2668" s="563">
        <v>688.35</v>
      </c>
      <c r="J2668" s="563">
        <v>-585</v>
      </c>
      <c r="K2668" s="582">
        <f t="shared" si="123"/>
        <v>103.35000000000002</v>
      </c>
      <c r="L2668" s="563">
        <f t="shared" si="124"/>
        <v>113.68500000000003</v>
      </c>
      <c r="M2668" s="563">
        <f t="shared" si="125"/>
        <v>757.18500000000006</v>
      </c>
      <c r="N2668" s="580"/>
    </row>
    <row r="2669" spans="4:14" x14ac:dyDescent="0.25">
      <c r="D2669" s="559" t="s">
        <v>867</v>
      </c>
      <c r="E2669" s="558" t="s">
        <v>4265</v>
      </c>
      <c r="F2669" s="559">
        <v>501616</v>
      </c>
      <c r="G2669" s="558" t="s">
        <v>4264</v>
      </c>
      <c r="H2669" s="564">
        <v>40015</v>
      </c>
      <c r="I2669" s="563">
        <v>493.35</v>
      </c>
      <c r="J2669" s="563">
        <v>-493.35</v>
      </c>
      <c r="K2669" s="582">
        <f t="shared" si="123"/>
        <v>0</v>
      </c>
      <c r="L2669" s="563">
        <f t="shared" si="124"/>
        <v>0</v>
      </c>
      <c r="M2669" s="563">
        <f t="shared" si="125"/>
        <v>542.68500000000006</v>
      </c>
      <c r="N2669" s="580"/>
    </row>
    <row r="2670" spans="4:14" x14ac:dyDescent="0.25">
      <c r="D2670" s="559" t="s">
        <v>867</v>
      </c>
      <c r="E2670" s="558" t="s">
        <v>4266</v>
      </c>
      <c r="F2670" s="559">
        <v>501617</v>
      </c>
      <c r="G2670" s="558" t="s">
        <v>4264</v>
      </c>
      <c r="H2670" s="564">
        <v>40015</v>
      </c>
      <c r="I2670" s="563">
        <v>688.35</v>
      </c>
      <c r="J2670" s="563">
        <v>-585</v>
      </c>
      <c r="K2670" s="582">
        <f t="shared" si="123"/>
        <v>103.35000000000002</v>
      </c>
      <c r="L2670" s="563">
        <f t="shared" si="124"/>
        <v>113.68500000000003</v>
      </c>
      <c r="M2670" s="563">
        <f t="shared" si="125"/>
        <v>757.18500000000006</v>
      </c>
      <c r="N2670" s="580"/>
    </row>
    <row r="2671" spans="4:14" x14ac:dyDescent="0.25">
      <c r="D2671" s="559" t="s">
        <v>867</v>
      </c>
      <c r="E2671" s="558" t="s">
        <v>4267</v>
      </c>
      <c r="F2671" s="559">
        <v>501013</v>
      </c>
      <c r="G2671" s="558" t="s">
        <v>4264</v>
      </c>
      <c r="H2671" s="564">
        <v>40015</v>
      </c>
      <c r="I2671" s="563">
        <v>688.35</v>
      </c>
      <c r="J2671" s="563">
        <v>-585</v>
      </c>
      <c r="K2671" s="582">
        <f t="shared" si="123"/>
        <v>103.35000000000002</v>
      </c>
      <c r="L2671" s="563">
        <f t="shared" si="124"/>
        <v>113.68500000000003</v>
      </c>
      <c r="M2671" s="563">
        <f t="shared" si="125"/>
        <v>757.18500000000006</v>
      </c>
      <c r="N2671" s="580"/>
    </row>
    <row r="2672" spans="4:14" x14ac:dyDescent="0.25">
      <c r="D2672" s="559" t="s">
        <v>867</v>
      </c>
      <c r="E2672" s="558" t="s">
        <v>4268</v>
      </c>
      <c r="F2672" s="559">
        <v>500273</v>
      </c>
      <c r="G2672" s="558" t="s">
        <v>4264</v>
      </c>
      <c r="H2672" s="564">
        <v>40015</v>
      </c>
      <c r="I2672" s="563">
        <v>688.35</v>
      </c>
      <c r="J2672" s="563">
        <v>-585</v>
      </c>
      <c r="K2672" s="582">
        <f t="shared" si="123"/>
        <v>103.35000000000002</v>
      </c>
      <c r="L2672" s="563">
        <f t="shared" si="124"/>
        <v>113.68500000000003</v>
      </c>
      <c r="M2672" s="563">
        <f t="shared" si="125"/>
        <v>757.18500000000006</v>
      </c>
      <c r="N2672" s="580"/>
    </row>
    <row r="2673" spans="4:14" x14ac:dyDescent="0.25">
      <c r="D2673" s="559" t="s">
        <v>867</v>
      </c>
      <c r="E2673" s="558" t="s">
        <v>4269</v>
      </c>
      <c r="F2673" s="559">
        <v>500274</v>
      </c>
      <c r="G2673" s="558" t="s">
        <v>4270</v>
      </c>
      <c r="H2673" s="564">
        <v>40015</v>
      </c>
      <c r="I2673" s="563">
        <v>688.35</v>
      </c>
      <c r="J2673" s="563">
        <v>-585</v>
      </c>
      <c r="K2673" s="582">
        <f t="shared" si="123"/>
        <v>103.35000000000002</v>
      </c>
      <c r="L2673" s="563">
        <f t="shared" si="124"/>
        <v>113.68500000000003</v>
      </c>
      <c r="M2673" s="563">
        <f t="shared" si="125"/>
        <v>757.18500000000006</v>
      </c>
      <c r="N2673" s="580"/>
    </row>
    <row r="2674" spans="4:14" x14ac:dyDescent="0.25">
      <c r="D2674" s="559" t="s">
        <v>867</v>
      </c>
      <c r="E2674" s="558" t="s">
        <v>4271</v>
      </c>
      <c r="F2674" s="559">
        <v>500275</v>
      </c>
      <c r="G2674" s="558" t="s">
        <v>4270</v>
      </c>
      <c r="H2674" s="564">
        <v>40015</v>
      </c>
      <c r="I2674" s="563">
        <v>688.35</v>
      </c>
      <c r="J2674" s="563">
        <v>-585</v>
      </c>
      <c r="K2674" s="582">
        <f t="shared" si="123"/>
        <v>103.35000000000002</v>
      </c>
      <c r="L2674" s="563">
        <f t="shared" si="124"/>
        <v>113.68500000000003</v>
      </c>
      <c r="M2674" s="563">
        <f t="shared" si="125"/>
        <v>757.18500000000006</v>
      </c>
      <c r="N2674" s="580"/>
    </row>
    <row r="2675" spans="4:14" x14ac:dyDescent="0.25">
      <c r="D2675" s="559" t="s">
        <v>867</v>
      </c>
      <c r="E2675" s="558" t="s">
        <v>4272</v>
      </c>
      <c r="F2675" s="559">
        <v>500276</v>
      </c>
      <c r="G2675" s="558" t="s">
        <v>4270</v>
      </c>
      <c r="H2675" s="564">
        <v>40015</v>
      </c>
      <c r="I2675" s="563">
        <v>688.35</v>
      </c>
      <c r="J2675" s="563">
        <v>-585</v>
      </c>
      <c r="K2675" s="582">
        <f t="shared" si="123"/>
        <v>103.35000000000002</v>
      </c>
      <c r="L2675" s="563">
        <f t="shared" si="124"/>
        <v>113.68500000000003</v>
      </c>
      <c r="M2675" s="563">
        <f t="shared" si="125"/>
        <v>757.18500000000006</v>
      </c>
      <c r="N2675" s="580"/>
    </row>
    <row r="2676" spans="4:14" x14ac:dyDescent="0.25">
      <c r="D2676" s="559" t="s">
        <v>867</v>
      </c>
      <c r="E2676" s="558" t="s">
        <v>4273</v>
      </c>
      <c r="F2676" s="559">
        <v>500277</v>
      </c>
      <c r="G2676" s="558" t="s">
        <v>4270</v>
      </c>
      <c r="H2676" s="564">
        <v>40015</v>
      </c>
      <c r="I2676" s="563">
        <v>688.35</v>
      </c>
      <c r="J2676" s="563">
        <v>-585</v>
      </c>
      <c r="K2676" s="582">
        <f t="shared" si="123"/>
        <v>103.35000000000002</v>
      </c>
      <c r="L2676" s="563">
        <f t="shared" si="124"/>
        <v>113.68500000000003</v>
      </c>
      <c r="M2676" s="563">
        <f t="shared" si="125"/>
        <v>757.18500000000006</v>
      </c>
      <c r="N2676" s="580"/>
    </row>
    <row r="2677" spans="4:14" x14ac:dyDescent="0.25">
      <c r="D2677" s="559" t="s">
        <v>867</v>
      </c>
      <c r="E2677" s="558" t="s">
        <v>4274</v>
      </c>
      <c r="F2677" s="559">
        <v>501624</v>
      </c>
      <c r="G2677" s="558" t="s">
        <v>4270</v>
      </c>
      <c r="H2677" s="564">
        <v>40015</v>
      </c>
      <c r="I2677" s="563">
        <v>688.35</v>
      </c>
      <c r="J2677" s="563">
        <v>-585</v>
      </c>
      <c r="K2677" s="582">
        <f t="shared" si="123"/>
        <v>103.35000000000002</v>
      </c>
      <c r="L2677" s="563">
        <f t="shared" si="124"/>
        <v>113.68500000000003</v>
      </c>
      <c r="M2677" s="563">
        <f t="shared" si="125"/>
        <v>757.18500000000006</v>
      </c>
      <c r="N2677" s="580"/>
    </row>
    <row r="2678" spans="4:14" x14ac:dyDescent="0.25">
      <c r="D2678" s="559" t="s">
        <v>867</v>
      </c>
      <c r="E2678" s="558" t="s">
        <v>4275</v>
      </c>
      <c r="F2678" s="559">
        <v>501627</v>
      </c>
      <c r="G2678" s="558" t="s">
        <v>4276</v>
      </c>
      <c r="H2678" s="564">
        <v>40015</v>
      </c>
      <c r="I2678" s="563">
        <v>688.35</v>
      </c>
      <c r="J2678" s="563">
        <v>-585</v>
      </c>
      <c r="K2678" s="582">
        <f t="shared" si="123"/>
        <v>103.35000000000002</v>
      </c>
      <c r="L2678" s="563">
        <f t="shared" si="124"/>
        <v>113.68500000000003</v>
      </c>
      <c r="M2678" s="563">
        <f t="shared" si="125"/>
        <v>757.18500000000006</v>
      </c>
      <c r="N2678" s="580"/>
    </row>
    <row r="2679" spans="4:14" x14ac:dyDescent="0.25">
      <c r="D2679" s="559" t="s">
        <v>867</v>
      </c>
      <c r="E2679" s="558" t="s">
        <v>4277</v>
      </c>
      <c r="F2679" s="559">
        <v>500278</v>
      </c>
      <c r="G2679" s="558" t="s">
        <v>4276</v>
      </c>
      <c r="H2679" s="564">
        <v>40015</v>
      </c>
      <c r="I2679" s="563">
        <v>688.35</v>
      </c>
      <c r="J2679" s="563">
        <v>-585</v>
      </c>
      <c r="K2679" s="582">
        <f t="shared" si="123"/>
        <v>103.35000000000002</v>
      </c>
      <c r="L2679" s="563">
        <f t="shared" si="124"/>
        <v>113.68500000000003</v>
      </c>
      <c r="M2679" s="563">
        <f t="shared" si="125"/>
        <v>757.18500000000006</v>
      </c>
      <c r="N2679" s="580"/>
    </row>
    <row r="2680" spans="4:14" x14ac:dyDescent="0.25">
      <c r="D2680" s="559" t="s">
        <v>867</v>
      </c>
      <c r="E2680" s="558" t="s">
        <v>4278</v>
      </c>
      <c r="F2680" s="559">
        <v>500279</v>
      </c>
      <c r="G2680" s="558" t="s">
        <v>4276</v>
      </c>
      <c r="H2680" s="564">
        <v>40015</v>
      </c>
      <c r="I2680" s="563">
        <v>727.35</v>
      </c>
      <c r="J2680" s="563">
        <v>-585</v>
      </c>
      <c r="K2680" s="582">
        <f t="shared" si="123"/>
        <v>142.35000000000002</v>
      </c>
      <c r="L2680" s="563">
        <f t="shared" si="124"/>
        <v>156.58500000000004</v>
      </c>
      <c r="M2680" s="563">
        <f t="shared" si="125"/>
        <v>800.08500000000004</v>
      </c>
      <c r="N2680" s="580"/>
    </row>
    <row r="2681" spans="4:14" x14ac:dyDescent="0.25">
      <c r="D2681" s="559" t="s">
        <v>867</v>
      </c>
      <c r="E2681" s="558" t="s">
        <v>4279</v>
      </c>
      <c r="F2681" s="559">
        <v>500280</v>
      </c>
      <c r="G2681" s="558" t="s">
        <v>4276</v>
      </c>
      <c r="H2681" s="564">
        <v>40015</v>
      </c>
      <c r="I2681" s="563">
        <v>688.35</v>
      </c>
      <c r="J2681" s="563">
        <v>-585</v>
      </c>
      <c r="K2681" s="582">
        <f t="shared" si="123"/>
        <v>103.35000000000002</v>
      </c>
      <c r="L2681" s="563">
        <f t="shared" si="124"/>
        <v>113.68500000000003</v>
      </c>
      <c r="M2681" s="563">
        <f t="shared" si="125"/>
        <v>757.18500000000006</v>
      </c>
      <c r="N2681" s="580"/>
    </row>
    <row r="2682" spans="4:14" x14ac:dyDescent="0.25">
      <c r="D2682" s="559" t="s">
        <v>867</v>
      </c>
      <c r="E2682" s="558" t="s">
        <v>4280</v>
      </c>
      <c r="F2682" s="559">
        <v>501630</v>
      </c>
      <c r="G2682" s="558" t="s">
        <v>4276</v>
      </c>
      <c r="H2682" s="564">
        <v>40015</v>
      </c>
      <c r="I2682" s="563">
        <v>688.35</v>
      </c>
      <c r="J2682" s="563">
        <v>-585</v>
      </c>
      <c r="K2682" s="582">
        <f t="shared" si="123"/>
        <v>103.35000000000002</v>
      </c>
      <c r="L2682" s="563">
        <f t="shared" si="124"/>
        <v>113.68500000000003</v>
      </c>
      <c r="M2682" s="563">
        <f t="shared" si="125"/>
        <v>757.18500000000006</v>
      </c>
      <c r="N2682" s="580"/>
    </row>
    <row r="2683" spans="4:14" x14ac:dyDescent="0.25">
      <c r="D2683" s="559" t="s">
        <v>867</v>
      </c>
      <c r="E2683" s="558" t="s">
        <v>4281</v>
      </c>
      <c r="F2683" s="559">
        <v>500281</v>
      </c>
      <c r="G2683" s="558" t="s">
        <v>4282</v>
      </c>
      <c r="H2683" s="564">
        <v>40015</v>
      </c>
      <c r="I2683" s="563">
        <v>688.35</v>
      </c>
      <c r="J2683" s="563">
        <v>-585</v>
      </c>
      <c r="K2683" s="582">
        <f t="shared" si="123"/>
        <v>103.35000000000002</v>
      </c>
      <c r="L2683" s="563">
        <f t="shared" si="124"/>
        <v>113.68500000000003</v>
      </c>
      <c r="M2683" s="563">
        <f t="shared" si="125"/>
        <v>757.18500000000006</v>
      </c>
      <c r="N2683" s="580"/>
    </row>
    <row r="2684" spans="4:14" x14ac:dyDescent="0.25">
      <c r="D2684" s="559" t="s">
        <v>867</v>
      </c>
      <c r="E2684" s="558" t="s">
        <v>4283</v>
      </c>
      <c r="F2684" s="559">
        <v>501635</v>
      </c>
      <c r="G2684" s="558" t="s">
        <v>4282</v>
      </c>
      <c r="H2684" s="564">
        <v>40015</v>
      </c>
      <c r="I2684" s="563">
        <v>688.35</v>
      </c>
      <c r="J2684" s="563">
        <v>-585</v>
      </c>
      <c r="K2684" s="582">
        <f t="shared" si="123"/>
        <v>103.35000000000002</v>
      </c>
      <c r="L2684" s="563">
        <f t="shared" si="124"/>
        <v>113.68500000000003</v>
      </c>
      <c r="M2684" s="563">
        <f t="shared" si="125"/>
        <v>757.18500000000006</v>
      </c>
      <c r="N2684" s="580"/>
    </row>
    <row r="2685" spans="4:14" x14ac:dyDescent="0.25">
      <c r="D2685" s="559" t="s">
        <v>867</v>
      </c>
      <c r="E2685" s="558" t="s">
        <v>4284</v>
      </c>
      <c r="F2685" s="559">
        <v>501636</v>
      </c>
      <c r="G2685" s="558" t="s">
        <v>4282</v>
      </c>
      <c r="H2685" s="564">
        <v>40015</v>
      </c>
      <c r="I2685" s="563">
        <v>25.35</v>
      </c>
      <c r="J2685" s="563">
        <v>-25.35</v>
      </c>
      <c r="K2685" s="582">
        <f t="shared" si="123"/>
        <v>0</v>
      </c>
      <c r="L2685" s="563">
        <f t="shared" si="124"/>
        <v>0</v>
      </c>
      <c r="M2685" s="563">
        <f t="shared" si="125"/>
        <v>27.885000000000005</v>
      </c>
      <c r="N2685" s="580"/>
    </row>
    <row r="2686" spans="4:14" x14ac:dyDescent="0.25">
      <c r="D2686" s="559" t="s">
        <v>867</v>
      </c>
      <c r="E2686" s="558" t="s">
        <v>4285</v>
      </c>
      <c r="F2686" s="559">
        <v>501638</v>
      </c>
      <c r="G2686" s="558" t="s">
        <v>4282</v>
      </c>
      <c r="H2686" s="564">
        <v>40015</v>
      </c>
      <c r="I2686" s="563">
        <v>64.349999999999994</v>
      </c>
      <c r="J2686" s="563">
        <v>-64.349999999999994</v>
      </c>
      <c r="K2686" s="582">
        <f t="shared" si="123"/>
        <v>0</v>
      </c>
      <c r="L2686" s="563">
        <f t="shared" si="124"/>
        <v>0</v>
      </c>
      <c r="M2686" s="563">
        <f t="shared" si="125"/>
        <v>70.784999999999997</v>
      </c>
      <c r="N2686" s="580"/>
    </row>
    <row r="2687" spans="4:14" x14ac:dyDescent="0.25">
      <c r="D2687" s="559" t="s">
        <v>867</v>
      </c>
      <c r="E2687" s="558" t="s">
        <v>4286</v>
      </c>
      <c r="F2687" s="559">
        <v>501645</v>
      </c>
      <c r="G2687" s="558" t="s">
        <v>4282</v>
      </c>
      <c r="H2687" s="564">
        <v>40015</v>
      </c>
      <c r="I2687" s="563">
        <v>64.349999999999994</v>
      </c>
      <c r="J2687" s="563">
        <v>-64.349999999999994</v>
      </c>
      <c r="K2687" s="582">
        <f t="shared" si="123"/>
        <v>0</v>
      </c>
      <c r="L2687" s="563">
        <f t="shared" si="124"/>
        <v>0</v>
      </c>
      <c r="M2687" s="563">
        <f t="shared" si="125"/>
        <v>70.784999999999997</v>
      </c>
      <c r="N2687" s="580"/>
    </row>
    <row r="2688" spans="4:14" x14ac:dyDescent="0.25">
      <c r="D2688" s="559" t="s">
        <v>867</v>
      </c>
      <c r="E2688" s="558" t="s">
        <v>4287</v>
      </c>
      <c r="F2688" s="559">
        <v>500282</v>
      </c>
      <c r="G2688" s="558" t="s">
        <v>4288</v>
      </c>
      <c r="H2688" s="564">
        <v>40015</v>
      </c>
      <c r="I2688" s="563">
        <v>337.35</v>
      </c>
      <c r="J2688" s="563">
        <v>-337.35</v>
      </c>
      <c r="K2688" s="582">
        <f t="shared" si="123"/>
        <v>0</v>
      </c>
      <c r="L2688" s="563">
        <f t="shared" si="124"/>
        <v>0</v>
      </c>
      <c r="M2688" s="563">
        <f t="shared" si="125"/>
        <v>371.08500000000004</v>
      </c>
      <c r="N2688" s="580"/>
    </row>
    <row r="2689" spans="4:14" x14ac:dyDescent="0.25">
      <c r="D2689" s="559" t="s">
        <v>867</v>
      </c>
      <c r="E2689" s="558" t="s">
        <v>4289</v>
      </c>
      <c r="F2689" s="559">
        <v>500283</v>
      </c>
      <c r="G2689" s="558" t="s">
        <v>4288</v>
      </c>
      <c r="H2689" s="564">
        <v>40015</v>
      </c>
      <c r="I2689" s="563">
        <v>493.35</v>
      </c>
      <c r="J2689" s="563">
        <v>-493.35</v>
      </c>
      <c r="K2689" s="582">
        <f t="shared" si="123"/>
        <v>0</v>
      </c>
      <c r="L2689" s="563">
        <f t="shared" si="124"/>
        <v>0</v>
      </c>
      <c r="M2689" s="563">
        <f t="shared" si="125"/>
        <v>542.68500000000006</v>
      </c>
      <c r="N2689" s="580"/>
    </row>
    <row r="2690" spans="4:14" x14ac:dyDescent="0.25">
      <c r="D2690" s="559" t="s">
        <v>867</v>
      </c>
      <c r="E2690" s="558" t="s">
        <v>4290</v>
      </c>
      <c r="F2690" s="559">
        <v>500284</v>
      </c>
      <c r="G2690" s="558" t="s">
        <v>4288</v>
      </c>
      <c r="H2690" s="564">
        <v>40015</v>
      </c>
      <c r="I2690" s="563">
        <v>454.35</v>
      </c>
      <c r="J2690" s="563">
        <v>-454.35</v>
      </c>
      <c r="K2690" s="582">
        <f t="shared" si="123"/>
        <v>0</v>
      </c>
      <c r="L2690" s="563">
        <f t="shared" si="124"/>
        <v>0</v>
      </c>
      <c r="M2690" s="563">
        <f t="shared" si="125"/>
        <v>499.78500000000008</v>
      </c>
      <c r="N2690" s="580"/>
    </row>
    <row r="2691" spans="4:14" x14ac:dyDescent="0.25">
      <c r="D2691" s="559" t="s">
        <v>867</v>
      </c>
      <c r="E2691" s="558" t="s">
        <v>4291</v>
      </c>
      <c r="F2691" s="559">
        <v>501652</v>
      </c>
      <c r="G2691" s="558" t="s">
        <v>4288</v>
      </c>
      <c r="H2691" s="564">
        <v>40015</v>
      </c>
      <c r="I2691" s="563">
        <v>688.35</v>
      </c>
      <c r="J2691" s="563">
        <v>-585</v>
      </c>
      <c r="K2691" s="582">
        <f t="shared" si="123"/>
        <v>103.35000000000002</v>
      </c>
      <c r="L2691" s="563">
        <f t="shared" si="124"/>
        <v>113.68500000000003</v>
      </c>
      <c r="M2691" s="563">
        <f t="shared" si="125"/>
        <v>757.18500000000006</v>
      </c>
      <c r="N2691" s="580"/>
    </row>
    <row r="2692" spans="4:14" x14ac:dyDescent="0.25">
      <c r="D2692" s="559" t="s">
        <v>867</v>
      </c>
      <c r="E2692" s="558" t="s">
        <v>4292</v>
      </c>
      <c r="F2692" s="559">
        <v>501654</v>
      </c>
      <c r="G2692" s="558" t="s">
        <v>4288</v>
      </c>
      <c r="H2692" s="564">
        <v>40015</v>
      </c>
      <c r="I2692" s="563">
        <v>688.35</v>
      </c>
      <c r="J2692" s="563">
        <v>-585</v>
      </c>
      <c r="K2692" s="582">
        <f t="shared" si="123"/>
        <v>103.35000000000002</v>
      </c>
      <c r="L2692" s="563">
        <f t="shared" si="124"/>
        <v>113.68500000000003</v>
      </c>
      <c r="M2692" s="563">
        <f t="shared" si="125"/>
        <v>757.18500000000006</v>
      </c>
      <c r="N2692" s="580"/>
    </row>
    <row r="2693" spans="4:14" x14ac:dyDescent="0.25">
      <c r="D2693" s="559" t="s">
        <v>867</v>
      </c>
      <c r="E2693" s="558" t="s">
        <v>4293</v>
      </c>
      <c r="F2693" s="559">
        <v>501657</v>
      </c>
      <c r="G2693" s="558" t="s">
        <v>4294</v>
      </c>
      <c r="H2693" s="564">
        <v>40015</v>
      </c>
      <c r="I2693" s="563">
        <v>454.35</v>
      </c>
      <c r="J2693" s="563">
        <v>-454.35</v>
      </c>
      <c r="K2693" s="582">
        <f t="shared" si="123"/>
        <v>0</v>
      </c>
      <c r="L2693" s="563">
        <f t="shared" si="124"/>
        <v>0</v>
      </c>
      <c r="M2693" s="563">
        <f t="shared" si="125"/>
        <v>499.78500000000008</v>
      </c>
      <c r="N2693" s="580"/>
    </row>
    <row r="2694" spans="4:14" x14ac:dyDescent="0.25">
      <c r="D2694" s="559" t="s">
        <v>867</v>
      </c>
      <c r="E2694" s="558" t="s">
        <v>4295</v>
      </c>
      <c r="F2694" s="559">
        <v>500285</v>
      </c>
      <c r="G2694" s="558" t="s">
        <v>4294</v>
      </c>
      <c r="H2694" s="564">
        <v>40015</v>
      </c>
      <c r="I2694" s="563">
        <v>688.35</v>
      </c>
      <c r="J2694" s="563">
        <v>-585</v>
      </c>
      <c r="K2694" s="582">
        <f t="shared" si="123"/>
        <v>103.35000000000002</v>
      </c>
      <c r="L2694" s="563">
        <f t="shared" si="124"/>
        <v>113.68500000000003</v>
      </c>
      <c r="M2694" s="563">
        <f t="shared" si="125"/>
        <v>757.18500000000006</v>
      </c>
      <c r="N2694" s="580"/>
    </row>
    <row r="2695" spans="4:14" x14ac:dyDescent="0.25">
      <c r="D2695" s="559" t="s">
        <v>867</v>
      </c>
      <c r="E2695" s="558" t="s">
        <v>4296</v>
      </c>
      <c r="F2695" s="559">
        <v>500286</v>
      </c>
      <c r="G2695" s="558" t="s">
        <v>4294</v>
      </c>
      <c r="H2695" s="564">
        <v>40015</v>
      </c>
      <c r="I2695" s="563">
        <v>688.35</v>
      </c>
      <c r="J2695" s="563">
        <v>-585</v>
      </c>
      <c r="K2695" s="582">
        <f t="shared" si="123"/>
        <v>103.35000000000002</v>
      </c>
      <c r="L2695" s="563">
        <f t="shared" si="124"/>
        <v>113.68500000000003</v>
      </c>
      <c r="M2695" s="563">
        <f t="shared" si="125"/>
        <v>757.18500000000006</v>
      </c>
      <c r="N2695" s="580"/>
    </row>
    <row r="2696" spans="4:14" x14ac:dyDescent="0.25">
      <c r="D2696" s="559" t="s">
        <v>867</v>
      </c>
      <c r="E2696" s="558" t="s">
        <v>4297</v>
      </c>
      <c r="F2696" s="559">
        <v>500287</v>
      </c>
      <c r="G2696" s="558" t="s">
        <v>4294</v>
      </c>
      <c r="H2696" s="564">
        <v>40015</v>
      </c>
      <c r="I2696" s="563">
        <v>688.35</v>
      </c>
      <c r="J2696" s="563">
        <v>-585</v>
      </c>
      <c r="K2696" s="582">
        <f t="shared" si="123"/>
        <v>103.35000000000002</v>
      </c>
      <c r="L2696" s="563">
        <f t="shared" si="124"/>
        <v>113.68500000000003</v>
      </c>
      <c r="M2696" s="563">
        <f t="shared" si="125"/>
        <v>757.18500000000006</v>
      </c>
      <c r="N2696" s="580"/>
    </row>
    <row r="2697" spans="4:14" x14ac:dyDescent="0.25">
      <c r="D2697" s="559" t="s">
        <v>867</v>
      </c>
      <c r="E2697" s="558" t="s">
        <v>4298</v>
      </c>
      <c r="F2697" s="559">
        <v>501662</v>
      </c>
      <c r="G2697" s="558" t="s">
        <v>4294</v>
      </c>
      <c r="H2697" s="564">
        <v>40015</v>
      </c>
      <c r="I2697" s="563">
        <v>64.349999999999994</v>
      </c>
      <c r="J2697" s="563">
        <v>-64.349999999999994</v>
      </c>
      <c r="K2697" s="582">
        <f t="shared" si="123"/>
        <v>0</v>
      </c>
      <c r="L2697" s="563">
        <f t="shared" si="124"/>
        <v>0</v>
      </c>
      <c r="M2697" s="563">
        <f t="shared" si="125"/>
        <v>70.784999999999997</v>
      </c>
      <c r="N2697" s="580"/>
    </row>
    <row r="2698" spans="4:14" x14ac:dyDescent="0.25">
      <c r="D2698" s="559" t="s">
        <v>867</v>
      </c>
      <c r="E2698" s="558" t="s">
        <v>4299</v>
      </c>
      <c r="F2698" s="559">
        <v>500288</v>
      </c>
      <c r="G2698" s="558" t="s">
        <v>4300</v>
      </c>
      <c r="H2698" s="564">
        <v>40015</v>
      </c>
      <c r="I2698" s="563">
        <v>688.35</v>
      </c>
      <c r="J2698" s="563">
        <v>-585</v>
      </c>
      <c r="K2698" s="582">
        <f t="shared" si="123"/>
        <v>103.35000000000002</v>
      </c>
      <c r="L2698" s="563">
        <f t="shared" si="124"/>
        <v>113.68500000000003</v>
      </c>
      <c r="M2698" s="563">
        <f t="shared" si="125"/>
        <v>757.18500000000006</v>
      </c>
      <c r="N2698" s="580"/>
    </row>
    <row r="2699" spans="4:14" x14ac:dyDescent="0.25">
      <c r="D2699" s="559" t="s">
        <v>867</v>
      </c>
      <c r="E2699" s="558" t="s">
        <v>4301</v>
      </c>
      <c r="F2699" s="559">
        <v>501664</v>
      </c>
      <c r="G2699" s="558" t="s">
        <v>4300</v>
      </c>
      <c r="H2699" s="564">
        <v>40015</v>
      </c>
      <c r="I2699" s="563">
        <v>688.35</v>
      </c>
      <c r="J2699" s="563">
        <v>-585</v>
      </c>
      <c r="K2699" s="582">
        <f t="shared" si="123"/>
        <v>103.35000000000002</v>
      </c>
      <c r="L2699" s="563">
        <f t="shared" si="124"/>
        <v>113.68500000000003</v>
      </c>
      <c r="M2699" s="563">
        <f t="shared" si="125"/>
        <v>757.18500000000006</v>
      </c>
      <c r="N2699" s="580"/>
    </row>
    <row r="2700" spans="4:14" x14ac:dyDescent="0.25">
      <c r="D2700" s="559" t="s">
        <v>867</v>
      </c>
      <c r="E2700" s="558" t="s">
        <v>4302</v>
      </c>
      <c r="F2700" s="559">
        <v>500289</v>
      </c>
      <c r="G2700" s="558" t="s">
        <v>4300</v>
      </c>
      <c r="H2700" s="564">
        <v>40015</v>
      </c>
      <c r="I2700" s="563">
        <v>688.35</v>
      </c>
      <c r="J2700" s="563">
        <v>-585</v>
      </c>
      <c r="K2700" s="582">
        <f t="shared" si="123"/>
        <v>103.35000000000002</v>
      </c>
      <c r="L2700" s="563">
        <f t="shared" si="124"/>
        <v>113.68500000000003</v>
      </c>
      <c r="M2700" s="563">
        <f t="shared" si="125"/>
        <v>757.18500000000006</v>
      </c>
      <c r="N2700" s="580"/>
    </row>
    <row r="2701" spans="4:14" x14ac:dyDescent="0.25">
      <c r="D2701" s="559" t="s">
        <v>867</v>
      </c>
      <c r="E2701" s="558" t="s">
        <v>4303</v>
      </c>
      <c r="F2701" s="559">
        <v>501668</v>
      </c>
      <c r="G2701" s="558" t="s">
        <v>4300</v>
      </c>
      <c r="H2701" s="564">
        <v>40015</v>
      </c>
      <c r="I2701" s="563">
        <v>64.349999999999994</v>
      </c>
      <c r="J2701" s="563">
        <v>-64.349999999999994</v>
      </c>
      <c r="K2701" s="582">
        <f t="shared" si="123"/>
        <v>0</v>
      </c>
      <c r="L2701" s="563">
        <f t="shared" si="124"/>
        <v>0</v>
      </c>
      <c r="M2701" s="563">
        <f t="shared" si="125"/>
        <v>70.784999999999997</v>
      </c>
      <c r="N2701" s="580"/>
    </row>
    <row r="2702" spans="4:14" x14ac:dyDescent="0.25">
      <c r="D2702" s="559" t="s">
        <v>867</v>
      </c>
      <c r="E2702" s="558" t="s">
        <v>4304</v>
      </c>
      <c r="F2702" s="559">
        <v>500290</v>
      </c>
      <c r="G2702" s="558" t="s">
        <v>4300</v>
      </c>
      <c r="H2702" s="564">
        <v>40015</v>
      </c>
      <c r="I2702" s="563">
        <v>688.35</v>
      </c>
      <c r="J2702" s="563">
        <v>-585</v>
      </c>
      <c r="K2702" s="582">
        <f t="shared" si="123"/>
        <v>103.35000000000002</v>
      </c>
      <c r="L2702" s="563">
        <f t="shared" si="124"/>
        <v>113.68500000000003</v>
      </c>
      <c r="M2702" s="563">
        <f t="shared" si="125"/>
        <v>757.18500000000006</v>
      </c>
      <c r="N2702" s="580"/>
    </row>
    <row r="2703" spans="4:14" x14ac:dyDescent="0.25">
      <c r="D2703" s="559" t="s">
        <v>867</v>
      </c>
      <c r="E2703" s="558" t="s">
        <v>4305</v>
      </c>
      <c r="F2703" s="559">
        <v>501670</v>
      </c>
      <c r="G2703" s="558" t="s">
        <v>4306</v>
      </c>
      <c r="H2703" s="564">
        <v>40015</v>
      </c>
      <c r="I2703" s="563">
        <v>688.35</v>
      </c>
      <c r="J2703" s="563">
        <v>-585</v>
      </c>
      <c r="K2703" s="582">
        <f t="shared" si="123"/>
        <v>103.35000000000002</v>
      </c>
      <c r="L2703" s="563">
        <f t="shared" si="124"/>
        <v>113.68500000000003</v>
      </c>
      <c r="M2703" s="563">
        <f t="shared" si="125"/>
        <v>757.18500000000006</v>
      </c>
      <c r="N2703" s="580"/>
    </row>
    <row r="2704" spans="4:14" x14ac:dyDescent="0.25">
      <c r="D2704" s="559" t="s">
        <v>867</v>
      </c>
      <c r="E2704" s="558" t="s">
        <v>4307</v>
      </c>
      <c r="F2704" s="559">
        <v>500291</v>
      </c>
      <c r="G2704" s="558" t="s">
        <v>4306</v>
      </c>
      <c r="H2704" s="564">
        <v>40015</v>
      </c>
      <c r="I2704" s="563">
        <v>688.35</v>
      </c>
      <c r="J2704" s="563">
        <v>-585</v>
      </c>
      <c r="K2704" s="582">
        <f t="shared" si="123"/>
        <v>103.35000000000002</v>
      </c>
      <c r="L2704" s="563">
        <f t="shared" si="124"/>
        <v>113.68500000000003</v>
      </c>
      <c r="M2704" s="563">
        <f t="shared" si="125"/>
        <v>757.18500000000006</v>
      </c>
      <c r="N2704" s="580"/>
    </row>
    <row r="2705" spans="4:14" x14ac:dyDescent="0.25">
      <c r="D2705" s="559" t="s">
        <v>867</v>
      </c>
      <c r="E2705" s="558" t="s">
        <v>4308</v>
      </c>
      <c r="F2705" s="559">
        <v>500292</v>
      </c>
      <c r="G2705" s="558" t="s">
        <v>4306</v>
      </c>
      <c r="H2705" s="564">
        <v>40015</v>
      </c>
      <c r="I2705" s="563">
        <v>688.35</v>
      </c>
      <c r="J2705" s="563">
        <v>-585</v>
      </c>
      <c r="K2705" s="582">
        <f t="shared" si="123"/>
        <v>103.35000000000002</v>
      </c>
      <c r="L2705" s="563">
        <f t="shared" si="124"/>
        <v>113.68500000000003</v>
      </c>
      <c r="M2705" s="563">
        <f t="shared" si="125"/>
        <v>757.18500000000006</v>
      </c>
      <c r="N2705" s="580"/>
    </row>
    <row r="2706" spans="4:14" x14ac:dyDescent="0.25">
      <c r="D2706" s="559" t="s">
        <v>867</v>
      </c>
      <c r="E2706" s="558" t="s">
        <v>4309</v>
      </c>
      <c r="F2706" s="559">
        <v>500293</v>
      </c>
      <c r="G2706" s="558" t="s">
        <v>4306</v>
      </c>
      <c r="H2706" s="564">
        <v>40015</v>
      </c>
      <c r="I2706" s="563">
        <v>727.35</v>
      </c>
      <c r="J2706" s="563">
        <v>-585</v>
      </c>
      <c r="K2706" s="582">
        <f t="shared" si="123"/>
        <v>142.35000000000002</v>
      </c>
      <c r="L2706" s="563">
        <f t="shared" si="124"/>
        <v>156.58500000000004</v>
      </c>
      <c r="M2706" s="563">
        <f t="shared" si="125"/>
        <v>800.08500000000004</v>
      </c>
      <c r="N2706" s="580"/>
    </row>
    <row r="2707" spans="4:14" x14ac:dyDescent="0.25">
      <c r="D2707" s="559" t="s">
        <v>867</v>
      </c>
      <c r="E2707" s="558" t="s">
        <v>4310</v>
      </c>
      <c r="F2707" s="559">
        <v>500294</v>
      </c>
      <c r="G2707" s="558" t="s">
        <v>4306</v>
      </c>
      <c r="H2707" s="564">
        <v>40015</v>
      </c>
      <c r="I2707" s="563">
        <v>688.35</v>
      </c>
      <c r="J2707" s="563">
        <v>-585</v>
      </c>
      <c r="K2707" s="582">
        <f t="shared" si="123"/>
        <v>103.35000000000002</v>
      </c>
      <c r="L2707" s="563">
        <f t="shared" si="124"/>
        <v>113.68500000000003</v>
      </c>
      <c r="M2707" s="563">
        <f t="shared" si="125"/>
        <v>757.18500000000006</v>
      </c>
      <c r="N2707" s="580"/>
    </row>
    <row r="2708" spans="4:14" x14ac:dyDescent="0.25">
      <c r="D2708" s="559" t="s">
        <v>867</v>
      </c>
      <c r="E2708" s="558" t="s">
        <v>4311</v>
      </c>
      <c r="F2708" s="559">
        <v>500295</v>
      </c>
      <c r="G2708" s="558" t="s">
        <v>4312</v>
      </c>
      <c r="H2708" s="564">
        <v>40015</v>
      </c>
      <c r="I2708" s="563">
        <v>64.349999999999994</v>
      </c>
      <c r="J2708" s="563">
        <v>-64.349999999999994</v>
      </c>
      <c r="K2708" s="582">
        <f t="shared" si="123"/>
        <v>0</v>
      </c>
      <c r="L2708" s="563">
        <f t="shared" si="124"/>
        <v>0</v>
      </c>
      <c r="M2708" s="563">
        <f t="shared" si="125"/>
        <v>70.784999999999997</v>
      </c>
      <c r="N2708" s="580"/>
    </row>
    <row r="2709" spans="4:14" x14ac:dyDescent="0.25">
      <c r="D2709" s="559" t="s">
        <v>867</v>
      </c>
      <c r="E2709" s="558" t="s">
        <v>4313</v>
      </c>
      <c r="F2709" s="559">
        <v>500350</v>
      </c>
      <c r="G2709" s="558" t="s">
        <v>4312</v>
      </c>
      <c r="H2709" s="564">
        <v>40015</v>
      </c>
      <c r="I2709" s="563">
        <v>688.35</v>
      </c>
      <c r="J2709" s="563">
        <v>-585</v>
      </c>
      <c r="K2709" s="582">
        <f t="shared" si="123"/>
        <v>103.35000000000002</v>
      </c>
      <c r="L2709" s="563">
        <f t="shared" si="124"/>
        <v>113.68500000000003</v>
      </c>
      <c r="M2709" s="563">
        <f t="shared" si="125"/>
        <v>757.18500000000006</v>
      </c>
      <c r="N2709" s="580"/>
    </row>
    <row r="2710" spans="4:14" x14ac:dyDescent="0.25">
      <c r="D2710" s="559" t="s">
        <v>867</v>
      </c>
      <c r="E2710" s="558" t="s">
        <v>4314</v>
      </c>
      <c r="F2710" s="559">
        <v>501675</v>
      </c>
      <c r="G2710" s="558" t="s">
        <v>4312</v>
      </c>
      <c r="H2710" s="564">
        <v>40015</v>
      </c>
      <c r="I2710" s="563">
        <v>64.349999999999994</v>
      </c>
      <c r="J2710" s="563">
        <v>-64.349999999999994</v>
      </c>
      <c r="K2710" s="582">
        <f t="shared" si="123"/>
        <v>0</v>
      </c>
      <c r="L2710" s="563">
        <f t="shared" si="124"/>
        <v>0</v>
      </c>
      <c r="M2710" s="563">
        <f t="shared" si="125"/>
        <v>70.784999999999997</v>
      </c>
      <c r="N2710" s="580"/>
    </row>
    <row r="2711" spans="4:14" x14ac:dyDescent="0.25">
      <c r="D2711" s="559" t="s">
        <v>867</v>
      </c>
      <c r="E2711" s="558" t="s">
        <v>4315</v>
      </c>
      <c r="F2711" s="559">
        <v>500296</v>
      </c>
      <c r="G2711" s="558" t="s">
        <v>4312</v>
      </c>
      <c r="H2711" s="564">
        <v>40015</v>
      </c>
      <c r="I2711" s="563">
        <v>688.35</v>
      </c>
      <c r="J2711" s="563">
        <v>-585</v>
      </c>
      <c r="K2711" s="582">
        <f t="shared" si="123"/>
        <v>103.35000000000002</v>
      </c>
      <c r="L2711" s="563">
        <f t="shared" si="124"/>
        <v>113.68500000000003</v>
      </c>
      <c r="M2711" s="563">
        <f t="shared" si="125"/>
        <v>757.18500000000006</v>
      </c>
      <c r="N2711" s="580"/>
    </row>
    <row r="2712" spans="4:14" x14ac:dyDescent="0.25">
      <c r="D2712" s="559" t="s">
        <v>867</v>
      </c>
      <c r="E2712" s="558" t="s">
        <v>4316</v>
      </c>
      <c r="F2712" s="559">
        <v>500297</v>
      </c>
      <c r="G2712" s="558" t="s">
        <v>4312</v>
      </c>
      <c r="H2712" s="564">
        <v>40015</v>
      </c>
      <c r="I2712" s="563">
        <v>688.35</v>
      </c>
      <c r="J2712" s="563">
        <v>-585</v>
      </c>
      <c r="K2712" s="582">
        <f t="shared" si="123"/>
        <v>103.35000000000002</v>
      </c>
      <c r="L2712" s="563">
        <f t="shared" si="124"/>
        <v>113.68500000000003</v>
      </c>
      <c r="M2712" s="563">
        <f t="shared" si="125"/>
        <v>757.18500000000006</v>
      </c>
      <c r="N2712" s="580"/>
    </row>
    <row r="2713" spans="4:14" x14ac:dyDescent="0.25">
      <c r="D2713" s="559" t="s">
        <v>867</v>
      </c>
      <c r="E2713" s="558" t="s">
        <v>4317</v>
      </c>
      <c r="F2713" s="559">
        <v>501679</v>
      </c>
      <c r="G2713" s="558" t="s">
        <v>4318</v>
      </c>
      <c r="H2713" s="564">
        <v>40015</v>
      </c>
      <c r="I2713" s="563">
        <v>688.35</v>
      </c>
      <c r="J2713" s="563">
        <v>-585</v>
      </c>
      <c r="K2713" s="582">
        <f t="shared" si="123"/>
        <v>103.35000000000002</v>
      </c>
      <c r="L2713" s="563">
        <f t="shared" si="124"/>
        <v>113.68500000000003</v>
      </c>
      <c r="M2713" s="563">
        <f t="shared" si="125"/>
        <v>757.18500000000006</v>
      </c>
      <c r="N2713" s="580"/>
    </row>
    <row r="2714" spans="4:14" x14ac:dyDescent="0.25">
      <c r="D2714" s="559" t="s">
        <v>867</v>
      </c>
      <c r="E2714" s="558" t="s">
        <v>4319</v>
      </c>
      <c r="F2714" s="559">
        <v>500298</v>
      </c>
      <c r="G2714" s="558" t="s">
        <v>4318</v>
      </c>
      <c r="H2714" s="564">
        <v>40015</v>
      </c>
      <c r="I2714" s="563">
        <v>688.35</v>
      </c>
      <c r="J2714" s="563">
        <v>-585</v>
      </c>
      <c r="K2714" s="582">
        <f t="shared" si="123"/>
        <v>103.35000000000002</v>
      </c>
      <c r="L2714" s="563">
        <f t="shared" si="124"/>
        <v>113.68500000000003</v>
      </c>
      <c r="M2714" s="563">
        <f t="shared" si="125"/>
        <v>757.18500000000006</v>
      </c>
      <c r="N2714" s="580"/>
    </row>
    <row r="2715" spans="4:14" x14ac:dyDescent="0.25">
      <c r="D2715" s="559" t="s">
        <v>867</v>
      </c>
      <c r="E2715" s="558" t="s">
        <v>4320</v>
      </c>
      <c r="F2715" s="559">
        <v>501682</v>
      </c>
      <c r="G2715" s="558" t="s">
        <v>4318</v>
      </c>
      <c r="H2715" s="564">
        <v>40015</v>
      </c>
      <c r="I2715" s="563">
        <v>298.35000000000002</v>
      </c>
      <c r="J2715" s="563">
        <v>-298.35000000000002</v>
      </c>
      <c r="K2715" s="582">
        <f t="shared" si="123"/>
        <v>0</v>
      </c>
      <c r="L2715" s="563">
        <f t="shared" si="124"/>
        <v>0</v>
      </c>
      <c r="M2715" s="563">
        <f t="shared" si="125"/>
        <v>328.18500000000006</v>
      </c>
      <c r="N2715" s="580"/>
    </row>
    <row r="2716" spans="4:14" x14ac:dyDescent="0.25">
      <c r="D2716" s="559" t="s">
        <v>867</v>
      </c>
      <c r="E2716" s="558" t="s">
        <v>4321</v>
      </c>
      <c r="F2716" s="559">
        <v>501684</v>
      </c>
      <c r="G2716" s="558" t="s">
        <v>4318</v>
      </c>
      <c r="H2716" s="564">
        <v>40015</v>
      </c>
      <c r="I2716" s="563">
        <v>688.35</v>
      </c>
      <c r="J2716" s="563">
        <v>-585</v>
      </c>
      <c r="K2716" s="582">
        <f t="shared" si="123"/>
        <v>103.35000000000002</v>
      </c>
      <c r="L2716" s="563">
        <f t="shared" si="124"/>
        <v>113.68500000000003</v>
      </c>
      <c r="M2716" s="563">
        <f t="shared" si="125"/>
        <v>757.18500000000006</v>
      </c>
      <c r="N2716" s="580"/>
    </row>
    <row r="2717" spans="4:14" x14ac:dyDescent="0.25">
      <c r="D2717" s="559" t="s">
        <v>867</v>
      </c>
      <c r="E2717" s="558" t="s">
        <v>4322</v>
      </c>
      <c r="F2717" s="559">
        <v>502295</v>
      </c>
      <c r="G2717" s="558" t="s">
        <v>4318</v>
      </c>
      <c r="H2717" s="564">
        <v>40015</v>
      </c>
      <c r="I2717" s="563">
        <v>337.35</v>
      </c>
      <c r="J2717" s="563">
        <v>-337.35</v>
      </c>
      <c r="K2717" s="582">
        <f t="shared" si="123"/>
        <v>0</v>
      </c>
      <c r="L2717" s="563">
        <f t="shared" si="124"/>
        <v>0</v>
      </c>
      <c r="M2717" s="563">
        <f t="shared" si="125"/>
        <v>371.08500000000004</v>
      </c>
      <c r="N2717" s="580"/>
    </row>
    <row r="2718" spans="4:14" x14ac:dyDescent="0.25">
      <c r="D2718" s="559" t="s">
        <v>867</v>
      </c>
      <c r="E2718" s="558" t="s">
        <v>4323</v>
      </c>
      <c r="F2718" s="559">
        <v>501689</v>
      </c>
      <c r="G2718" s="558" t="s">
        <v>4324</v>
      </c>
      <c r="H2718" s="564">
        <v>40015</v>
      </c>
      <c r="I2718" s="563">
        <v>688.45</v>
      </c>
      <c r="J2718" s="563">
        <v>-585</v>
      </c>
      <c r="K2718" s="582">
        <f t="shared" si="123"/>
        <v>103.45000000000005</v>
      </c>
      <c r="L2718" s="563">
        <f t="shared" si="124"/>
        <v>113.79500000000006</v>
      </c>
      <c r="M2718" s="563">
        <f t="shared" si="125"/>
        <v>757.29500000000007</v>
      </c>
      <c r="N2718" s="580"/>
    </row>
    <row r="2719" spans="4:14" x14ac:dyDescent="0.25">
      <c r="D2719" s="559" t="s">
        <v>867</v>
      </c>
      <c r="E2719" s="558" t="s">
        <v>4325</v>
      </c>
      <c r="F2719" s="559">
        <v>501690</v>
      </c>
      <c r="G2719" s="558" t="s">
        <v>4324</v>
      </c>
      <c r="H2719" s="564">
        <v>40015</v>
      </c>
      <c r="I2719" s="563">
        <v>64.55</v>
      </c>
      <c r="J2719" s="563">
        <v>-64.55</v>
      </c>
      <c r="K2719" s="582">
        <f t="shared" si="123"/>
        <v>0</v>
      </c>
      <c r="L2719" s="563">
        <f t="shared" si="124"/>
        <v>0</v>
      </c>
      <c r="M2719" s="563">
        <f t="shared" si="125"/>
        <v>71.00500000000001</v>
      </c>
      <c r="N2719" s="580"/>
    </row>
    <row r="2720" spans="4:14" x14ac:dyDescent="0.25">
      <c r="D2720" s="559" t="s">
        <v>867</v>
      </c>
      <c r="E2720" s="558" t="s">
        <v>4326</v>
      </c>
      <c r="F2720" s="559">
        <v>501691</v>
      </c>
      <c r="G2720" s="558" t="s">
        <v>4324</v>
      </c>
      <c r="H2720" s="564">
        <v>40015</v>
      </c>
      <c r="I2720" s="563">
        <v>688.35</v>
      </c>
      <c r="J2720" s="563">
        <v>-585</v>
      </c>
      <c r="K2720" s="582">
        <f t="shared" si="123"/>
        <v>103.35000000000002</v>
      </c>
      <c r="L2720" s="563">
        <f t="shared" si="124"/>
        <v>113.68500000000003</v>
      </c>
      <c r="M2720" s="563">
        <f t="shared" si="125"/>
        <v>757.18500000000006</v>
      </c>
      <c r="N2720" s="580"/>
    </row>
    <row r="2721" spans="4:14" x14ac:dyDescent="0.25">
      <c r="D2721" s="559" t="s">
        <v>867</v>
      </c>
      <c r="E2721" s="558" t="s">
        <v>4327</v>
      </c>
      <c r="F2721" s="559">
        <v>500299</v>
      </c>
      <c r="G2721" s="558" t="s">
        <v>4324</v>
      </c>
      <c r="H2721" s="564">
        <v>40015</v>
      </c>
      <c r="I2721" s="563">
        <v>688.35</v>
      </c>
      <c r="J2721" s="563">
        <v>-585</v>
      </c>
      <c r="K2721" s="582">
        <f t="shared" si="123"/>
        <v>103.35000000000002</v>
      </c>
      <c r="L2721" s="563">
        <f t="shared" si="124"/>
        <v>113.68500000000003</v>
      </c>
      <c r="M2721" s="563">
        <f t="shared" si="125"/>
        <v>757.18500000000006</v>
      </c>
      <c r="N2721" s="580"/>
    </row>
    <row r="2722" spans="4:14" x14ac:dyDescent="0.25">
      <c r="D2722" s="559" t="s">
        <v>867</v>
      </c>
      <c r="E2722" s="558" t="s">
        <v>4328</v>
      </c>
      <c r="F2722" s="559">
        <v>501692</v>
      </c>
      <c r="G2722" s="558" t="s">
        <v>4324</v>
      </c>
      <c r="H2722" s="564">
        <v>40015</v>
      </c>
      <c r="I2722" s="563">
        <v>688.35</v>
      </c>
      <c r="J2722" s="563">
        <v>-585</v>
      </c>
      <c r="K2722" s="582">
        <f t="shared" si="123"/>
        <v>103.35000000000002</v>
      </c>
      <c r="L2722" s="563">
        <f t="shared" si="124"/>
        <v>113.68500000000003</v>
      </c>
      <c r="M2722" s="563">
        <f t="shared" si="125"/>
        <v>757.18500000000006</v>
      </c>
      <c r="N2722" s="580"/>
    </row>
    <row r="2723" spans="4:14" x14ac:dyDescent="0.25">
      <c r="D2723" s="559" t="s">
        <v>867</v>
      </c>
      <c r="E2723" s="558" t="s">
        <v>4329</v>
      </c>
      <c r="F2723" s="559">
        <v>500300</v>
      </c>
      <c r="G2723" s="558" t="s">
        <v>4330</v>
      </c>
      <c r="H2723" s="564">
        <v>40015</v>
      </c>
      <c r="I2723" s="563">
        <v>64.349999999999994</v>
      </c>
      <c r="J2723" s="563">
        <v>-64.349999999999994</v>
      </c>
      <c r="K2723" s="582">
        <f t="shared" si="123"/>
        <v>0</v>
      </c>
      <c r="L2723" s="563">
        <f t="shared" si="124"/>
        <v>0</v>
      </c>
      <c r="M2723" s="563">
        <f t="shared" si="125"/>
        <v>70.784999999999997</v>
      </c>
      <c r="N2723" s="580"/>
    </row>
    <row r="2724" spans="4:14" x14ac:dyDescent="0.25">
      <c r="D2724" s="559" t="s">
        <v>867</v>
      </c>
      <c r="E2724" s="558" t="s">
        <v>4331</v>
      </c>
      <c r="F2724" s="559">
        <v>500301</v>
      </c>
      <c r="G2724" s="558" t="s">
        <v>4330</v>
      </c>
      <c r="H2724" s="564">
        <v>40015</v>
      </c>
      <c r="I2724" s="563">
        <v>64.349999999999994</v>
      </c>
      <c r="J2724" s="563">
        <v>-64.349999999999994</v>
      </c>
      <c r="K2724" s="582">
        <f t="shared" si="123"/>
        <v>0</v>
      </c>
      <c r="L2724" s="563">
        <f t="shared" si="124"/>
        <v>0</v>
      </c>
      <c r="M2724" s="563">
        <f t="shared" si="125"/>
        <v>70.784999999999997</v>
      </c>
      <c r="N2724" s="580"/>
    </row>
    <row r="2725" spans="4:14" x14ac:dyDescent="0.25">
      <c r="D2725" s="559" t="s">
        <v>867</v>
      </c>
      <c r="E2725" s="558" t="s">
        <v>4332</v>
      </c>
      <c r="F2725" s="559">
        <v>500302</v>
      </c>
      <c r="G2725" s="558" t="s">
        <v>4330</v>
      </c>
      <c r="H2725" s="564">
        <v>40015</v>
      </c>
      <c r="I2725" s="563">
        <v>688.35</v>
      </c>
      <c r="J2725" s="563">
        <v>-585</v>
      </c>
      <c r="K2725" s="582">
        <f t="shared" si="123"/>
        <v>103.35000000000002</v>
      </c>
      <c r="L2725" s="563">
        <f t="shared" si="124"/>
        <v>113.68500000000003</v>
      </c>
      <c r="M2725" s="563">
        <f t="shared" si="125"/>
        <v>757.18500000000006</v>
      </c>
      <c r="N2725" s="580"/>
    </row>
    <row r="2726" spans="4:14" x14ac:dyDescent="0.25">
      <c r="D2726" s="559" t="s">
        <v>867</v>
      </c>
      <c r="E2726" s="558" t="s">
        <v>4333</v>
      </c>
      <c r="F2726" s="559">
        <v>501697</v>
      </c>
      <c r="G2726" s="558" t="s">
        <v>4330</v>
      </c>
      <c r="H2726" s="564">
        <v>40015</v>
      </c>
      <c r="I2726" s="563">
        <v>25.35</v>
      </c>
      <c r="J2726" s="563">
        <v>-25.35</v>
      </c>
      <c r="K2726" s="582">
        <f t="shared" si="123"/>
        <v>0</v>
      </c>
      <c r="L2726" s="563">
        <f t="shared" si="124"/>
        <v>0</v>
      </c>
      <c r="M2726" s="563">
        <f t="shared" si="125"/>
        <v>27.885000000000005</v>
      </c>
      <c r="N2726" s="580"/>
    </row>
    <row r="2727" spans="4:14" x14ac:dyDescent="0.25">
      <c r="D2727" s="559" t="s">
        <v>867</v>
      </c>
      <c r="E2727" s="558" t="s">
        <v>4334</v>
      </c>
      <c r="F2727" s="559">
        <v>500303</v>
      </c>
      <c r="G2727" s="558" t="s">
        <v>4330</v>
      </c>
      <c r="H2727" s="564">
        <v>40015</v>
      </c>
      <c r="I2727" s="563">
        <v>25.35</v>
      </c>
      <c r="J2727" s="563">
        <v>-25.35</v>
      </c>
      <c r="K2727" s="582">
        <f t="shared" si="123"/>
        <v>0</v>
      </c>
      <c r="L2727" s="563">
        <f t="shared" si="124"/>
        <v>0</v>
      </c>
      <c r="M2727" s="563">
        <f t="shared" si="125"/>
        <v>27.885000000000005</v>
      </c>
      <c r="N2727" s="580"/>
    </row>
    <row r="2728" spans="4:14" x14ac:dyDescent="0.25">
      <c r="D2728" s="559" t="s">
        <v>867</v>
      </c>
      <c r="E2728" s="558" t="s">
        <v>4335</v>
      </c>
      <c r="F2728" s="559">
        <v>501698</v>
      </c>
      <c r="G2728" s="558" t="s">
        <v>4336</v>
      </c>
      <c r="H2728" s="564">
        <v>40015</v>
      </c>
      <c r="I2728" s="563">
        <v>25.35</v>
      </c>
      <c r="J2728" s="563">
        <v>-25.35</v>
      </c>
      <c r="K2728" s="582">
        <f t="shared" si="123"/>
        <v>0</v>
      </c>
      <c r="L2728" s="563">
        <f t="shared" si="124"/>
        <v>0</v>
      </c>
      <c r="M2728" s="563">
        <f t="shared" si="125"/>
        <v>27.885000000000005</v>
      </c>
      <c r="N2728" s="580"/>
    </row>
    <row r="2729" spans="4:14" x14ac:dyDescent="0.25">
      <c r="D2729" s="559" t="s">
        <v>867</v>
      </c>
      <c r="E2729" s="558" t="s">
        <v>4337</v>
      </c>
      <c r="F2729" s="559">
        <v>501702</v>
      </c>
      <c r="G2729" s="558" t="s">
        <v>4336</v>
      </c>
      <c r="H2729" s="564">
        <v>40015</v>
      </c>
      <c r="I2729" s="563">
        <v>688.35</v>
      </c>
      <c r="J2729" s="563">
        <v>-585</v>
      </c>
      <c r="K2729" s="582">
        <f t="shared" ref="K2729:K2792" si="126">+I2729+J2729</f>
        <v>103.35000000000002</v>
      </c>
      <c r="L2729" s="563">
        <f t="shared" ref="L2729:L2792" si="127">+K2729*1.1</f>
        <v>113.68500000000003</v>
      </c>
      <c r="M2729" s="563">
        <f t="shared" ref="M2729:M2792" si="128">+I2729*1.1</f>
        <v>757.18500000000006</v>
      </c>
      <c r="N2729" s="580"/>
    </row>
    <row r="2730" spans="4:14" x14ac:dyDescent="0.25">
      <c r="D2730" s="559" t="s">
        <v>867</v>
      </c>
      <c r="E2730" s="558" t="s">
        <v>4338</v>
      </c>
      <c r="F2730" s="559">
        <v>500304</v>
      </c>
      <c r="G2730" s="558" t="s">
        <v>4336</v>
      </c>
      <c r="H2730" s="564">
        <v>40015</v>
      </c>
      <c r="I2730" s="563">
        <v>220.35</v>
      </c>
      <c r="J2730" s="563">
        <v>-220.35</v>
      </c>
      <c r="K2730" s="582">
        <f t="shared" si="126"/>
        <v>0</v>
      </c>
      <c r="L2730" s="563">
        <f t="shared" si="127"/>
        <v>0</v>
      </c>
      <c r="M2730" s="563">
        <f t="shared" si="128"/>
        <v>242.38500000000002</v>
      </c>
      <c r="N2730" s="580"/>
    </row>
    <row r="2731" spans="4:14" x14ac:dyDescent="0.25">
      <c r="D2731" s="559" t="s">
        <v>867</v>
      </c>
      <c r="E2731" s="558" t="s">
        <v>4339</v>
      </c>
      <c r="F2731" s="559">
        <v>500305</v>
      </c>
      <c r="G2731" s="558" t="s">
        <v>4336</v>
      </c>
      <c r="H2731" s="564">
        <v>40015</v>
      </c>
      <c r="I2731" s="563">
        <v>688.35</v>
      </c>
      <c r="J2731" s="563">
        <v>-585</v>
      </c>
      <c r="K2731" s="582">
        <f t="shared" si="126"/>
        <v>103.35000000000002</v>
      </c>
      <c r="L2731" s="563">
        <f t="shared" si="127"/>
        <v>113.68500000000003</v>
      </c>
      <c r="M2731" s="563">
        <f t="shared" si="128"/>
        <v>757.18500000000006</v>
      </c>
      <c r="N2731" s="580"/>
    </row>
    <row r="2732" spans="4:14" x14ac:dyDescent="0.25">
      <c r="D2732" s="559" t="s">
        <v>867</v>
      </c>
      <c r="E2732" s="558" t="s">
        <v>4340</v>
      </c>
      <c r="F2732" s="559">
        <v>501704</v>
      </c>
      <c r="G2732" s="558" t="s">
        <v>4336</v>
      </c>
      <c r="H2732" s="564">
        <v>40015</v>
      </c>
      <c r="I2732" s="563">
        <v>688.35</v>
      </c>
      <c r="J2732" s="563">
        <v>-585</v>
      </c>
      <c r="K2732" s="582">
        <f t="shared" si="126"/>
        <v>103.35000000000002</v>
      </c>
      <c r="L2732" s="563">
        <f t="shared" si="127"/>
        <v>113.68500000000003</v>
      </c>
      <c r="M2732" s="563">
        <f t="shared" si="128"/>
        <v>757.18500000000006</v>
      </c>
      <c r="N2732" s="580"/>
    </row>
    <row r="2733" spans="4:14" x14ac:dyDescent="0.25">
      <c r="D2733" s="559" t="s">
        <v>867</v>
      </c>
      <c r="E2733" s="558" t="s">
        <v>4341</v>
      </c>
      <c r="F2733" s="559">
        <v>500306</v>
      </c>
      <c r="G2733" s="558" t="s">
        <v>4342</v>
      </c>
      <c r="H2733" s="564">
        <v>40015</v>
      </c>
      <c r="I2733" s="563">
        <v>688.35</v>
      </c>
      <c r="J2733" s="563">
        <v>-585</v>
      </c>
      <c r="K2733" s="582">
        <f t="shared" si="126"/>
        <v>103.35000000000002</v>
      </c>
      <c r="L2733" s="563">
        <f t="shared" si="127"/>
        <v>113.68500000000003</v>
      </c>
      <c r="M2733" s="563">
        <f t="shared" si="128"/>
        <v>757.18500000000006</v>
      </c>
      <c r="N2733" s="580"/>
    </row>
    <row r="2734" spans="4:14" x14ac:dyDescent="0.25">
      <c r="D2734" s="559" t="s">
        <v>867</v>
      </c>
      <c r="E2734" s="558" t="s">
        <v>4343</v>
      </c>
      <c r="F2734" s="559">
        <v>501711</v>
      </c>
      <c r="G2734" s="558" t="s">
        <v>4342</v>
      </c>
      <c r="H2734" s="564">
        <v>40015</v>
      </c>
      <c r="I2734" s="563">
        <v>64.349999999999994</v>
      </c>
      <c r="J2734" s="563">
        <v>-64.349999999999994</v>
      </c>
      <c r="K2734" s="582">
        <f t="shared" si="126"/>
        <v>0</v>
      </c>
      <c r="L2734" s="563">
        <f t="shared" si="127"/>
        <v>0</v>
      </c>
      <c r="M2734" s="563">
        <f t="shared" si="128"/>
        <v>70.784999999999997</v>
      </c>
      <c r="N2734" s="580"/>
    </row>
    <row r="2735" spans="4:14" x14ac:dyDescent="0.25">
      <c r="D2735" s="559" t="s">
        <v>867</v>
      </c>
      <c r="E2735" s="558" t="s">
        <v>4344</v>
      </c>
      <c r="F2735" s="559">
        <v>500307</v>
      </c>
      <c r="G2735" s="558" t="s">
        <v>4342</v>
      </c>
      <c r="H2735" s="564">
        <v>40015</v>
      </c>
      <c r="I2735" s="563">
        <v>688.35</v>
      </c>
      <c r="J2735" s="563">
        <v>-585</v>
      </c>
      <c r="K2735" s="582">
        <f t="shared" si="126"/>
        <v>103.35000000000002</v>
      </c>
      <c r="L2735" s="563">
        <f t="shared" si="127"/>
        <v>113.68500000000003</v>
      </c>
      <c r="M2735" s="563">
        <f t="shared" si="128"/>
        <v>757.18500000000006</v>
      </c>
      <c r="N2735" s="580"/>
    </row>
    <row r="2736" spans="4:14" x14ac:dyDescent="0.25">
      <c r="D2736" s="559" t="s">
        <v>867</v>
      </c>
      <c r="E2736" s="558" t="s">
        <v>4345</v>
      </c>
      <c r="F2736" s="559">
        <v>501713</v>
      </c>
      <c r="G2736" s="558" t="s">
        <v>4342</v>
      </c>
      <c r="H2736" s="564">
        <v>40015</v>
      </c>
      <c r="I2736" s="563">
        <v>727.35</v>
      </c>
      <c r="J2736" s="563">
        <v>-585</v>
      </c>
      <c r="K2736" s="582">
        <f t="shared" si="126"/>
        <v>142.35000000000002</v>
      </c>
      <c r="L2736" s="563">
        <f t="shared" si="127"/>
        <v>156.58500000000004</v>
      </c>
      <c r="M2736" s="563">
        <f t="shared" si="128"/>
        <v>800.08500000000004</v>
      </c>
      <c r="N2736" s="580"/>
    </row>
    <row r="2737" spans="4:14" x14ac:dyDescent="0.25">
      <c r="D2737" s="559" t="s">
        <v>867</v>
      </c>
      <c r="E2737" s="558" t="s">
        <v>4346</v>
      </c>
      <c r="F2737" s="559">
        <v>500308</v>
      </c>
      <c r="G2737" s="558" t="s">
        <v>4342</v>
      </c>
      <c r="H2737" s="564">
        <v>40015</v>
      </c>
      <c r="I2737" s="563">
        <v>688.35</v>
      </c>
      <c r="J2737" s="563">
        <v>-585</v>
      </c>
      <c r="K2737" s="582">
        <f t="shared" si="126"/>
        <v>103.35000000000002</v>
      </c>
      <c r="L2737" s="563">
        <f t="shared" si="127"/>
        <v>113.68500000000003</v>
      </c>
      <c r="M2737" s="563">
        <f t="shared" si="128"/>
        <v>757.18500000000006</v>
      </c>
      <c r="N2737" s="580"/>
    </row>
    <row r="2738" spans="4:14" x14ac:dyDescent="0.25">
      <c r="D2738" s="559" t="s">
        <v>867</v>
      </c>
      <c r="E2738" s="558" t="s">
        <v>4347</v>
      </c>
      <c r="F2738" s="559">
        <v>500309</v>
      </c>
      <c r="G2738" s="558" t="s">
        <v>4348</v>
      </c>
      <c r="H2738" s="564">
        <v>40015</v>
      </c>
      <c r="I2738" s="563">
        <v>493.35</v>
      </c>
      <c r="J2738" s="563">
        <v>-493.35</v>
      </c>
      <c r="K2738" s="582">
        <f t="shared" si="126"/>
        <v>0</v>
      </c>
      <c r="L2738" s="563">
        <f t="shared" si="127"/>
        <v>0</v>
      </c>
      <c r="M2738" s="563">
        <f t="shared" si="128"/>
        <v>542.68500000000006</v>
      </c>
      <c r="N2738" s="580"/>
    </row>
    <row r="2739" spans="4:14" x14ac:dyDescent="0.25">
      <c r="D2739" s="559" t="s">
        <v>867</v>
      </c>
      <c r="E2739" s="558" t="s">
        <v>4349</v>
      </c>
      <c r="F2739" s="559">
        <v>500310</v>
      </c>
      <c r="G2739" s="558" t="s">
        <v>4348</v>
      </c>
      <c r="H2739" s="564">
        <v>40015</v>
      </c>
      <c r="I2739" s="563">
        <v>493.35</v>
      </c>
      <c r="J2739" s="563">
        <v>-493.35</v>
      </c>
      <c r="K2739" s="582">
        <f t="shared" si="126"/>
        <v>0</v>
      </c>
      <c r="L2739" s="563">
        <f t="shared" si="127"/>
        <v>0</v>
      </c>
      <c r="M2739" s="563">
        <f t="shared" si="128"/>
        <v>542.68500000000006</v>
      </c>
      <c r="N2739" s="580"/>
    </row>
    <row r="2740" spans="4:14" x14ac:dyDescent="0.25">
      <c r="D2740" s="559" t="s">
        <v>867</v>
      </c>
      <c r="E2740" s="558" t="s">
        <v>4350</v>
      </c>
      <c r="F2740" s="559">
        <v>500311</v>
      </c>
      <c r="G2740" s="558" t="s">
        <v>4348</v>
      </c>
      <c r="H2740" s="564">
        <v>40015</v>
      </c>
      <c r="I2740" s="563">
        <v>337.35</v>
      </c>
      <c r="J2740" s="563">
        <v>-337.35</v>
      </c>
      <c r="K2740" s="582">
        <f t="shared" si="126"/>
        <v>0</v>
      </c>
      <c r="L2740" s="563">
        <f t="shared" si="127"/>
        <v>0</v>
      </c>
      <c r="M2740" s="563">
        <f t="shared" si="128"/>
        <v>371.08500000000004</v>
      </c>
      <c r="N2740" s="580"/>
    </row>
    <row r="2741" spans="4:14" x14ac:dyDescent="0.25">
      <c r="D2741" s="559" t="s">
        <v>867</v>
      </c>
      <c r="E2741" s="558" t="s">
        <v>4351</v>
      </c>
      <c r="F2741" s="559">
        <v>500312</v>
      </c>
      <c r="G2741" s="558" t="s">
        <v>4348</v>
      </c>
      <c r="H2741" s="564">
        <v>40015</v>
      </c>
      <c r="I2741" s="563">
        <v>493.35</v>
      </c>
      <c r="J2741" s="563">
        <v>-493.35</v>
      </c>
      <c r="K2741" s="582">
        <f t="shared" si="126"/>
        <v>0</v>
      </c>
      <c r="L2741" s="563">
        <f t="shared" si="127"/>
        <v>0</v>
      </c>
      <c r="M2741" s="563">
        <f t="shared" si="128"/>
        <v>542.68500000000006</v>
      </c>
      <c r="N2741" s="580"/>
    </row>
    <row r="2742" spans="4:14" x14ac:dyDescent="0.25">
      <c r="D2742" s="559" t="s">
        <v>867</v>
      </c>
      <c r="E2742" s="558" t="s">
        <v>4352</v>
      </c>
      <c r="F2742" s="559">
        <v>500313</v>
      </c>
      <c r="G2742" s="558" t="s">
        <v>4348</v>
      </c>
      <c r="H2742" s="564">
        <v>40015</v>
      </c>
      <c r="I2742" s="563">
        <v>688.35</v>
      </c>
      <c r="J2742" s="563">
        <v>-585</v>
      </c>
      <c r="K2742" s="582">
        <f t="shared" si="126"/>
        <v>103.35000000000002</v>
      </c>
      <c r="L2742" s="563">
        <f t="shared" si="127"/>
        <v>113.68500000000003</v>
      </c>
      <c r="M2742" s="563">
        <f t="shared" si="128"/>
        <v>757.18500000000006</v>
      </c>
      <c r="N2742" s="580"/>
    </row>
    <row r="2743" spans="4:14" x14ac:dyDescent="0.25">
      <c r="D2743" s="559" t="s">
        <v>867</v>
      </c>
      <c r="E2743" s="558" t="s">
        <v>4353</v>
      </c>
      <c r="F2743" s="559">
        <v>501716</v>
      </c>
      <c r="G2743" s="558" t="s">
        <v>4354</v>
      </c>
      <c r="H2743" s="564">
        <v>40015</v>
      </c>
      <c r="I2743" s="563">
        <v>64.349999999999994</v>
      </c>
      <c r="J2743" s="563">
        <v>-64.349999999999994</v>
      </c>
      <c r="K2743" s="582">
        <f t="shared" si="126"/>
        <v>0</v>
      </c>
      <c r="L2743" s="563">
        <f t="shared" si="127"/>
        <v>0</v>
      </c>
      <c r="M2743" s="563">
        <f t="shared" si="128"/>
        <v>70.784999999999997</v>
      </c>
      <c r="N2743" s="580"/>
    </row>
    <row r="2744" spans="4:14" x14ac:dyDescent="0.25">
      <c r="D2744" s="559" t="s">
        <v>867</v>
      </c>
      <c r="E2744" s="558" t="s">
        <v>4355</v>
      </c>
      <c r="F2744" s="559">
        <v>502254</v>
      </c>
      <c r="G2744" s="558" t="s">
        <v>4354</v>
      </c>
      <c r="H2744" s="564">
        <v>40015</v>
      </c>
      <c r="I2744" s="563">
        <v>64.349999999999994</v>
      </c>
      <c r="J2744" s="563">
        <v>-64.349999999999994</v>
      </c>
      <c r="K2744" s="582">
        <f t="shared" si="126"/>
        <v>0</v>
      </c>
      <c r="L2744" s="563">
        <f t="shared" si="127"/>
        <v>0</v>
      </c>
      <c r="M2744" s="563">
        <f t="shared" si="128"/>
        <v>70.784999999999997</v>
      </c>
      <c r="N2744" s="580"/>
    </row>
    <row r="2745" spans="4:14" x14ac:dyDescent="0.25">
      <c r="D2745" s="559" t="s">
        <v>867</v>
      </c>
      <c r="E2745" s="558" t="s">
        <v>4356</v>
      </c>
      <c r="F2745" s="559">
        <v>500314</v>
      </c>
      <c r="G2745" s="558" t="s">
        <v>4354</v>
      </c>
      <c r="H2745" s="564">
        <v>40015</v>
      </c>
      <c r="I2745" s="563">
        <v>688.35</v>
      </c>
      <c r="J2745" s="563">
        <v>-585</v>
      </c>
      <c r="K2745" s="582">
        <f t="shared" si="126"/>
        <v>103.35000000000002</v>
      </c>
      <c r="L2745" s="563">
        <f t="shared" si="127"/>
        <v>113.68500000000003</v>
      </c>
      <c r="M2745" s="563">
        <f t="shared" si="128"/>
        <v>757.18500000000006</v>
      </c>
      <c r="N2745" s="580"/>
    </row>
    <row r="2746" spans="4:14" x14ac:dyDescent="0.25">
      <c r="D2746" s="559" t="s">
        <v>867</v>
      </c>
      <c r="E2746" s="558" t="s">
        <v>4357</v>
      </c>
      <c r="F2746" s="559">
        <v>500315</v>
      </c>
      <c r="G2746" s="558" t="s">
        <v>4354</v>
      </c>
      <c r="H2746" s="564">
        <v>40015</v>
      </c>
      <c r="I2746" s="563">
        <v>727.35</v>
      </c>
      <c r="J2746" s="563">
        <v>-585</v>
      </c>
      <c r="K2746" s="582">
        <f t="shared" si="126"/>
        <v>142.35000000000002</v>
      </c>
      <c r="L2746" s="563">
        <f t="shared" si="127"/>
        <v>156.58500000000004</v>
      </c>
      <c r="M2746" s="563">
        <f t="shared" si="128"/>
        <v>800.08500000000004</v>
      </c>
      <c r="N2746" s="580"/>
    </row>
    <row r="2747" spans="4:14" x14ac:dyDescent="0.25">
      <c r="D2747" s="559" t="s">
        <v>867</v>
      </c>
      <c r="E2747" s="558" t="s">
        <v>4358</v>
      </c>
      <c r="F2747" s="559">
        <v>500316</v>
      </c>
      <c r="G2747" s="558" t="s">
        <v>4354</v>
      </c>
      <c r="H2747" s="564">
        <v>40015</v>
      </c>
      <c r="I2747" s="563">
        <v>688.35</v>
      </c>
      <c r="J2747" s="563">
        <v>-585</v>
      </c>
      <c r="K2747" s="582">
        <f t="shared" si="126"/>
        <v>103.35000000000002</v>
      </c>
      <c r="L2747" s="563">
        <f t="shared" si="127"/>
        <v>113.68500000000003</v>
      </c>
      <c r="M2747" s="563">
        <f t="shared" si="128"/>
        <v>757.18500000000006</v>
      </c>
      <c r="N2747" s="580"/>
    </row>
    <row r="2748" spans="4:14" x14ac:dyDescent="0.25">
      <c r="D2748" s="559" t="s">
        <v>867</v>
      </c>
      <c r="E2748" s="558" t="s">
        <v>1461</v>
      </c>
      <c r="F2748" s="559">
        <v>501720</v>
      </c>
      <c r="G2748" s="558" t="s">
        <v>1462</v>
      </c>
      <c r="H2748" s="564">
        <v>40015</v>
      </c>
      <c r="I2748" s="563">
        <v>493.35</v>
      </c>
      <c r="J2748" s="563">
        <v>-493.35</v>
      </c>
      <c r="K2748" s="582">
        <f t="shared" si="126"/>
        <v>0</v>
      </c>
      <c r="L2748" s="563">
        <f t="shared" si="127"/>
        <v>0</v>
      </c>
      <c r="M2748" s="563">
        <f t="shared" si="128"/>
        <v>542.68500000000006</v>
      </c>
      <c r="N2748" s="580"/>
    </row>
    <row r="2749" spans="4:14" x14ac:dyDescent="0.25">
      <c r="D2749" s="559" t="s">
        <v>867</v>
      </c>
      <c r="E2749" s="558" t="s">
        <v>1463</v>
      </c>
      <c r="F2749" s="559">
        <v>501721</v>
      </c>
      <c r="G2749" s="558" t="s">
        <v>1462</v>
      </c>
      <c r="H2749" s="564">
        <v>40015</v>
      </c>
      <c r="I2749" s="563">
        <v>688.35</v>
      </c>
      <c r="J2749" s="563">
        <v>-585</v>
      </c>
      <c r="K2749" s="582">
        <f t="shared" si="126"/>
        <v>103.35000000000002</v>
      </c>
      <c r="L2749" s="563">
        <f t="shared" si="127"/>
        <v>113.68500000000003</v>
      </c>
      <c r="M2749" s="563">
        <f t="shared" si="128"/>
        <v>757.18500000000006</v>
      </c>
      <c r="N2749" s="580"/>
    </row>
    <row r="2750" spans="4:14" x14ac:dyDescent="0.25">
      <c r="D2750" s="559" t="s">
        <v>867</v>
      </c>
      <c r="E2750" s="558" t="s">
        <v>1464</v>
      </c>
      <c r="F2750" s="559">
        <v>500317</v>
      </c>
      <c r="G2750" s="558" t="s">
        <v>1462</v>
      </c>
      <c r="H2750" s="564">
        <v>40015</v>
      </c>
      <c r="I2750" s="563">
        <v>688.35</v>
      </c>
      <c r="J2750" s="563">
        <v>-585</v>
      </c>
      <c r="K2750" s="582">
        <f t="shared" si="126"/>
        <v>103.35000000000002</v>
      </c>
      <c r="L2750" s="563">
        <f t="shared" si="127"/>
        <v>113.68500000000003</v>
      </c>
      <c r="M2750" s="563">
        <f t="shared" si="128"/>
        <v>757.18500000000006</v>
      </c>
      <c r="N2750" s="580"/>
    </row>
    <row r="2751" spans="4:14" x14ac:dyDescent="0.25">
      <c r="D2751" s="559" t="s">
        <v>867</v>
      </c>
      <c r="E2751" s="558" t="s">
        <v>1465</v>
      </c>
      <c r="F2751" s="559">
        <v>501726</v>
      </c>
      <c r="G2751" s="558" t="s">
        <v>1462</v>
      </c>
      <c r="H2751" s="564">
        <v>40015</v>
      </c>
      <c r="I2751" s="563">
        <v>220.35</v>
      </c>
      <c r="J2751" s="563">
        <v>-220.35</v>
      </c>
      <c r="K2751" s="582">
        <f t="shared" si="126"/>
        <v>0</v>
      </c>
      <c r="L2751" s="563">
        <f t="shared" si="127"/>
        <v>0</v>
      </c>
      <c r="M2751" s="563">
        <f t="shared" si="128"/>
        <v>242.38500000000002</v>
      </c>
      <c r="N2751" s="580"/>
    </row>
    <row r="2752" spans="4:14" x14ac:dyDescent="0.25">
      <c r="D2752" s="559" t="s">
        <v>867</v>
      </c>
      <c r="E2752" s="558" t="s">
        <v>1466</v>
      </c>
      <c r="F2752" s="559">
        <v>501728</v>
      </c>
      <c r="G2752" s="558" t="s">
        <v>1462</v>
      </c>
      <c r="H2752" s="564">
        <v>40015</v>
      </c>
      <c r="I2752" s="563">
        <v>220.35</v>
      </c>
      <c r="J2752" s="563">
        <v>-220.35</v>
      </c>
      <c r="K2752" s="582">
        <f t="shared" si="126"/>
        <v>0</v>
      </c>
      <c r="L2752" s="563">
        <f t="shared" si="127"/>
        <v>0</v>
      </c>
      <c r="M2752" s="563">
        <f t="shared" si="128"/>
        <v>242.38500000000002</v>
      </c>
      <c r="N2752" s="580"/>
    </row>
    <row r="2753" spans="4:14" x14ac:dyDescent="0.25">
      <c r="D2753" s="559" t="s">
        <v>867</v>
      </c>
      <c r="E2753" s="558" t="s">
        <v>1467</v>
      </c>
      <c r="F2753" s="559">
        <v>501019</v>
      </c>
      <c r="G2753" s="558" t="s">
        <v>1468</v>
      </c>
      <c r="H2753" s="564">
        <v>40015</v>
      </c>
      <c r="I2753" s="563">
        <v>688.35</v>
      </c>
      <c r="J2753" s="563">
        <v>-585</v>
      </c>
      <c r="K2753" s="582">
        <f t="shared" si="126"/>
        <v>103.35000000000002</v>
      </c>
      <c r="L2753" s="563">
        <f t="shared" si="127"/>
        <v>113.68500000000003</v>
      </c>
      <c r="M2753" s="563">
        <f t="shared" si="128"/>
        <v>757.18500000000006</v>
      </c>
      <c r="N2753" s="580"/>
    </row>
    <row r="2754" spans="4:14" x14ac:dyDescent="0.25">
      <c r="D2754" s="559" t="s">
        <v>867</v>
      </c>
      <c r="E2754" s="558" t="s">
        <v>1469</v>
      </c>
      <c r="F2754" s="559">
        <v>500320</v>
      </c>
      <c r="G2754" s="558" t="s">
        <v>1468</v>
      </c>
      <c r="H2754" s="564">
        <v>40015</v>
      </c>
      <c r="I2754" s="563">
        <v>688.35</v>
      </c>
      <c r="J2754" s="563">
        <v>-585</v>
      </c>
      <c r="K2754" s="582">
        <f t="shared" si="126"/>
        <v>103.35000000000002</v>
      </c>
      <c r="L2754" s="563">
        <f t="shared" si="127"/>
        <v>113.68500000000003</v>
      </c>
      <c r="M2754" s="563">
        <f t="shared" si="128"/>
        <v>757.18500000000006</v>
      </c>
      <c r="N2754" s="580"/>
    </row>
    <row r="2755" spans="4:14" x14ac:dyDescent="0.25">
      <c r="D2755" s="559" t="s">
        <v>867</v>
      </c>
      <c r="E2755" s="558" t="s">
        <v>1470</v>
      </c>
      <c r="F2755" s="559">
        <v>500321</v>
      </c>
      <c r="G2755" s="558" t="s">
        <v>1468</v>
      </c>
      <c r="H2755" s="564">
        <v>40015</v>
      </c>
      <c r="I2755" s="563">
        <v>688.35</v>
      </c>
      <c r="J2755" s="563">
        <v>-585</v>
      </c>
      <c r="K2755" s="582">
        <f t="shared" si="126"/>
        <v>103.35000000000002</v>
      </c>
      <c r="L2755" s="563">
        <f t="shared" si="127"/>
        <v>113.68500000000003</v>
      </c>
      <c r="M2755" s="563">
        <f t="shared" si="128"/>
        <v>757.18500000000006</v>
      </c>
      <c r="N2755" s="580"/>
    </row>
    <row r="2756" spans="4:14" x14ac:dyDescent="0.25">
      <c r="D2756" s="559" t="s">
        <v>867</v>
      </c>
      <c r="E2756" s="558" t="s">
        <v>1471</v>
      </c>
      <c r="F2756" s="559">
        <v>500322</v>
      </c>
      <c r="G2756" s="558" t="s">
        <v>1468</v>
      </c>
      <c r="H2756" s="564">
        <v>40015</v>
      </c>
      <c r="I2756" s="563">
        <v>688.35</v>
      </c>
      <c r="J2756" s="563">
        <v>-585</v>
      </c>
      <c r="K2756" s="582">
        <f t="shared" si="126"/>
        <v>103.35000000000002</v>
      </c>
      <c r="L2756" s="563">
        <f t="shared" si="127"/>
        <v>113.68500000000003</v>
      </c>
      <c r="M2756" s="563">
        <f t="shared" si="128"/>
        <v>757.18500000000006</v>
      </c>
      <c r="N2756" s="580"/>
    </row>
    <row r="2757" spans="4:14" x14ac:dyDescent="0.25">
      <c r="D2757" s="559" t="s">
        <v>867</v>
      </c>
      <c r="E2757" s="558" t="s">
        <v>1472</v>
      </c>
      <c r="F2757" s="559">
        <v>501730</v>
      </c>
      <c r="G2757" s="558" t="s">
        <v>1468</v>
      </c>
      <c r="H2757" s="564">
        <v>40015</v>
      </c>
      <c r="I2757" s="563">
        <v>64.349999999999994</v>
      </c>
      <c r="J2757" s="563">
        <v>-64.349999999999994</v>
      </c>
      <c r="K2757" s="582">
        <f t="shared" si="126"/>
        <v>0</v>
      </c>
      <c r="L2757" s="563">
        <f t="shared" si="127"/>
        <v>0</v>
      </c>
      <c r="M2757" s="563">
        <f t="shared" si="128"/>
        <v>70.784999999999997</v>
      </c>
      <c r="N2757" s="580"/>
    </row>
    <row r="2758" spans="4:14" x14ac:dyDescent="0.25">
      <c r="D2758" s="559" t="s">
        <v>867</v>
      </c>
      <c r="E2758" s="558" t="s">
        <v>1473</v>
      </c>
      <c r="F2758" s="559">
        <v>500323</v>
      </c>
      <c r="G2758" s="558" t="s">
        <v>1474</v>
      </c>
      <c r="H2758" s="564">
        <v>40015</v>
      </c>
      <c r="I2758" s="563">
        <v>688.35</v>
      </c>
      <c r="J2758" s="563">
        <v>-585</v>
      </c>
      <c r="K2758" s="582">
        <f t="shared" si="126"/>
        <v>103.35000000000002</v>
      </c>
      <c r="L2758" s="563">
        <f t="shared" si="127"/>
        <v>113.68500000000003</v>
      </c>
      <c r="M2758" s="563">
        <f t="shared" si="128"/>
        <v>757.18500000000006</v>
      </c>
      <c r="N2758" s="580"/>
    </row>
    <row r="2759" spans="4:14" x14ac:dyDescent="0.25">
      <c r="D2759" s="559" t="s">
        <v>867</v>
      </c>
      <c r="E2759" s="558" t="s">
        <v>1475</v>
      </c>
      <c r="F2759" s="559">
        <v>500324</v>
      </c>
      <c r="G2759" s="558" t="s">
        <v>1474</v>
      </c>
      <c r="H2759" s="564">
        <v>40015</v>
      </c>
      <c r="I2759" s="563">
        <v>688.35</v>
      </c>
      <c r="J2759" s="563">
        <v>-585</v>
      </c>
      <c r="K2759" s="582">
        <f t="shared" si="126"/>
        <v>103.35000000000002</v>
      </c>
      <c r="L2759" s="563">
        <f t="shared" si="127"/>
        <v>113.68500000000003</v>
      </c>
      <c r="M2759" s="563">
        <f t="shared" si="128"/>
        <v>757.18500000000006</v>
      </c>
      <c r="N2759" s="580"/>
    </row>
    <row r="2760" spans="4:14" x14ac:dyDescent="0.25">
      <c r="D2760" s="559" t="s">
        <v>867</v>
      </c>
      <c r="E2760" s="558" t="s">
        <v>1476</v>
      </c>
      <c r="F2760" s="559">
        <v>501735</v>
      </c>
      <c r="G2760" s="558" t="s">
        <v>1474</v>
      </c>
      <c r="H2760" s="564">
        <v>40015</v>
      </c>
      <c r="I2760" s="563">
        <v>454.35</v>
      </c>
      <c r="J2760" s="563">
        <v>-454.35</v>
      </c>
      <c r="K2760" s="582">
        <f t="shared" si="126"/>
        <v>0</v>
      </c>
      <c r="L2760" s="563">
        <f t="shared" si="127"/>
        <v>0</v>
      </c>
      <c r="M2760" s="563">
        <f t="shared" si="128"/>
        <v>499.78500000000008</v>
      </c>
      <c r="N2760" s="580"/>
    </row>
    <row r="2761" spans="4:14" x14ac:dyDescent="0.25">
      <c r="D2761" s="559" t="s">
        <v>867</v>
      </c>
      <c r="E2761" s="558" t="s">
        <v>1477</v>
      </c>
      <c r="F2761" s="559">
        <v>501738</v>
      </c>
      <c r="G2761" s="558" t="s">
        <v>1474</v>
      </c>
      <c r="H2761" s="564">
        <v>40015</v>
      </c>
      <c r="I2761" s="563">
        <v>64.349999999999994</v>
      </c>
      <c r="J2761" s="563">
        <v>-64.349999999999994</v>
      </c>
      <c r="K2761" s="582">
        <f t="shared" si="126"/>
        <v>0</v>
      </c>
      <c r="L2761" s="563">
        <f t="shared" si="127"/>
        <v>0</v>
      </c>
      <c r="M2761" s="563">
        <f t="shared" si="128"/>
        <v>70.784999999999997</v>
      </c>
      <c r="N2761" s="580"/>
    </row>
    <row r="2762" spans="4:14" x14ac:dyDescent="0.25">
      <c r="D2762" s="559" t="s">
        <v>867</v>
      </c>
      <c r="E2762" s="558" t="s">
        <v>1478</v>
      </c>
      <c r="F2762" s="559">
        <v>501739</v>
      </c>
      <c r="G2762" s="558" t="s">
        <v>1474</v>
      </c>
      <c r="H2762" s="564">
        <v>40015</v>
      </c>
      <c r="I2762" s="563">
        <v>688.35</v>
      </c>
      <c r="J2762" s="563">
        <v>-585</v>
      </c>
      <c r="K2762" s="582">
        <f t="shared" si="126"/>
        <v>103.35000000000002</v>
      </c>
      <c r="L2762" s="563">
        <f t="shared" si="127"/>
        <v>113.68500000000003</v>
      </c>
      <c r="M2762" s="563">
        <f t="shared" si="128"/>
        <v>757.18500000000006</v>
      </c>
      <c r="N2762" s="580"/>
    </row>
    <row r="2763" spans="4:14" x14ac:dyDescent="0.25">
      <c r="D2763" s="559" t="s">
        <v>867</v>
      </c>
      <c r="E2763" s="558" t="s">
        <v>1479</v>
      </c>
      <c r="F2763" s="559">
        <v>501741</v>
      </c>
      <c r="G2763" s="558" t="s">
        <v>1480</v>
      </c>
      <c r="H2763" s="564">
        <v>40015</v>
      </c>
      <c r="I2763" s="563">
        <v>220.35</v>
      </c>
      <c r="J2763" s="563">
        <v>-220.35</v>
      </c>
      <c r="K2763" s="582">
        <f t="shared" si="126"/>
        <v>0</v>
      </c>
      <c r="L2763" s="563">
        <f t="shared" si="127"/>
        <v>0</v>
      </c>
      <c r="M2763" s="563">
        <f t="shared" si="128"/>
        <v>242.38500000000002</v>
      </c>
      <c r="N2763" s="580"/>
    </row>
    <row r="2764" spans="4:14" x14ac:dyDescent="0.25">
      <c r="D2764" s="559" t="s">
        <v>867</v>
      </c>
      <c r="E2764" s="558" t="s">
        <v>1481</v>
      </c>
      <c r="F2764" s="559">
        <v>500325</v>
      </c>
      <c r="G2764" s="558" t="s">
        <v>1480</v>
      </c>
      <c r="H2764" s="564">
        <v>40015</v>
      </c>
      <c r="I2764" s="563">
        <v>220.35</v>
      </c>
      <c r="J2764" s="563">
        <v>-220.35</v>
      </c>
      <c r="K2764" s="582">
        <f t="shared" si="126"/>
        <v>0</v>
      </c>
      <c r="L2764" s="563">
        <f t="shared" si="127"/>
        <v>0</v>
      </c>
      <c r="M2764" s="563">
        <f t="shared" si="128"/>
        <v>242.38500000000002</v>
      </c>
      <c r="N2764" s="580"/>
    </row>
    <row r="2765" spans="4:14" x14ac:dyDescent="0.25">
      <c r="D2765" s="559" t="s">
        <v>867</v>
      </c>
      <c r="E2765" s="558" t="s">
        <v>1482</v>
      </c>
      <c r="F2765" s="559">
        <v>500326</v>
      </c>
      <c r="G2765" s="558" t="s">
        <v>1480</v>
      </c>
      <c r="H2765" s="564">
        <v>40015</v>
      </c>
      <c r="I2765" s="563">
        <v>571.35</v>
      </c>
      <c r="J2765" s="563">
        <v>-571.35</v>
      </c>
      <c r="K2765" s="582">
        <f t="shared" si="126"/>
        <v>0</v>
      </c>
      <c r="L2765" s="563">
        <f t="shared" si="127"/>
        <v>0</v>
      </c>
      <c r="M2765" s="563">
        <f t="shared" si="128"/>
        <v>628.48500000000013</v>
      </c>
      <c r="N2765" s="580"/>
    </row>
    <row r="2766" spans="4:14" x14ac:dyDescent="0.25">
      <c r="D2766" s="559" t="s">
        <v>867</v>
      </c>
      <c r="E2766" s="558" t="s">
        <v>1483</v>
      </c>
      <c r="F2766" s="559">
        <v>500327</v>
      </c>
      <c r="G2766" s="558" t="s">
        <v>1480</v>
      </c>
      <c r="H2766" s="564">
        <v>40015</v>
      </c>
      <c r="I2766" s="563">
        <v>766.35</v>
      </c>
      <c r="J2766" s="563">
        <v>-585</v>
      </c>
      <c r="K2766" s="582">
        <f t="shared" si="126"/>
        <v>181.35000000000002</v>
      </c>
      <c r="L2766" s="563">
        <f t="shared" si="127"/>
        <v>199.48500000000004</v>
      </c>
      <c r="M2766" s="563">
        <f t="shared" si="128"/>
        <v>842.98500000000013</v>
      </c>
      <c r="N2766" s="580"/>
    </row>
    <row r="2767" spans="4:14" x14ac:dyDescent="0.25">
      <c r="D2767" s="559" t="s">
        <v>867</v>
      </c>
      <c r="E2767" s="558" t="s">
        <v>1484</v>
      </c>
      <c r="F2767" s="559">
        <v>501744</v>
      </c>
      <c r="G2767" s="558" t="s">
        <v>1480</v>
      </c>
      <c r="H2767" s="564">
        <v>40015</v>
      </c>
      <c r="I2767" s="563">
        <v>766.35</v>
      </c>
      <c r="J2767" s="563">
        <v>-585</v>
      </c>
      <c r="K2767" s="582">
        <f t="shared" si="126"/>
        <v>181.35000000000002</v>
      </c>
      <c r="L2767" s="563">
        <f t="shared" si="127"/>
        <v>199.48500000000004</v>
      </c>
      <c r="M2767" s="563">
        <f t="shared" si="128"/>
        <v>842.98500000000013</v>
      </c>
      <c r="N2767" s="580"/>
    </row>
    <row r="2768" spans="4:14" x14ac:dyDescent="0.25">
      <c r="D2768" s="559" t="s">
        <v>867</v>
      </c>
      <c r="E2768" s="558" t="s">
        <v>1485</v>
      </c>
      <c r="F2768" s="559">
        <v>501753</v>
      </c>
      <c r="G2768" s="558" t="s">
        <v>1486</v>
      </c>
      <c r="H2768" s="564">
        <v>40015</v>
      </c>
      <c r="I2768" s="563">
        <v>25.35</v>
      </c>
      <c r="J2768" s="563">
        <v>-25.35</v>
      </c>
      <c r="K2768" s="582">
        <f t="shared" si="126"/>
        <v>0</v>
      </c>
      <c r="L2768" s="563">
        <f t="shared" si="127"/>
        <v>0</v>
      </c>
      <c r="M2768" s="563">
        <f t="shared" si="128"/>
        <v>27.885000000000005</v>
      </c>
      <c r="N2768" s="580"/>
    </row>
    <row r="2769" spans="4:14" x14ac:dyDescent="0.25">
      <c r="D2769" s="559" t="s">
        <v>867</v>
      </c>
      <c r="E2769" s="558" t="s">
        <v>1487</v>
      </c>
      <c r="F2769" s="559">
        <v>500328</v>
      </c>
      <c r="G2769" s="558" t="s">
        <v>1486</v>
      </c>
      <c r="H2769" s="564">
        <v>40015</v>
      </c>
      <c r="I2769" s="563">
        <v>688.35</v>
      </c>
      <c r="J2769" s="563">
        <v>-585</v>
      </c>
      <c r="K2769" s="582">
        <f t="shared" si="126"/>
        <v>103.35000000000002</v>
      </c>
      <c r="L2769" s="563">
        <f t="shared" si="127"/>
        <v>113.68500000000003</v>
      </c>
      <c r="M2769" s="563">
        <f t="shared" si="128"/>
        <v>757.18500000000006</v>
      </c>
      <c r="N2769" s="580"/>
    </row>
    <row r="2770" spans="4:14" x14ac:dyDescent="0.25">
      <c r="D2770" s="559" t="s">
        <v>867</v>
      </c>
      <c r="E2770" s="558" t="s">
        <v>1488</v>
      </c>
      <c r="F2770" s="559">
        <v>500329</v>
      </c>
      <c r="G2770" s="558" t="s">
        <v>1486</v>
      </c>
      <c r="H2770" s="564">
        <v>40015</v>
      </c>
      <c r="I2770" s="563">
        <v>493.35</v>
      </c>
      <c r="J2770" s="563">
        <v>-493.35</v>
      </c>
      <c r="K2770" s="582">
        <f t="shared" si="126"/>
        <v>0</v>
      </c>
      <c r="L2770" s="563">
        <f t="shared" si="127"/>
        <v>0</v>
      </c>
      <c r="M2770" s="563">
        <f t="shared" si="128"/>
        <v>542.68500000000006</v>
      </c>
      <c r="N2770" s="580"/>
    </row>
    <row r="2771" spans="4:14" x14ac:dyDescent="0.25">
      <c r="D2771" s="559" t="s">
        <v>867</v>
      </c>
      <c r="E2771" s="558" t="s">
        <v>1489</v>
      </c>
      <c r="F2771" s="559">
        <v>500330</v>
      </c>
      <c r="G2771" s="558" t="s">
        <v>1486</v>
      </c>
      <c r="H2771" s="564">
        <v>40015</v>
      </c>
      <c r="I2771" s="563">
        <v>493.35</v>
      </c>
      <c r="J2771" s="563">
        <v>-493.35</v>
      </c>
      <c r="K2771" s="582">
        <f t="shared" si="126"/>
        <v>0</v>
      </c>
      <c r="L2771" s="563">
        <f t="shared" si="127"/>
        <v>0</v>
      </c>
      <c r="M2771" s="563">
        <f t="shared" si="128"/>
        <v>542.68500000000006</v>
      </c>
      <c r="N2771" s="580"/>
    </row>
    <row r="2772" spans="4:14" x14ac:dyDescent="0.25">
      <c r="D2772" s="559" t="s">
        <v>867</v>
      </c>
      <c r="E2772" s="558" t="s">
        <v>1490</v>
      </c>
      <c r="F2772" s="559">
        <v>501754</v>
      </c>
      <c r="G2772" s="558" t="s">
        <v>1486</v>
      </c>
      <c r="H2772" s="564">
        <v>40015</v>
      </c>
      <c r="I2772" s="563">
        <v>493.35</v>
      </c>
      <c r="J2772" s="563">
        <v>-493.35</v>
      </c>
      <c r="K2772" s="582">
        <f t="shared" si="126"/>
        <v>0</v>
      </c>
      <c r="L2772" s="563">
        <f t="shared" si="127"/>
        <v>0</v>
      </c>
      <c r="M2772" s="563">
        <f t="shared" si="128"/>
        <v>542.68500000000006</v>
      </c>
      <c r="N2772" s="580"/>
    </row>
    <row r="2773" spans="4:14" x14ac:dyDescent="0.25">
      <c r="D2773" s="559" t="s">
        <v>867</v>
      </c>
      <c r="E2773" s="558" t="s">
        <v>1491</v>
      </c>
      <c r="F2773" s="559">
        <v>501768</v>
      </c>
      <c r="G2773" s="558" t="s">
        <v>777</v>
      </c>
      <c r="H2773" s="564">
        <v>40015</v>
      </c>
      <c r="I2773" s="563">
        <v>688.35</v>
      </c>
      <c r="J2773" s="563">
        <v>-585</v>
      </c>
      <c r="K2773" s="582">
        <f t="shared" si="126"/>
        <v>103.35000000000002</v>
      </c>
      <c r="L2773" s="563">
        <f t="shared" si="127"/>
        <v>113.68500000000003</v>
      </c>
      <c r="M2773" s="563">
        <f t="shared" si="128"/>
        <v>757.18500000000006</v>
      </c>
      <c r="N2773" s="580"/>
    </row>
    <row r="2774" spans="4:14" x14ac:dyDescent="0.25">
      <c r="D2774" s="559" t="s">
        <v>867</v>
      </c>
      <c r="E2774" s="558" t="s">
        <v>1492</v>
      </c>
      <c r="F2774" s="559">
        <v>501770</v>
      </c>
      <c r="G2774" s="558" t="s">
        <v>777</v>
      </c>
      <c r="H2774" s="564">
        <v>40015</v>
      </c>
      <c r="I2774" s="563">
        <v>688.35</v>
      </c>
      <c r="J2774" s="563">
        <v>-585</v>
      </c>
      <c r="K2774" s="582">
        <f t="shared" si="126"/>
        <v>103.35000000000002</v>
      </c>
      <c r="L2774" s="563">
        <f t="shared" si="127"/>
        <v>113.68500000000003</v>
      </c>
      <c r="M2774" s="563">
        <f t="shared" si="128"/>
        <v>757.18500000000006</v>
      </c>
      <c r="N2774" s="580"/>
    </row>
    <row r="2775" spans="4:14" x14ac:dyDescent="0.25">
      <c r="D2775" s="559" t="s">
        <v>867</v>
      </c>
      <c r="E2775" s="558" t="s">
        <v>1493</v>
      </c>
      <c r="F2775" s="559">
        <v>501773</v>
      </c>
      <c r="G2775" s="558" t="s">
        <v>777</v>
      </c>
      <c r="H2775" s="564">
        <v>40015</v>
      </c>
      <c r="I2775" s="563">
        <v>688.35</v>
      </c>
      <c r="J2775" s="563">
        <v>-585</v>
      </c>
      <c r="K2775" s="582">
        <f t="shared" si="126"/>
        <v>103.35000000000002</v>
      </c>
      <c r="L2775" s="563">
        <f t="shared" si="127"/>
        <v>113.68500000000003</v>
      </c>
      <c r="M2775" s="563">
        <f t="shared" si="128"/>
        <v>757.18500000000006</v>
      </c>
      <c r="N2775" s="580"/>
    </row>
    <row r="2776" spans="4:14" x14ac:dyDescent="0.25">
      <c r="D2776" s="559" t="s">
        <v>867</v>
      </c>
      <c r="E2776" s="558" t="s">
        <v>1494</v>
      </c>
      <c r="F2776" s="559">
        <v>501775</v>
      </c>
      <c r="G2776" s="558" t="s">
        <v>1495</v>
      </c>
      <c r="H2776" s="564">
        <v>40015</v>
      </c>
      <c r="I2776" s="563">
        <v>25.35</v>
      </c>
      <c r="J2776" s="563">
        <v>-25.35</v>
      </c>
      <c r="K2776" s="582">
        <f t="shared" si="126"/>
        <v>0</v>
      </c>
      <c r="L2776" s="563">
        <f t="shared" si="127"/>
        <v>0</v>
      </c>
      <c r="M2776" s="563">
        <f t="shared" si="128"/>
        <v>27.885000000000005</v>
      </c>
      <c r="N2776" s="580"/>
    </row>
    <row r="2777" spans="4:14" x14ac:dyDescent="0.25">
      <c r="D2777" s="559" t="s">
        <v>867</v>
      </c>
      <c r="E2777" s="558" t="s">
        <v>1496</v>
      </c>
      <c r="F2777" s="559">
        <v>501777</v>
      </c>
      <c r="G2777" s="558" t="s">
        <v>1495</v>
      </c>
      <c r="H2777" s="564">
        <v>40015</v>
      </c>
      <c r="I2777" s="563">
        <v>64.349999999999994</v>
      </c>
      <c r="J2777" s="563">
        <v>-64.349999999999994</v>
      </c>
      <c r="K2777" s="582">
        <f t="shared" si="126"/>
        <v>0</v>
      </c>
      <c r="L2777" s="563">
        <f t="shared" si="127"/>
        <v>0</v>
      </c>
      <c r="M2777" s="563">
        <f t="shared" si="128"/>
        <v>70.784999999999997</v>
      </c>
      <c r="N2777" s="580"/>
    </row>
    <row r="2778" spans="4:14" x14ac:dyDescent="0.25">
      <c r="D2778" s="559" t="s">
        <v>867</v>
      </c>
      <c r="E2778" s="558" t="s">
        <v>1497</v>
      </c>
      <c r="F2778" s="559">
        <v>501779</v>
      </c>
      <c r="G2778" s="558" t="s">
        <v>1495</v>
      </c>
      <c r="H2778" s="564">
        <v>40015</v>
      </c>
      <c r="I2778" s="563">
        <v>64.349999999999994</v>
      </c>
      <c r="J2778" s="563">
        <v>-64.349999999999994</v>
      </c>
      <c r="K2778" s="582">
        <f t="shared" si="126"/>
        <v>0</v>
      </c>
      <c r="L2778" s="563">
        <f t="shared" si="127"/>
        <v>0</v>
      </c>
      <c r="M2778" s="563">
        <f t="shared" si="128"/>
        <v>70.784999999999997</v>
      </c>
      <c r="N2778" s="580"/>
    </row>
    <row r="2779" spans="4:14" x14ac:dyDescent="0.25">
      <c r="D2779" s="559" t="s">
        <v>867</v>
      </c>
      <c r="E2779" s="558" t="s">
        <v>1498</v>
      </c>
      <c r="F2779" s="559">
        <v>501780</v>
      </c>
      <c r="G2779" s="558" t="s">
        <v>1495</v>
      </c>
      <c r="H2779" s="564">
        <v>40015</v>
      </c>
      <c r="I2779" s="563">
        <v>64.349999999999994</v>
      </c>
      <c r="J2779" s="563">
        <v>-64.349999999999994</v>
      </c>
      <c r="K2779" s="582">
        <f t="shared" si="126"/>
        <v>0</v>
      </c>
      <c r="L2779" s="563">
        <f t="shared" si="127"/>
        <v>0</v>
      </c>
      <c r="M2779" s="563">
        <f t="shared" si="128"/>
        <v>70.784999999999997</v>
      </c>
      <c r="N2779" s="580"/>
    </row>
    <row r="2780" spans="4:14" x14ac:dyDescent="0.25">
      <c r="D2780" s="559" t="s">
        <v>867</v>
      </c>
      <c r="E2780" s="558" t="s">
        <v>1499</v>
      </c>
      <c r="F2780" s="559">
        <v>501782</v>
      </c>
      <c r="G2780" s="558" t="s">
        <v>1495</v>
      </c>
      <c r="H2780" s="564">
        <v>40015</v>
      </c>
      <c r="I2780" s="563">
        <v>454.35</v>
      </c>
      <c r="J2780" s="563">
        <v>-454.35</v>
      </c>
      <c r="K2780" s="582">
        <f t="shared" si="126"/>
        <v>0</v>
      </c>
      <c r="L2780" s="563">
        <f t="shared" si="127"/>
        <v>0</v>
      </c>
      <c r="M2780" s="563">
        <f t="shared" si="128"/>
        <v>499.78500000000008</v>
      </c>
      <c r="N2780" s="580"/>
    </row>
    <row r="2781" spans="4:14" x14ac:dyDescent="0.25">
      <c r="D2781" s="559" t="s">
        <v>867</v>
      </c>
      <c r="E2781" s="558" t="s">
        <v>1500</v>
      </c>
      <c r="F2781" s="559">
        <v>501785</v>
      </c>
      <c r="G2781" s="558" t="s">
        <v>1501</v>
      </c>
      <c r="H2781" s="564">
        <v>40015</v>
      </c>
      <c r="I2781" s="563">
        <v>64.349999999999994</v>
      </c>
      <c r="J2781" s="563">
        <v>-64.349999999999994</v>
      </c>
      <c r="K2781" s="582">
        <f t="shared" si="126"/>
        <v>0</v>
      </c>
      <c r="L2781" s="563">
        <f t="shared" si="127"/>
        <v>0</v>
      </c>
      <c r="M2781" s="563">
        <f t="shared" si="128"/>
        <v>70.784999999999997</v>
      </c>
      <c r="N2781" s="580"/>
    </row>
    <row r="2782" spans="4:14" x14ac:dyDescent="0.25">
      <c r="D2782" s="559" t="s">
        <v>867</v>
      </c>
      <c r="E2782" s="558" t="s">
        <v>1502</v>
      </c>
      <c r="F2782" s="559">
        <v>501786</v>
      </c>
      <c r="G2782" s="558" t="s">
        <v>1501</v>
      </c>
      <c r="H2782" s="564">
        <v>40015</v>
      </c>
      <c r="I2782" s="563">
        <v>64.349999999999994</v>
      </c>
      <c r="J2782" s="563">
        <v>-64.349999999999994</v>
      </c>
      <c r="K2782" s="582">
        <f t="shared" si="126"/>
        <v>0</v>
      </c>
      <c r="L2782" s="563">
        <f t="shared" si="127"/>
        <v>0</v>
      </c>
      <c r="M2782" s="563">
        <f t="shared" si="128"/>
        <v>70.784999999999997</v>
      </c>
      <c r="N2782" s="580"/>
    </row>
    <row r="2783" spans="4:14" x14ac:dyDescent="0.25">
      <c r="D2783" s="559" t="s">
        <v>867</v>
      </c>
      <c r="E2783" s="558" t="s">
        <v>1503</v>
      </c>
      <c r="F2783" s="559">
        <v>501787</v>
      </c>
      <c r="G2783" s="558" t="s">
        <v>1501</v>
      </c>
      <c r="H2783" s="564">
        <v>40015</v>
      </c>
      <c r="I2783" s="563">
        <v>64.349999999999994</v>
      </c>
      <c r="J2783" s="563">
        <v>-64.349999999999994</v>
      </c>
      <c r="K2783" s="582">
        <f t="shared" si="126"/>
        <v>0</v>
      </c>
      <c r="L2783" s="563">
        <f t="shared" si="127"/>
        <v>0</v>
      </c>
      <c r="M2783" s="563">
        <f t="shared" si="128"/>
        <v>70.784999999999997</v>
      </c>
      <c r="N2783" s="580"/>
    </row>
    <row r="2784" spans="4:14" x14ac:dyDescent="0.25">
      <c r="D2784" s="559" t="s">
        <v>867</v>
      </c>
      <c r="E2784" s="558" t="s">
        <v>1504</v>
      </c>
      <c r="F2784" s="559">
        <v>501789</v>
      </c>
      <c r="G2784" s="558" t="s">
        <v>1501</v>
      </c>
      <c r="H2784" s="564">
        <v>40015</v>
      </c>
      <c r="I2784" s="563">
        <v>688.35</v>
      </c>
      <c r="J2784" s="563">
        <v>-585</v>
      </c>
      <c r="K2784" s="582">
        <f t="shared" si="126"/>
        <v>103.35000000000002</v>
      </c>
      <c r="L2784" s="563">
        <f t="shared" si="127"/>
        <v>113.68500000000003</v>
      </c>
      <c r="M2784" s="563">
        <f t="shared" si="128"/>
        <v>757.18500000000006</v>
      </c>
      <c r="N2784" s="580"/>
    </row>
    <row r="2785" spans="4:14" x14ac:dyDescent="0.25">
      <c r="D2785" s="559" t="s">
        <v>867</v>
      </c>
      <c r="E2785" s="558" t="s">
        <v>1505</v>
      </c>
      <c r="F2785" s="559">
        <v>501792</v>
      </c>
      <c r="G2785" s="558" t="s">
        <v>1501</v>
      </c>
      <c r="H2785" s="564">
        <v>40015</v>
      </c>
      <c r="I2785" s="563">
        <v>688.35</v>
      </c>
      <c r="J2785" s="563">
        <v>-585</v>
      </c>
      <c r="K2785" s="582">
        <f t="shared" si="126"/>
        <v>103.35000000000002</v>
      </c>
      <c r="L2785" s="563">
        <f t="shared" si="127"/>
        <v>113.68500000000003</v>
      </c>
      <c r="M2785" s="563">
        <f t="shared" si="128"/>
        <v>757.18500000000006</v>
      </c>
      <c r="N2785" s="580"/>
    </row>
    <row r="2786" spans="4:14" x14ac:dyDescent="0.25">
      <c r="D2786" s="559" t="s">
        <v>867</v>
      </c>
      <c r="E2786" s="558" t="s">
        <v>1506</v>
      </c>
      <c r="F2786" s="559">
        <v>501795</v>
      </c>
      <c r="G2786" s="558" t="s">
        <v>1507</v>
      </c>
      <c r="H2786" s="564">
        <v>40015</v>
      </c>
      <c r="I2786" s="563">
        <v>688.35</v>
      </c>
      <c r="J2786" s="563">
        <v>-585</v>
      </c>
      <c r="K2786" s="582">
        <f t="shared" si="126"/>
        <v>103.35000000000002</v>
      </c>
      <c r="L2786" s="563">
        <f t="shared" si="127"/>
        <v>113.68500000000003</v>
      </c>
      <c r="M2786" s="563">
        <f t="shared" si="128"/>
        <v>757.18500000000006</v>
      </c>
      <c r="N2786" s="580"/>
    </row>
    <row r="2787" spans="4:14" x14ac:dyDescent="0.25">
      <c r="D2787" s="559" t="s">
        <v>867</v>
      </c>
      <c r="E2787" s="558" t="s">
        <v>1508</v>
      </c>
      <c r="F2787" s="559">
        <v>501796</v>
      </c>
      <c r="G2787" s="558" t="s">
        <v>1507</v>
      </c>
      <c r="H2787" s="564">
        <v>40015</v>
      </c>
      <c r="I2787" s="563">
        <v>64.349999999999994</v>
      </c>
      <c r="J2787" s="563">
        <v>-64.349999999999994</v>
      </c>
      <c r="K2787" s="582">
        <f t="shared" si="126"/>
        <v>0</v>
      </c>
      <c r="L2787" s="563">
        <f t="shared" si="127"/>
        <v>0</v>
      </c>
      <c r="M2787" s="563">
        <f t="shared" si="128"/>
        <v>70.784999999999997</v>
      </c>
      <c r="N2787" s="580"/>
    </row>
    <row r="2788" spans="4:14" x14ac:dyDescent="0.25">
      <c r="D2788" s="559" t="s">
        <v>867</v>
      </c>
      <c r="E2788" s="558" t="s">
        <v>1509</v>
      </c>
      <c r="F2788" s="559">
        <v>502281</v>
      </c>
      <c r="G2788" s="558" t="s">
        <v>1507</v>
      </c>
      <c r="H2788" s="564">
        <v>40015</v>
      </c>
      <c r="I2788" s="563">
        <v>64.349999999999994</v>
      </c>
      <c r="J2788" s="563">
        <v>-64.349999999999994</v>
      </c>
      <c r="K2788" s="582">
        <f t="shared" si="126"/>
        <v>0</v>
      </c>
      <c r="L2788" s="563">
        <f t="shared" si="127"/>
        <v>0</v>
      </c>
      <c r="M2788" s="563">
        <f t="shared" si="128"/>
        <v>70.784999999999997</v>
      </c>
      <c r="N2788" s="580"/>
    </row>
    <row r="2789" spans="4:14" x14ac:dyDescent="0.25">
      <c r="D2789" s="559" t="s">
        <v>867</v>
      </c>
      <c r="E2789" s="558" t="s">
        <v>1510</v>
      </c>
      <c r="F2789" s="559">
        <v>501802</v>
      </c>
      <c r="G2789" s="558" t="s">
        <v>1507</v>
      </c>
      <c r="H2789" s="564">
        <v>40015</v>
      </c>
      <c r="I2789" s="563">
        <v>103.35</v>
      </c>
      <c r="J2789" s="563">
        <v>-103.35</v>
      </c>
      <c r="K2789" s="582">
        <f t="shared" si="126"/>
        <v>0</v>
      </c>
      <c r="L2789" s="563">
        <f t="shared" si="127"/>
        <v>0</v>
      </c>
      <c r="M2789" s="563">
        <f t="shared" si="128"/>
        <v>113.685</v>
      </c>
      <c r="N2789" s="580"/>
    </row>
    <row r="2790" spans="4:14" x14ac:dyDescent="0.25">
      <c r="D2790" s="559" t="s">
        <v>867</v>
      </c>
      <c r="E2790" s="558" t="s">
        <v>1511</v>
      </c>
      <c r="F2790" s="559">
        <v>501803</v>
      </c>
      <c r="G2790" s="558" t="s">
        <v>1507</v>
      </c>
      <c r="H2790" s="564">
        <v>40015</v>
      </c>
      <c r="I2790" s="563">
        <v>64.349999999999994</v>
      </c>
      <c r="J2790" s="563">
        <v>-64.349999999999994</v>
      </c>
      <c r="K2790" s="582">
        <f t="shared" si="126"/>
        <v>0</v>
      </c>
      <c r="L2790" s="563">
        <f t="shared" si="127"/>
        <v>0</v>
      </c>
      <c r="M2790" s="563">
        <f t="shared" si="128"/>
        <v>70.784999999999997</v>
      </c>
      <c r="N2790" s="580"/>
    </row>
    <row r="2791" spans="4:14" x14ac:dyDescent="0.25">
      <c r="D2791" s="559" t="s">
        <v>867</v>
      </c>
      <c r="E2791" s="558" t="s">
        <v>1512</v>
      </c>
      <c r="F2791" s="559">
        <v>501804</v>
      </c>
      <c r="G2791" s="558" t="s">
        <v>1513</v>
      </c>
      <c r="H2791" s="564">
        <v>40015</v>
      </c>
      <c r="I2791" s="563">
        <v>64.349999999999994</v>
      </c>
      <c r="J2791" s="563">
        <v>-64.349999999999994</v>
      </c>
      <c r="K2791" s="582">
        <f t="shared" si="126"/>
        <v>0</v>
      </c>
      <c r="L2791" s="563">
        <f t="shared" si="127"/>
        <v>0</v>
      </c>
      <c r="M2791" s="563">
        <f t="shared" si="128"/>
        <v>70.784999999999997</v>
      </c>
      <c r="N2791" s="580"/>
    </row>
    <row r="2792" spans="4:14" x14ac:dyDescent="0.25">
      <c r="D2792" s="559" t="s">
        <v>867</v>
      </c>
      <c r="E2792" s="558" t="s">
        <v>1514</v>
      </c>
      <c r="F2792" s="559">
        <v>501809</v>
      </c>
      <c r="G2792" s="558" t="s">
        <v>1513</v>
      </c>
      <c r="H2792" s="564">
        <v>40015</v>
      </c>
      <c r="I2792" s="563">
        <v>64.349999999999994</v>
      </c>
      <c r="J2792" s="563">
        <v>-64.349999999999994</v>
      </c>
      <c r="K2792" s="582">
        <f t="shared" si="126"/>
        <v>0</v>
      </c>
      <c r="L2792" s="563">
        <f t="shared" si="127"/>
        <v>0</v>
      </c>
      <c r="M2792" s="563">
        <f t="shared" si="128"/>
        <v>70.784999999999997</v>
      </c>
      <c r="N2792" s="580"/>
    </row>
    <row r="2793" spans="4:14" x14ac:dyDescent="0.25">
      <c r="D2793" s="559" t="s">
        <v>867</v>
      </c>
      <c r="E2793" s="558" t="s">
        <v>1515</v>
      </c>
      <c r="F2793" s="559">
        <v>501810</v>
      </c>
      <c r="G2793" s="558" t="s">
        <v>1513</v>
      </c>
      <c r="H2793" s="564">
        <v>40015</v>
      </c>
      <c r="I2793" s="563">
        <v>64.349999999999994</v>
      </c>
      <c r="J2793" s="563">
        <v>-64.349999999999994</v>
      </c>
      <c r="K2793" s="582">
        <f t="shared" ref="K2793:K2856" si="129">+I2793+J2793</f>
        <v>0</v>
      </c>
      <c r="L2793" s="563">
        <f t="shared" ref="L2793:L2856" si="130">+K2793*1.1</f>
        <v>0</v>
      </c>
      <c r="M2793" s="563">
        <f t="shared" ref="M2793:M2856" si="131">+I2793*1.1</f>
        <v>70.784999999999997</v>
      </c>
      <c r="N2793" s="580"/>
    </row>
    <row r="2794" spans="4:14" x14ac:dyDescent="0.25">
      <c r="D2794" s="559" t="s">
        <v>867</v>
      </c>
      <c r="E2794" s="558" t="s">
        <v>1516</v>
      </c>
      <c r="F2794" s="559">
        <v>501817</v>
      </c>
      <c r="G2794" s="558" t="s">
        <v>1513</v>
      </c>
      <c r="H2794" s="564">
        <v>40015</v>
      </c>
      <c r="I2794" s="563">
        <v>64.349999999999994</v>
      </c>
      <c r="J2794" s="563">
        <v>-64.349999999999994</v>
      </c>
      <c r="K2794" s="582">
        <f t="shared" si="129"/>
        <v>0</v>
      </c>
      <c r="L2794" s="563">
        <f t="shared" si="130"/>
        <v>0</v>
      </c>
      <c r="M2794" s="563">
        <f t="shared" si="131"/>
        <v>70.784999999999997</v>
      </c>
      <c r="N2794" s="580"/>
    </row>
    <row r="2795" spans="4:14" x14ac:dyDescent="0.25">
      <c r="D2795" s="559" t="s">
        <v>867</v>
      </c>
      <c r="E2795" s="558" t="s">
        <v>1517</v>
      </c>
      <c r="F2795" s="559">
        <v>501818</v>
      </c>
      <c r="G2795" s="558" t="s">
        <v>1513</v>
      </c>
      <c r="H2795" s="564">
        <v>40015</v>
      </c>
      <c r="I2795" s="563">
        <v>64.349999999999994</v>
      </c>
      <c r="J2795" s="563">
        <v>-64.349999999999994</v>
      </c>
      <c r="K2795" s="582">
        <f t="shared" si="129"/>
        <v>0</v>
      </c>
      <c r="L2795" s="563">
        <f t="shared" si="130"/>
        <v>0</v>
      </c>
      <c r="M2795" s="563">
        <f t="shared" si="131"/>
        <v>70.784999999999997</v>
      </c>
      <c r="N2795" s="580"/>
    </row>
    <row r="2796" spans="4:14" x14ac:dyDescent="0.25">
      <c r="D2796" s="559" t="s">
        <v>867</v>
      </c>
      <c r="E2796" s="558" t="s">
        <v>1518</v>
      </c>
      <c r="F2796" s="559">
        <v>501819</v>
      </c>
      <c r="G2796" s="558" t="s">
        <v>1519</v>
      </c>
      <c r="H2796" s="564">
        <v>40015</v>
      </c>
      <c r="I2796" s="563">
        <v>25.35</v>
      </c>
      <c r="J2796" s="563">
        <v>-25.35</v>
      </c>
      <c r="K2796" s="582">
        <f t="shared" si="129"/>
        <v>0</v>
      </c>
      <c r="L2796" s="563">
        <f t="shared" si="130"/>
        <v>0</v>
      </c>
      <c r="M2796" s="563">
        <f t="shared" si="131"/>
        <v>27.885000000000005</v>
      </c>
      <c r="N2796" s="580"/>
    </row>
    <row r="2797" spans="4:14" x14ac:dyDescent="0.25">
      <c r="D2797" s="559" t="s">
        <v>867</v>
      </c>
      <c r="E2797" s="558" t="s">
        <v>1520</v>
      </c>
      <c r="F2797" s="559">
        <v>501822</v>
      </c>
      <c r="G2797" s="558" t="s">
        <v>1519</v>
      </c>
      <c r="H2797" s="564">
        <v>40015</v>
      </c>
      <c r="I2797" s="563">
        <v>64.349999999999994</v>
      </c>
      <c r="J2797" s="563">
        <v>-64.349999999999994</v>
      </c>
      <c r="K2797" s="582">
        <f t="shared" si="129"/>
        <v>0</v>
      </c>
      <c r="L2797" s="563">
        <f t="shared" si="130"/>
        <v>0</v>
      </c>
      <c r="M2797" s="563">
        <f t="shared" si="131"/>
        <v>70.784999999999997</v>
      </c>
      <c r="N2797" s="580"/>
    </row>
    <row r="2798" spans="4:14" x14ac:dyDescent="0.25">
      <c r="D2798" s="559" t="s">
        <v>867</v>
      </c>
      <c r="E2798" s="558" t="s">
        <v>1521</v>
      </c>
      <c r="F2798" s="559">
        <v>501823</v>
      </c>
      <c r="G2798" s="558" t="s">
        <v>1519</v>
      </c>
      <c r="H2798" s="564">
        <v>40015</v>
      </c>
      <c r="I2798" s="563">
        <v>688.35</v>
      </c>
      <c r="J2798" s="563">
        <v>-585</v>
      </c>
      <c r="K2798" s="582">
        <f t="shared" si="129"/>
        <v>103.35000000000002</v>
      </c>
      <c r="L2798" s="563">
        <f t="shared" si="130"/>
        <v>113.68500000000003</v>
      </c>
      <c r="M2798" s="563">
        <f t="shared" si="131"/>
        <v>757.18500000000006</v>
      </c>
      <c r="N2798" s="580"/>
    </row>
    <row r="2799" spans="4:14" x14ac:dyDescent="0.25">
      <c r="D2799" s="559" t="s">
        <v>867</v>
      </c>
      <c r="E2799" s="558" t="s">
        <v>1522</v>
      </c>
      <c r="F2799" s="559">
        <v>501824</v>
      </c>
      <c r="G2799" s="558" t="s">
        <v>1519</v>
      </c>
      <c r="H2799" s="564">
        <v>40015</v>
      </c>
      <c r="I2799" s="563">
        <v>688.35</v>
      </c>
      <c r="J2799" s="563">
        <v>-585</v>
      </c>
      <c r="K2799" s="582">
        <f t="shared" si="129"/>
        <v>103.35000000000002</v>
      </c>
      <c r="L2799" s="563">
        <f t="shared" si="130"/>
        <v>113.68500000000003</v>
      </c>
      <c r="M2799" s="563">
        <f t="shared" si="131"/>
        <v>757.18500000000006</v>
      </c>
      <c r="N2799" s="580"/>
    </row>
    <row r="2800" spans="4:14" x14ac:dyDescent="0.25">
      <c r="D2800" s="559" t="s">
        <v>867</v>
      </c>
      <c r="E2800" s="558" t="s">
        <v>1523</v>
      </c>
      <c r="F2800" s="559">
        <v>501825</v>
      </c>
      <c r="G2800" s="558" t="s">
        <v>1519</v>
      </c>
      <c r="H2800" s="564">
        <v>40015</v>
      </c>
      <c r="I2800" s="563">
        <v>688.35</v>
      </c>
      <c r="J2800" s="563">
        <v>-585</v>
      </c>
      <c r="K2800" s="582">
        <f t="shared" si="129"/>
        <v>103.35000000000002</v>
      </c>
      <c r="L2800" s="563">
        <f t="shared" si="130"/>
        <v>113.68500000000003</v>
      </c>
      <c r="M2800" s="563">
        <f t="shared" si="131"/>
        <v>757.18500000000006</v>
      </c>
      <c r="N2800" s="580"/>
    </row>
    <row r="2801" spans="4:14" x14ac:dyDescent="0.25">
      <c r="D2801" s="559" t="s">
        <v>867</v>
      </c>
      <c r="E2801" s="558" t="s">
        <v>1524</v>
      </c>
      <c r="F2801" s="559">
        <v>501826</v>
      </c>
      <c r="G2801" s="558" t="s">
        <v>1525</v>
      </c>
      <c r="H2801" s="564">
        <v>40015</v>
      </c>
      <c r="I2801" s="563">
        <v>610.35</v>
      </c>
      <c r="J2801" s="563">
        <v>-585</v>
      </c>
      <c r="K2801" s="582">
        <f t="shared" si="129"/>
        <v>25.350000000000023</v>
      </c>
      <c r="L2801" s="563">
        <f t="shared" si="130"/>
        <v>27.885000000000026</v>
      </c>
      <c r="M2801" s="563">
        <f t="shared" si="131"/>
        <v>671.3850000000001</v>
      </c>
      <c r="N2801" s="580"/>
    </row>
    <row r="2802" spans="4:14" x14ac:dyDescent="0.25">
      <c r="D2802" s="559" t="s">
        <v>867</v>
      </c>
      <c r="E2802" s="558" t="s">
        <v>1526</v>
      </c>
      <c r="F2802" s="559">
        <v>501828</v>
      </c>
      <c r="G2802" s="558" t="s">
        <v>1525</v>
      </c>
      <c r="H2802" s="564">
        <v>40015</v>
      </c>
      <c r="I2802" s="563">
        <v>64.349999999999994</v>
      </c>
      <c r="J2802" s="563">
        <v>-64.349999999999994</v>
      </c>
      <c r="K2802" s="582">
        <f t="shared" si="129"/>
        <v>0</v>
      </c>
      <c r="L2802" s="563">
        <f t="shared" si="130"/>
        <v>0</v>
      </c>
      <c r="M2802" s="563">
        <f t="shared" si="131"/>
        <v>70.784999999999997</v>
      </c>
      <c r="N2802" s="580"/>
    </row>
    <row r="2803" spans="4:14" x14ac:dyDescent="0.25">
      <c r="D2803" s="559" t="s">
        <v>867</v>
      </c>
      <c r="E2803" s="558" t="s">
        <v>1527</v>
      </c>
      <c r="F2803" s="559">
        <v>501829</v>
      </c>
      <c r="G2803" s="558" t="s">
        <v>1525</v>
      </c>
      <c r="H2803" s="564">
        <v>40015</v>
      </c>
      <c r="I2803" s="563">
        <v>688.35</v>
      </c>
      <c r="J2803" s="563">
        <v>-585</v>
      </c>
      <c r="K2803" s="582">
        <f t="shared" si="129"/>
        <v>103.35000000000002</v>
      </c>
      <c r="L2803" s="563">
        <f t="shared" si="130"/>
        <v>113.68500000000003</v>
      </c>
      <c r="M2803" s="563">
        <f t="shared" si="131"/>
        <v>757.18500000000006</v>
      </c>
      <c r="N2803" s="580"/>
    </row>
    <row r="2804" spans="4:14" x14ac:dyDescent="0.25">
      <c r="D2804" s="559" t="s">
        <v>867</v>
      </c>
      <c r="E2804" s="558" t="s">
        <v>1528</v>
      </c>
      <c r="F2804" s="559">
        <v>501830</v>
      </c>
      <c r="G2804" s="558" t="s">
        <v>1525</v>
      </c>
      <c r="H2804" s="564">
        <v>40015</v>
      </c>
      <c r="I2804" s="563">
        <v>688.35</v>
      </c>
      <c r="J2804" s="563">
        <v>-585</v>
      </c>
      <c r="K2804" s="582">
        <f t="shared" si="129"/>
        <v>103.35000000000002</v>
      </c>
      <c r="L2804" s="563">
        <f t="shared" si="130"/>
        <v>113.68500000000003</v>
      </c>
      <c r="M2804" s="563">
        <f t="shared" si="131"/>
        <v>757.18500000000006</v>
      </c>
      <c r="N2804" s="580"/>
    </row>
    <row r="2805" spans="4:14" x14ac:dyDescent="0.25">
      <c r="D2805" s="559" t="s">
        <v>867</v>
      </c>
      <c r="E2805" s="558" t="s">
        <v>1529</v>
      </c>
      <c r="F2805" s="559">
        <v>501831</v>
      </c>
      <c r="G2805" s="558" t="s">
        <v>1525</v>
      </c>
      <c r="H2805" s="564">
        <v>40015</v>
      </c>
      <c r="I2805" s="563">
        <v>688.35</v>
      </c>
      <c r="J2805" s="563">
        <v>-585</v>
      </c>
      <c r="K2805" s="582">
        <f t="shared" si="129"/>
        <v>103.35000000000002</v>
      </c>
      <c r="L2805" s="563">
        <f t="shared" si="130"/>
        <v>113.68500000000003</v>
      </c>
      <c r="M2805" s="563">
        <f t="shared" si="131"/>
        <v>757.18500000000006</v>
      </c>
      <c r="N2805" s="580"/>
    </row>
    <row r="2806" spans="4:14" x14ac:dyDescent="0.25">
      <c r="D2806" s="559" t="s">
        <v>867</v>
      </c>
      <c r="E2806" s="558" t="s">
        <v>1530</v>
      </c>
      <c r="F2806" s="559">
        <v>501832</v>
      </c>
      <c r="G2806" s="558" t="s">
        <v>1531</v>
      </c>
      <c r="H2806" s="564">
        <v>40015</v>
      </c>
      <c r="I2806" s="563">
        <v>64.349999999999994</v>
      </c>
      <c r="J2806" s="563">
        <v>-64.349999999999994</v>
      </c>
      <c r="K2806" s="582">
        <f t="shared" si="129"/>
        <v>0</v>
      </c>
      <c r="L2806" s="563">
        <f t="shared" si="130"/>
        <v>0</v>
      </c>
      <c r="M2806" s="563">
        <f t="shared" si="131"/>
        <v>70.784999999999997</v>
      </c>
      <c r="N2806" s="580"/>
    </row>
    <row r="2807" spans="4:14" x14ac:dyDescent="0.25">
      <c r="D2807" s="559" t="s">
        <v>867</v>
      </c>
      <c r="E2807" s="558" t="s">
        <v>1532</v>
      </c>
      <c r="F2807" s="559">
        <v>501833</v>
      </c>
      <c r="G2807" s="558" t="s">
        <v>1531</v>
      </c>
      <c r="H2807" s="564">
        <v>40015</v>
      </c>
      <c r="I2807" s="563">
        <v>688.35</v>
      </c>
      <c r="J2807" s="563">
        <v>-585</v>
      </c>
      <c r="K2807" s="582">
        <f t="shared" si="129"/>
        <v>103.35000000000002</v>
      </c>
      <c r="L2807" s="563">
        <f t="shared" si="130"/>
        <v>113.68500000000003</v>
      </c>
      <c r="M2807" s="563">
        <f t="shared" si="131"/>
        <v>757.18500000000006</v>
      </c>
      <c r="N2807" s="580"/>
    </row>
    <row r="2808" spans="4:14" x14ac:dyDescent="0.25">
      <c r="D2808" s="559" t="s">
        <v>867</v>
      </c>
      <c r="E2808" s="558" t="s">
        <v>1533</v>
      </c>
      <c r="F2808" s="559">
        <v>501834</v>
      </c>
      <c r="G2808" s="558" t="s">
        <v>1531</v>
      </c>
      <c r="H2808" s="564">
        <v>40015</v>
      </c>
      <c r="I2808" s="563">
        <v>64.349999999999994</v>
      </c>
      <c r="J2808" s="563">
        <v>-64.349999999999994</v>
      </c>
      <c r="K2808" s="582">
        <f t="shared" si="129"/>
        <v>0</v>
      </c>
      <c r="L2808" s="563">
        <f t="shared" si="130"/>
        <v>0</v>
      </c>
      <c r="M2808" s="563">
        <f t="shared" si="131"/>
        <v>70.784999999999997</v>
      </c>
      <c r="N2808" s="580"/>
    </row>
    <row r="2809" spans="4:14" x14ac:dyDescent="0.25">
      <c r="D2809" s="559" t="s">
        <v>867</v>
      </c>
      <c r="E2809" s="558" t="s">
        <v>1534</v>
      </c>
      <c r="F2809" s="559">
        <v>501838</v>
      </c>
      <c r="G2809" s="558" t="s">
        <v>1531</v>
      </c>
      <c r="H2809" s="564">
        <v>40015</v>
      </c>
      <c r="I2809" s="563">
        <v>688.35</v>
      </c>
      <c r="J2809" s="563">
        <v>-585</v>
      </c>
      <c r="K2809" s="582">
        <f t="shared" si="129"/>
        <v>103.35000000000002</v>
      </c>
      <c r="L2809" s="563">
        <f t="shared" si="130"/>
        <v>113.68500000000003</v>
      </c>
      <c r="M2809" s="563">
        <f t="shared" si="131"/>
        <v>757.18500000000006</v>
      </c>
      <c r="N2809" s="580"/>
    </row>
    <row r="2810" spans="4:14" x14ac:dyDescent="0.25">
      <c r="D2810" s="559" t="s">
        <v>867</v>
      </c>
      <c r="E2810" s="558" t="s">
        <v>1535</v>
      </c>
      <c r="F2810" s="559">
        <v>501842</v>
      </c>
      <c r="G2810" s="558" t="s">
        <v>1531</v>
      </c>
      <c r="H2810" s="564">
        <v>40015</v>
      </c>
      <c r="I2810" s="563">
        <v>64.349999999999994</v>
      </c>
      <c r="J2810" s="563">
        <v>-64.349999999999994</v>
      </c>
      <c r="K2810" s="582">
        <f t="shared" si="129"/>
        <v>0</v>
      </c>
      <c r="L2810" s="563">
        <f t="shared" si="130"/>
        <v>0</v>
      </c>
      <c r="M2810" s="563">
        <f t="shared" si="131"/>
        <v>70.784999999999997</v>
      </c>
      <c r="N2810" s="580"/>
    </row>
    <row r="2811" spans="4:14" x14ac:dyDescent="0.25">
      <c r="D2811" s="559" t="s">
        <v>867</v>
      </c>
      <c r="E2811" s="558" t="s">
        <v>1536</v>
      </c>
      <c r="F2811" s="559">
        <v>501843</v>
      </c>
      <c r="G2811" s="558" t="s">
        <v>1537</v>
      </c>
      <c r="H2811" s="564">
        <v>40015</v>
      </c>
      <c r="I2811" s="563">
        <v>688.35</v>
      </c>
      <c r="J2811" s="563">
        <v>-585</v>
      </c>
      <c r="K2811" s="582">
        <f t="shared" si="129"/>
        <v>103.35000000000002</v>
      </c>
      <c r="L2811" s="563">
        <f t="shared" si="130"/>
        <v>113.68500000000003</v>
      </c>
      <c r="M2811" s="563">
        <f t="shared" si="131"/>
        <v>757.18500000000006</v>
      </c>
      <c r="N2811" s="580"/>
    </row>
    <row r="2812" spans="4:14" x14ac:dyDescent="0.25">
      <c r="D2812" s="559" t="s">
        <v>867</v>
      </c>
      <c r="E2812" s="558" t="s">
        <v>1538</v>
      </c>
      <c r="F2812" s="559">
        <v>501844</v>
      </c>
      <c r="G2812" s="558" t="s">
        <v>1537</v>
      </c>
      <c r="H2812" s="564">
        <v>40015</v>
      </c>
      <c r="I2812" s="563">
        <v>688.35</v>
      </c>
      <c r="J2812" s="563">
        <v>-585</v>
      </c>
      <c r="K2812" s="582">
        <f t="shared" si="129"/>
        <v>103.35000000000002</v>
      </c>
      <c r="L2812" s="563">
        <f t="shared" si="130"/>
        <v>113.68500000000003</v>
      </c>
      <c r="M2812" s="563">
        <f t="shared" si="131"/>
        <v>757.18500000000006</v>
      </c>
      <c r="N2812" s="580"/>
    </row>
    <row r="2813" spans="4:14" x14ac:dyDescent="0.25">
      <c r="D2813" s="559" t="s">
        <v>867</v>
      </c>
      <c r="E2813" s="558" t="s">
        <v>1539</v>
      </c>
      <c r="F2813" s="559">
        <v>501845</v>
      </c>
      <c r="G2813" s="558" t="s">
        <v>1537</v>
      </c>
      <c r="H2813" s="564">
        <v>40015</v>
      </c>
      <c r="I2813" s="563">
        <v>103.35</v>
      </c>
      <c r="J2813" s="563">
        <v>-103.35</v>
      </c>
      <c r="K2813" s="582">
        <f t="shared" si="129"/>
        <v>0</v>
      </c>
      <c r="L2813" s="563">
        <f t="shared" si="130"/>
        <v>0</v>
      </c>
      <c r="M2813" s="563">
        <f t="shared" si="131"/>
        <v>113.685</v>
      </c>
      <c r="N2813" s="580"/>
    </row>
    <row r="2814" spans="4:14" x14ac:dyDescent="0.25">
      <c r="D2814" s="559" t="s">
        <v>867</v>
      </c>
      <c r="E2814" s="558" t="s">
        <v>1540</v>
      </c>
      <c r="F2814" s="559">
        <v>501846</v>
      </c>
      <c r="G2814" s="558" t="s">
        <v>1537</v>
      </c>
      <c r="H2814" s="564">
        <v>40015</v>
      </c>
      <c r="I2814" s="563">
        <v>688.35</v>
      </c>
      <c r="J2814" s="563">
        <v>-585</v>
      </c>
      <c r="K2814" s="582">
        <f t="shared" si="129"/>
        <v>103.35000000000002</v>
      </c>
      <c r="L2814" s="563">
        <f t="shared" si="130"/>
        <v>113.68500000000003</v>
      </c>
      <c r="M2814" s="563">
        <f t="shared" si="131"/>
        <v>757.18500000000006</v>
      </c>
      <c r="N2814" s="580"/>
    </row>
    <row r="2815" spans="4:14" x14ac:dyDescent="0.25">
      <c r="D2815" s="559" t="s">
        <v>867</v>
      </c>
      <c r="E2815" s="558" t="s">
        <v>1541</v>
      </c>
      <c r="F2815" s="559">
        <v>501848</v>
      </c>
      <c r="G2815" s="558" t="s">
        <v>1537</v>
      </c>
      <c r="H2815" s="564">
        <v>40015</v>
      </c>
      <c r="I2815" s="563">
        <v>688.35</v>
      </c>
      <c r="J2815" s="563">
        <v>-585</v>
      </c>
      <c r="K2815" s="582">
        <f t="shared" si="129"/>
        <v>103.35000000000002</v>
      </c>
      <c r="L2815" s="563">
        <f t="shared" si="130"/>
        <v>113.68500000000003</v>
      </c>
      <c r="M2815" s="563">
        <f t="shared" si="131"/>
        <v>757.18500000000006</v>
      </c>
      <c r="N2815" s="580"/>
    </row>
    <row r="2816" spans="4:14" x14ac:dyDescent="0.25">
      <c r="D2816" s="559" t="s">
        <v>867</v>
      </c>
      <c r="E2816" s="558" t="s">
        <v>1542</v>
      </c>
      <c r="F2816" s="559">
        <v>501850</v>
      </c>
      <c r="G2816" s="558" t="s">
        <v>1543</v>
      </c>
      <c r="H2816" s="564">
        <v>40015</v>
      </c>
      <c r="I2816" s="563">
        <v>64.349999999999994</v>
      </c>
      <c r="J2816" s="563">
        <v>-64.349999999999994</v>
      </c>
      <c r="K2816" s="582">
        <f t="shared" si="129"/>
        <v>0</v>
      </c>
      <c r="L2816" s="563">
        <f t="shared" si="130"/>
        <v>0</v>
      </c>
      <c r="M2816" s="563">
        <f t="shared" si="131"/>
        <v>70.784999999999997</v>
      </c>
      <c r="N2816" s="580"/>
    </row>
    <row r="2817" spans="4:14" x14ac:dyDescent="0.25">
      <c r="D2817" s="559" t="s">
        <v>867</v>
      </c>
      <c r="E2817" s="558" t="s">
        <v>1544</v>
      </c>
      <c r="F2817" s="559">
        <v>501851</v>
      </c>
      <c r="G2817" s="558" t="s">
        <v>1543</v>
      </c>
      <c r="H2817" s="564">
        <v>40015</v>
      </c>
      <c r="I2817" s="563">
        <v>688.35</v>
      </c>
      <c r="J2817" s="563">
        <v>-585</v>
      </c>
      <c r="K2817" s="582">
        <f t="shared" si="129"/>
        <v>103.35000000000002</v>
      </c>
      <c r="L2817" s="563">
        <f t="shared" si="130"/>
        <v>113.68500000000003</v>
      </c>
      <c r="M2817" s="563">
        <f t="shared" si="131"/>
        <v>757.18500000000006</v>
      </c>
      <c r="N2817" s="580"/>
    </row>
    <row r="2818" spans="4:14" x14ac:dyDescent="0.25">
      <c r="D2818" s="559" t="s">
        <v>867</v>
      </c>
      <c r="E2818" s="558" t="s">
        <v>1545</v>
      </c>
      <c r="F2818" s="559">
        <v>501854</v>
      </c>
      <c r="G2818" s="558" t="s">
        <v>1543</v>
      </c>
      <c r="H2818" s="564">
        <v>40015</v>
      </c>
      <c r="I2818" s="563">
        <v>64.349999999999994</v>
      </c>
      <c r="J2818" s="563">
        <v>-64.349999999999994</v>
      </c>
      <c r="K2818" s="582">
        <f t="shared" si="129"/>
        <v>0</v>
      </c>
      <c r="L2818" s="563">
        <f t="shared" si="130"/>
        <v>0</v>
      </c>
      <c r="M2818" s="563">
        <f t="shared" si="131"/>
        <v>70.784999999999997</v>
      </c>
      <c r="N2818" s="580"/>
    </row>
    <row r="2819" spans="4:14" x14ac:dyDescent="0.25">
      <c r="D2819" s="559" t="s">
        <v>867</v>
      </c>
      <c r="E2819" s="558" t="s">
        <v>1546</v>
      </c>
      <c r="F2819" s="559">
        <v>501855</v>
      </c>
      <c r="G2819" s="558" t="s">
        <v>1543</v>
      </c>
      <c r="H2819" s="564">
        <v>40015</v>
      </c>
      <c r="I2819" s="563">
        <v>688.35</v>
      </c>
      <c r="J2819" s="563">
        <v>-585</v>
      </c>
      <c r="K2819" s="582">
        <f t="shared" si="129"/>
        <v>103.35000000000002</v>
      </c>
      <c r="L2819" s="563">
        <f t="shared" si="130"/>
        <v>113.68500000000003</v>
      </c>
      <c r="M2819" s="563">
        <f t="shared" si="131"/>
        <v>757.18500000000006</v>
      </c>
      <c r="N2819" s="580"/>
    </row>
    <row r="2820" spans="4:14" x14ac:dyDescent="0.25">
      <c r="D2820" s="559" t="s">
        <v>867</v>
      </c>
      <c r="E2820" s="558" t="s">
        <v>1547</v>
      </c>
      <c r="F2820" s="559">
        <v>501856</v>
      </c>
      <c r="G2820" s="558" t="s">
        <v>1543</v>
      </c>
      <c r="H2820" s="564">
        <v>40015</v>
      </c>
      <c r="I2820" s="563">
        <v>688.35</v>
      </c>
      <c r="J2820" s="563">
        <v>-585</v>
      </c>
      <c r="K2820" s="582">
        <f t="shared" si="129"/>
        <v>103.35000000000002</v>
      </c>
      <c r="L2820" s="563">
        <f t="shared" si="130"/>
        <v>113.68500000000003</v>
      </c>
      <c r="M2820" s="563">
        <f t="shared" si="131"/>
        <v>757.18500000000006</v>
      </c>
      <c r="N2820" s="580"/>
    </row>
    <row r="2821" spans="4:14" x14ac:dyDescent="0.25">
      <c r="D2821" s="559" t="s">
        <v>867</v>
      </c>
      <c r="E2821" s="558" t="s">
        <v>1548</v>
      </c>
      <c r="F2821" s="559">
        <v>501857</v>
      </c>
      <c r="G2821" s="558" t="s">
        <v>1549</v>
      </c>
      <c r="H2821" s="564">
        <v>40015</v>
      </c>
      <c r="I2821" s="563">
        <v>688.35</v>
      </c>
      <c r="J2821" s="563">
        <v>-585</v>
      </c>
      <c r="K2821" s="582">
        <f t="shared" si="129"/>
        <v>103.35000000000002</v>
      </c>
      <c r="L2821" s="563">
        <f t="shared" si="130"/>
        <v>113.68500000000003</v>
      </c>
      <c r="M2821" s="563">
        <f t="shared" si="131"/>
        <v>757.18500000000006</v>
      </c>
      <c r="N2821" s="580"/>
    </row>
    <row r="2822" spans="4:14" x14ac:dyDescent="0.25">
      <c r="D2822" s="559" t="s">
        <v>867</v>
      </c>
      <c r="E2822" s="558" t="s">
        <v>1550</v>
      </c>
      <c r="F2822" s="559">
        <v>501866</v>
      </c>
      <c r="G2822" s="558" t="s">
        <v>1549</v>
      </c>
      <c r="H2822" s="564">
        <v>40015</v>
      </c>
      <c r="I2822" s="563">
        <v>688.35</v>
      </c>
      <c r="J2822" s="563">
        <v>-585</v>
      </c>
      <c r="K2822" s="582">
        <f t="shared" si="129"/>
        <v>103.35000000000002</v>
      </c>
      <c r="L2822" s="563">
        <f t="shared" si="130"/>
        <v>113.68500000000003</v>
      </c>
      <c r="M2822" s="563">
        <f t="shared" si="131"/>
        <v>757.18500000000006</v>
      </c>
      <c r="N2822" s="580"/>
    </row>
    <row r="2823" spans="4:14" x14ac:dyDescent="0.25">
      <c r="D2823" s="559" t="s">
        <v>867</v>
      </c>
      <c r="E2823" s="558" t="s">
        <v>1551</v>
      </c>
      <c r="F2823" s="559">
        <v>501867</v>
      </c>
      <c r="G2823" s="558" t="s">
        <v>1549</v>
      </c>
      <c r="H2823" s="564">
        <v>40015</v>
      </c>
      <c r="I2823" s="563">
        <v>64.349999999999994</v>
      </c>
      <c r="J2823" s="563">
        <v>-64.349999999999994</v>
      </c>
      <c r="K2823" s="582">
        <f t="shared" si="129"/>
        <v>0</v>
      </c>
      <c r="L2823" s="563">
        <f t="shared" si="130"/>
        <v>0</v>
      </c>
      <c r="M2823" s="563">
        <f t="shared" si="131"/>
        <v>70.784999999999997</v>
      </c>
      <c r="N2823" s="580"/>
    </row>
    <row r="2824" spans="4:14" x14ac:dyDescent="0.25">
      <c r="D2824" s="559" t="s">
        <v>867</v>
      </c>
      <c r="E2824" s="558" t="s">
        <v>1552</v>
      </c>
      <c r="F2824" s="559">
        <v>501868</v>
      </c>
      <c r="G2824" s="558" t="s">
        <v>1549</v>
      </c>
      <c r="H2824" s="564">
        <v>40015</v>
      </c>
      <c r="I2824" s="563">
        <v>64.349999999999994</v>
      </c>
      <c r="J2824" s="563">
        <v>-64.349999999999994</v>
      </c>
      <c r="K2824" s="582">
        <f t="shared" si="129"/>
        <v>0</v>
      </c>
      <c r="L2824" s="563">
        <f t="shared" si="130"/>
        <v>0</v>
      </c>
      <c r="M2824" s="563">
        <f t="shared" si="131"/>
        <v>70.784999999999997</v>
      </c>
      <c r="N2824" s="580"/>
    </row>
    <row r="2825" spans="4:14" x14ac:dyDescent="0.25">
      <c r="D2825" s="559" t="s">
        <v>867</v>
      </c>
      <c r="E2825" s="558" t="s">
        <v>1553</v>
      </c>
      <c r="F2825" s="559">
        <v>501869</v>
      </c>
      <c r="G2825" s="558" t="s">
        <v>1549</v>
      </c>
      <c r="H2825" s="564">
        <v>40015</v>
      </c>
      <c r="I2825" s="563">
        <v>64.349999999999994</v>
      </c>
      <c r="J2825" s="563">
        <v>-64.349999999999994</v>
      </c>
      <c r="K2825" s="582">
        <f t="shared" si="129"/>
        <v>0</v>
      </c>
      <c r="L2825" s="563">
        <f t="shared" si="130"/>
        <v>0</v>
      </c>
      <c r="M2825" s="563">
        <f t="shared" si="131"/>
        <v>70.784999999999997</v>
      </c>
      <c r="N2825" s="580"/>
    </row>
    <row r="2826" spans="4:14" x14ac:dyDescent="0.25">
      <c r="D2826" s="559" t="s">
        <v>867</v>
      </c>
      <c r="E2826" s="558" t="s">
        <v>1554</v>
      </c>
      <c r="F2826" s="559">
        <v>501872</v>
      </c>
      <c r="G2826" s="558" t="s">
        <v>1555</v>
      </c>
      <c r="H2826" s="564">
        <v>40015</v>
      </c>
      <c r="I2826" s="563">
        <v>64.349999999999994</v>
      </c>
      <c r="J2826" s="563">
        <v>-64.349999999999994</v>
      </c>
      <c r="K2826" s="582">
        <f t="shared" si="129"/>
        <v>0</v>
      </c>
      <c r="L2826" s="563">
        <f t="shared" si="130"/>
        <v>0</v>
      </c>
      <c r="M2826" s="563">
        <f t="shared" si="131"/>
        <v>70.784999999999997</v>
      </c>
      <c r="N2826" s="580"/>
    </row>
    <row r="2827" spans="4:14" x14ac:dyDescent="0.25">
      <c r="D2827" s="559" t="s">
        <v>867</v>
      </c>
      <c r="E2827" s="558" t="s">
        <v>1556</v>
      </c>
      <c r="F2827" s="559">
        <v>501873</v>
      </c>
      <c r="G2827" s="558" t="s">
        <v>1555</v>
      </c>
      <c r="H2827" s="564">
        <v>40015</v>
      </c>
      <c r="I2827" s="563">
        <v>688.35</v>
      </c>
      <c r="J2827" s="563">
        <v>-585</v>
      </c>
      <c r="K2827" s="582">
        <f t="shared" si="129"/>
        <v>103.35000000000002</v>
      </c>
      <c r="L2827" s="563">
        <f t="shared" si="130"/>
        <v>113.68500000000003</v>
      </c>
      <c r="M2827" s="563">
        <f t="shared" si="131"/>
        <v>757.18500000000006</v>
      </c>
      <c r="N2827" s="580"/>
    </row>
    <row r="2828" spans="4:14" x14ac:dyDescent="0.25">
      <c r="D2828" s="559" t="s">
        <v>867</v>
      </c>
      <c r="E2828" s="558" t="s">
        <v>1557</v>
      </c>
      <c r="F2828" s="559">
        <v>501875</v>
      </c>
      <c r="G2828" s="558" t="s">
        <v>1555</v>
      </c>
      <c r="H2828" s="564">
        <v>40015</v>
      </c>
      <c r="I2828" s="563">
        <v>688.35</v>
      </c>
      <c r="J2828" s="563">
        <v>-585</v>
      </c>
      <c r="K2828" s="582">
        <f t="shared" si="129"/>
        <v>103.35000000000002</v>
      </c>
      <c r="L2828" s="563">
        <f t="shared" si="130"/>
        <v>113.68500000000003</v>
      </c>
      <c r="M2828" s="563">
        <f t="shared" si="131"/>
        <v>757.18500000000006</v>
      </c>
      <c r="N2828" s="580"/>
    </row>
    <row r="2829" spans="4:14" x14ac:dyDescent="0.25">
      <c r="D2829" s="559" t="s">
        <v>867</v>
      </c>
      <c r="E2829" s="558" t="s">
        <v>1558</v>
      </c>
      <c r="F2829" s="559">
        <v>501879</v>
      </c>
      <c r="G2829" s="558" t="s">
        <v>1555</v>
      </c>
      <c r="H2829" s="564">
        <v>40015</v>
      </c>
      <c r="I2829" s="563">
        <v>298.35000000000002</v>
      </c>
      <c r="J2829" s="563">
        <v>-298.35000000000002</v>
      </c>
      <c r="K2829" s="582">
        <f t="shared" si="129"/>
        <v>0</v>
      </c>
      <c r="L2829" s="563">
        <f t="shared" si="130"/>
        <v>0</v>
      </c>
      <c r="M2829" s="563">
        <f t="shared" si="131"/>
        <v>328.18500000000006</v>
      </c>
      <c r="N2829" s="580"/>
    </row>
    <row r="2830" spans="4:14" x14ac:dyDescent="0.25">
      <c r="D2830" s="559" t="s">
        <v>867</v>
      </c>
      <c r="E2830" s="558" t="s">
        <v>1559</v>
      </c>
      <c r="F2830" s="559">
        <v>501880</v>
      </c>
      <c r="G2830" s="558" t="s">
        <v>1555</v>
      </c>
      <c r="H2830" s="564">
        <v>40015</v>
      </c>
      <c r="I2830" s="563">
        <v>25.35</v>
      </c>
      <c r="J2830" s="563">
        <v>-25.35</v>
      </c>
      <c r="K2830" s="582">
        <f t="shared" si="129"/>
        <v>0</v>
      </c>
      <c r="L2830" s="563">
        <f t="shared" si="130"/>
        <v>0</v>
      </c>
      <c r="M2830" s="563">
        <f t="shared" si="131"/>
        <v>27.885000000000005</v>
      </c>
      <c r="N2830" s="580"/>
    </row>
    <row r="2831" spans="4:14" x14ac:dyDescent="0.25">
      <c r="D2831" s="559" t="s">
        <v>867</v>
      </c>
      <c r="E2831" s="558" t="s">
        <v>1560</v>
      </c>
      <c r="F2831" s="559">
        <v>501883</v>
      </c>
      <c r="G2831" s="558" t="s">
        <v>1561</v>
      </c>
      <c r="H2831" s="564">
        <v>40015</v>
      </c>
      <c r="I2831" s="563">
        <v>64.349999999999994</v>
      </c>
      <c r="J2831" s="563">
        <v>-64.349999999999994</v>
      </c>
      <c r="K2831" s="582">
        <f t="shared" si="129"/>
        <v>0</v>
      </c>
      <c r="L2831" s="563">
        <f t="shared" si="130"/>
        <v>0</v>
      </c>
      <c r="M2831" s="563">
        <f t="shared" si="131"/>
        <v>70.784999999999997</v>
      </c>
      <c r="N2831" s="580"/>
    </row>
    <row r="2832" spans="4:14" x14ac:dyDescent="0.25">
      <c r="D2832" s="559" t="s">
        <v>867</v>
      </c>
      <c r="E2832" s="558" t="s">
        <v>1562</v>
      </c>
      <c r="F2832" s="559">
        <v>501884</v>
      </c>
      <c r="G2832" s="558" t="s">
        <v>1561</v>
      </c>
      <c r="H2832" s="564">
        <v>40015</v>
      </c>
      <c r="I2832" s="563">
        <v>688.35</v>
      </c>
      <c r="J2832" s="563">
        <v>-585</v>
      </c>
      <c r="K2832" s="582">
        <f t="shared" si="129"/>
        <v>103.35000000000002</v>
      </c>
      <c r="L2832" s="563">
        <f t="shared" si="130"/>
        <v>113.68500000000003</v>
      </c>
      <c r="M2832" s="563">
        <f t="shared" si="131"/>
        <v>757.18500000000006</v>
      </c>
      <c r="N2832" s="580"/>
    </row>
    <row r="2833" spans="4:14" x14ac:dyDescent="0.25">
      <c r="D2833" s="559" t="s">
        <v>867</v>
      </c>
      <c r="E2833" s="558" t="s">
        <v>1563</v>
      </c>
      <c r="F2833" s="559">
        <v>501885</v>
      </c>
      <c r="G2833" s="558" t="s">
        <v>1561</v>
      </c>
      <c r="H2833" s="564">
        <v>40015</v>
      </c>
      <c r="I2833" s="563">
        <v>64.349999999999994</v>
      </c>
      <c r="J2833" s="563">
        <v>-64.349999999999994</v>
      </c>
      <c r="K2833" s="582">
        <f t="shared" si="129"/>
        <v>0</v>
      </c>
      <c r="L2833" s="563">
        <f t="shared" si="130"/>
        <v>0</v>
      </c>
      <c r="M2833" s="563">
        <f t="shared" si="131"/>
        <v>70.784999999999997</v>
      </c>
      <c r="N2833" s="580"/>
    </row>
    <row r="2834" spans="4:14" x14ac:dyDescent="0.25">
      <c r="D2834" s="559" t="s">
        <v>867</v>
      </c>
      <c r="E2834" s="558" t="s">
        <v>1564</v>
      </c>
      <c r="F2834" s="559">
        <v>501888</v>
      </c>
      <c r="G2834" s="558" t="s">
        <v>1561</v>
      </c>
      <c r="H2834" s="564">
        <v>40015</v>
      </c>
      <c r="I2834" s="563">
        <v>64.349999999999994</v>
      </c>
      <c r="J2834" s="563">
        <v>-64.349999999999994</v>
      </c>
      <c r="K2834" s="582">
        <f t="shared" si="129"/>
        <v>0</v>
      </c>
      <c r="L2834" s="563">
        <f t="shared" si="130"/>
        <v>0</v>
      </c>
      <c r="M2834" s="563">
        <f t="shared" si="131"/>
        <v>70.784999999999997</v>
      </c>
      <c r="N2834" s="580"/>
    </row>
    <row r="2835" spans="4:14" x14ac:dyDescent="0.25">
      <c r="D2835" s="559" t="s">
        <v>867</v>
      </c>
      <c r="E2835" s="558" t="s">
        <v>1565</v>
      </c>
      <c r="F2835" s="559">
        <v>501890</v>
      </c>
      <c r="G2835" s="558" t="s">
        <v>1561</v>
      </c>
      <c r="H2835" s="564">
        <v>40015</v>
      </c>
      <c r="I2835" s="563">
        <v>64.349999999999994</v>
      </c>
      <c r="J2835" s="563">
        <v>-64.349999999999994</v>
      </c>
      <c r="K2835" s="582">
        <f t="shared" si="129"/>
        <v>0</v>
      </c>
      <c r="L2835" s="563">
        <f t="shared" si="130"/>
        <v>0</v>
      </c>
      <c r="M2835" s="563">
        <f t="shared" si="131"/>
        <v>70.784999999999997</v>
      </c>
      <c r="N2835" s="580"/>
    </row>
    <row r="2836" spans="4:14" x14ac:dyDescent="0.25">
      <c r="D2836" s="559" t="s">
        <v>867</v>
      </c>
      <c r="E2836" s="558" t="s">
        <v>1566</v>
      </c>
      <c r="F2836" s="559">
        <v>501891</v>
      </c>
      <c r="G2836" s="558" t="s">
        <v>1567</v>
      </c>
      <c r="H2836" s="564">
        <v>40015</v>
      </c>
      <c r="I2836" s="563">
        <v>64.349999999999994</v>
      </c>
      <c r="J2836" s="563">
        <v>-64.349999999999994</v>
      </c>
      <c r="K2836" s="582">
        <f t="shared" si="129"/>
        <v>0</v>
      </c>
      <c r="L2836" s="563">
        <f t="shared" si="130"/>
        <v>0</v>
      </c>
      <c r="M2836" s="563">
        <f t="shared" si="131"/>
        <v>70.784999999999997</v>
      </c>
      <c r="N2836" s="580"/>
    </row>
    <row r="2837" spans="4:14" x14ac:dyDescent="0.25">
      <c r="D2837" s="559" t="s">
        <v>867</v>
      </c>
      <c r="E2837" s="558" t="s">
        <v>4385</v>
      </c>
      <c r="F2837" s="559">
        <v>501892</v>
      </c>
      <c r="G2837" s="558" t="s">
        <v>1567</v>
      </c>
      <c r="H2837" s="564">
        <v>40015</v>
      </c>
      <c r="I2837" s="563">
        <v>64.349999999999994</v>
      </c>
      <c r="J2837" s="563">
        <v>-64.349999999999994</v>
      </c>
      <c r="K2837" s="582">
        <f t="shared" si="129"/>
        <v>0</v>
      </c>
      <c r="L2837" s="563">
        <f t="shared" si="130"/>
        <v>0</v>
      </c>
      <c r="M2837" s="563">
        <f t="shared" si="131"/>
        <v>70.784999999999997</v>
      </c>
      <c r="N2837" s="580"/>
    </row>
    <row r="2838" spans="4:14" x14ac:dyDescent="0.25">
      <c r="D2838" s="559" t="s">
        <v>867</v>
      </c>
      <c r="E2838" s="558" t="s">
        <v>4386</v>
      </c>
      <c r="F2838" s="559">
        <v>501895</v>
      </c>
      <c r="G2838" s="558" t="s">
        <v>1567</v>
      </c>
      <c r="H2838" s="564">
        <v>40015</v>
      </c>
      <c r="I2838" s="563">
        <v>64.349999999999994</v>
      </c>
      <c r="J2838" s="563">
        <v>-64.349999999999994</v>
      </c>
      <c r="K2838" s="582">
        <f t="shared" si="129"/>
        <v>0</v>
      </c>
      <c r="L2838" s="563">
        <f t="shared" si="130"/>
        <v>0</v>
      </c>
      <c r="M2838" s="563">
        <f t="shared" si="131"/>
        <v>70.784999999999997</v>
      </c>
      <c r="N2838" s="580"/>
    </row>
    <row r="2839" spans="4:14" x14ac:dyDescent="0.25">
      <c r="D2839" s="559" t="s">
        <v>867</v>
      </c>
      <c r="E2839" s="558" t="s">
        <v>4387</v>
      </c>
      <c r="F2839" s="559">
        <v>501897</v>
      </c>
      <c r="G2839" s="558" t="s">
        <v>1567</v>
      </c>
      <c r="H2839" s="564">
        <v>40015</v>
      </c>
      <c r="I2839" s="563">
        <v>103.35</v>
      </c>
      <c r="J2839" s="563">
        <v>-103.35</v>
      </c>
      <c r="K2839" s="582">
        <f t="shared" si="129"/>
        <v>0</v>
      </c>
      <c r="L2839" s="563">
        <f t="shared" si="130"/>
        <v>0</v>
      </c>
      <c r="M2839" s="563">
        <f t="shared" si="131"/>
        <v>113.685</v>
      </c>
      <c r="N2839" s="580"/>
    </row>
    <row r="2840" spans="4:14" x14ac:dyDescent="0.25">
      <c r="D2840" s="559" t="s">
        <v>867</v>
      </c>
      <c r="E2840" s="558" t="s">
        <v>4388</v>
      </c>
      <c r="F2840" s="559">
        <v>501898</v>
      </c>
      <c r="G2840" s="558" t="s">
        <v>1567</v>
      </c>
      <c r="H2840" s="564">
        <v>40015</v>
      </c>
      <c r="I2840" s="563">
        <v>688.35</v>
      </c>
      <c r="J2840" s="563">
        <v>-585</v>
      </c>
      <c r="K2840" s="582">
        <f t="shared" si="129"/>
        <v>103.35000000000002</v>
      </c>
      <c r="L2840" s="563">
        <f t="shared" si="130"/>
        <v>113.68500000000003</v>
      </c>
      <c r="M2840" s="563">
        <f t="shared" si="131"/>
        <v>757.18500000000006</v>
      </c>
      <c r="N2840" s="580"/>
    </row>
    <row r="2841" spans="4:14" x14ac:dyDescent="0.25">
      <c r="D2841" s="559" t="s">
        <v>867</v>
      </c>
      <c r="E2841" s="558" t="s">
        <v>4389</v>
      </c>
      <c r="F2841" s="559">
        <v>501899</v>
      </c>
      <c r="G2841" s="558" t="s">
        <v>4390</v>
      </c>
      <c r="H2841" s="564">
        <v>40015</v>
      </c>
      <c r="I2841" s="563">
        <v>688.35</v>
      </c>
      <c r="J2841" s="563">
        <v>-585</v>
      </c>
      <c r="K2841" s="582">
        <f t="shared" si="129"/>
        <v>103.35000000000002</v>
      </c>
      <c r="L2841" s="563">
        <f t="shared" si="130"/>
        <v>113.68500000000003</v>
      </c>
      <c r="M2841" s="563">
        <f t="shared" si="131"/>
        <v>757.18500000000006</v>
      </c>
      <c r="N2841" s="580"/>
    </row>
    <row r="2842" spans="4:14" x14ac:dyDescent="0.25">
      <c r="D2842" s="559" t="s">
        <v>867</v>
      </c>
      <c r="E2842" s="558" t="s">
        <v>4391</v>
      </c>
      <c r="F2842" s="559">
        <v>501900</v>
      </c>
      <c r="G2842" s="558" t="s">
        <v>4390</v>
      </c>
      <c r="H2842" s="564">
        <v>40015</v>
      </c>
      <c r="I2842" s="563">
        <v>25.35</v>
      </c>
      <c r="J2842" s="563">
        <v>-25.35</v>
      </c>
      <c r="K2842" s="582">
        <f t="shared" si="129"/>
        <v>0</v>
      </c>
      <c r="L2842" s="563">
        <f t="shared" si="130"/>
        <v>0</v>
      </c>
      <c r="M2842" s="563">
        <f t="shared" si="131"/>
        <v>27.885000000000005</v>
      </c>
      <c r="N2842" s="580"/>
    </row>
    <row r="2843" spans="4:14" x14ac:dyDescent="0.25">
      <c r="D2843" s="559" t="s">
        <v>867</v>
      </c>
      <c r="E2843" s="558" t="s">
        <v>4392</v>
      </c>
      <c r="F2843" s="559">
        <v>501901</v>
      </c>
      <c r="G2843" s="558" t="s">
        <v>4390</v>
      </c>
      <c r="H2843" s="564">
        <v>40015</v>
      </c>
      <c r="I2843" s="563">
        <v>64.349999999999994</v>
      </c>
      <c r="J2843" s="563">
        <v>-64.349999999999994</v>
      </c>
      <c r="K2843" s="582">
        <f t="shared" si="129"/>
        <v>0</v>
      </c>
      <c r="L2843" s="563">
        <f t="shared" si="130"/>
        <v>0</v>
      </c>
      <c r="M2843" s="563">
        <f t="shared" si="131"/>
        <v>70.784999999999997</v>
      </c>
      <c r="N2843" s="580"/>
    </row>
    <row r="2844" spans="4:14" x14ac:dyDescent="0.25">
      <c r="D2844" s="559" t="s">
        <v>867</v>
      </c>
      <c r="E2844" s="558" t="s">
        <v>4393</v>
      </c>
      <c r="F2844" s="559">
        <v>501904</v>
      </c>
      <c r="G2844" s="558" t="s">
        <v>4390</v>
      </c>
      <c r="H2844" s="564">
        <v>40015</v>
      </c>
      <c r="I2844" s="563">
        <v>64.349999999999994</v>
      </c>
      <c r="J2844" s="563">
        <v>-64.349999999999994</v>
      </c>
      <c r="K2844" s="582">
        <f t="shared" si="129"/>
        <v>0</v>
      </c>
      <c r="L2844" s="563">
        <f t="shared" si="130"/>
        <v>0</v>
      </c>
      <c r="M2844" s="563">
        <f t="shared" si="131"/>
        <v>70.784999999999997</v>
      </c>
      <c r="N2844" s="580"/>
    </row>
    <row r="2845" spans="4:14" x14ac:dyDescent="0.25">
      <c r="D2845" s="559" t="s">
        <v>867</v>
      </c>
      <c r="E2845" s="558" t="s">
        <v>4394</v>
      </c>
      <c r="F2845" s="559">
        <v>501905</v>
      </c>
      <c r="G2845" s="558" t="s">
        <v>4390</v>
      </c>
      <c r="H2845" s="564">
        <v>40015</v>
      </c>
      <c r="I2845" s="563">
        <v>688.35</v>
      </c>
      <c r="J2845" s="563">
        <v>-585</v>
      </c>
      <c r="K2845" s="582">
        <f t="shared" si="129"/>
        <v>103.35000000000002</v>
      </c>
      <c r="L2845" s="563">
        <f t="shared" si="130"/>
        <v>113.68500000000003</v>
      </c>
      <c r="M2845" s="563">
        <f t="shared" si="131"/>
        <v>757.18500000000006</v>
      </c>
      <c r="N2845" s="580"/>
    </row>
    <row r="2846" spans="4:14" x14ac:dyDescent="0.25">
      <c r="D2846" s="559" t="s">
        <v>867</v>
      </c>
      <c r="E2846" s="558" t="s">
        <v>4395</v>
      </c>
      <c r="F2846" s="559">
        <v>501910</v>
      </c>
      <c r="G2846" s="558" t="s">
        <v>4396</v>
      </c>
      <c r="H2846" s="564">
        <v>40015</v>
      </c>
      <c r="I2846" s="563">
        <v>688.35</v>
      </c>
      <c r="J2846" s="563">
        <v>-585</v>
      </c>
      <c r="K2846" s="582">
        <f t="shared" si="129"/>
        <v>103.35000000000002</v>
      </c>
      <c r="L2846" s="563">
        <f t="shared" si="130"/>
        <v>113.68500000000003</v>
      </c>
      <c r="M2846" s="563">
        <f t="shared" si="131"/>
        <v>757.18500000000006</v>
      </c>
      <c r="N2846" s="580"/>
    </row>
    <row r="2847" spans="4:14" x14ac:dyDescent="0.25">
      <c r="D2847" s="559" t="s">
        <v>867</v>
      </c>
      <c r="E2847" s="558" t="s">
        <v>4397</v>
      </c>
      <c r="F2847" s="559">
        <v>501912</v>
      </c>
      <c r="G2847" s="558" t="s">
        <v>4396</v>
      </c>
      <c r="H2847" s="564">
        <v>40015</v>
      </c>
      <c r="I2847" s="563">
        <v>64.349999999999994</v>
      </c>
      <c r="J2847" s="563">
        <v>-64.349999999999994</v>
      </c>
      <c r="K2847" s="582">
        <f t="shared" si="129"/>
        <v>0</v>
      </c>
      <c r="L2847" s="563">
        <f t="shared" si="130"/>
        <v>0</v>
      </c>
      <c r="M2847" s="563">
        <f t="shared" si="131"/>
        <v>70.784999999999997</v>
      </c>
      <c r="N2847" s="580"/>
    </row>
    <row r="2848" spans="4:14" x14ac:dyDescent="0.25">
      <c r="D2848" s="559" t="s">
        <v>867</v>
      </c>
      <c r="E2848" s="558" t="s">
        <v>4398</v>
      </c>
      <c r="F2848" s="559">
        <v>501913</v>
      </c>
      <c r="G2848" s="558" t="s">
        <v>4396</v>
      </c>
      <c r="H2848" s="564">
        <v>40015</v>
      </c>
      <c r="I2848" s="563">
        <v>64.349999999999994</v>
      </c>
      <c r="J2848" s="563">
        <v>-64.349999999999994</v>
      </c>
      <c r="K2848" s="582">
        <f t="shared" si="129"/>
        <v>0</v>
      </c>
      <c r="L2848" s="563">
        <f t="shared" si="130"/>
        <v>0</v>
      </c>
      <c r="M2848" s="563">
        <f t="shared" si="131"/>
        <v>70.784999999999997</v>
      </c>
      <c r="N2848" s="580"/>
    </row>
    <row r="2849" spans="4:14" x14ac:dyDescent="0.25">
      <c r="D2849" s="559" t="s">
        <v>867</v>
      </c>
      <c r="E2849" s="558" t="s">
        <v>4399</v>
      </c>
      <c r="F2849" s="559">
        <v>501914</v>
      </c>
      <c r="G2849" s="558" t="s">
        <v>4396</v>
      </c>
      <c r="H2849" s="564">
        <v>40015</v>
      </c>
      <c r="I2849" s="563">
        <v>64.349999999999994</v>
      </c>
      <c r="J2849" s="563">
        <v>-64.349999999999994</v>
      </c>
      <c r="K2849" s="582">
        <f t="shared" si="129"/>
        <v>0</v>
      </c>
      <c r="L2849" s="563">
        <f t="shared" si="130"/>
        <v>0</v>
      </c>
      <c r="M2849" s="563">
        <f t="shared" si="131"/>
        <v>70.784999999999997</v>
      </c>
      <c r="N2849" s="580"/>
    </row>
    <row r="2850" spans="4:14" x14ac:dyDescent="0.25">
      <c r="D2850" s="559" t="s">
        <v>867</v>
      </c>
      <c r="E2850" s="558" t="s">
        <v>4400</v>
      </c>
      <c r="F2850" s="559">
        <v>501920</v>
      </c>
      <c r="G2850" s="558" t="s">
        <v>4396</v>
      </c>
      <c r="H2850" s="564">
        <v>40015</v>
      </c>
      <c r="I2850" s="563">
        <v>64.349999999999994</v>
      </c>
      <c r="J2850" s="563">
        <v>-64.349999999999994</v>
      </c>
      <c r="K2850" s="582">
        <f t="shared" si="129"/>
        <v>0</v>
      </c>
      <c r="L2850" s="563">
        <f t="shared" si="130"/>
        <v>0</v>
      </c>
      <c r="M2850" s="563">
        <f t="shared" si="131"/>
        <v>70.784999999999997</v>
      </c>
      <c r="N2850" s="580"/>
    </row>
    <row r="2851" spans="4:14" x14ac:dyDescent="0.25">
      <c r="D2851" s="559" t="s">
        <v>867</v>
      </c>
      <c r="E2851" s="558" t="s">
        <v>4401</v>
      </c>
      <c r="F2851" s="559">
        <v>501922</v>
      </c>
      <c r="G2851" s="558" t="s">
        <v>4402</v>
      </c>
      <c r="H2851" s="564">
        <v>40015</v>
      </c>
      <c r="I2851" s="563">
        <v>688.35</v>
      </c>
      <c r="J2851" s="563">
        <v>-585</v>
      </c>
      <c r="K2851" s="582">
        <f t="shared" si="129"/>
        <v>103.35000000000002</v>
      </c>
      <c r="L2851" s="563">
        <f t="shared" si="130"/>
        <v>113.68500000000003</v>
      </c>
      <c r="M2851" s="563">
        <f t="shared" si="131"/>
        <v>757.18500000000006</v>
      </c>
      <c r="N2851" s="580"/>
    </row>
    <row r="2852" spans="4:14" x14ac:dyDescent="0.25">
      <c r="D2852" s="559" t="s">
        <v>867</v>
      </c>
      <c r="E2852" s="558" t="s">
        <v>4403</v>
      </c>
      <c r="F2852" s="559">
        <v>501925</v>
      </c>
      <c r="G2852" s="558" t="s">
        <v>4402</v>
      </c>
      <c r="H2852" s="564">
        <v>40015</v>
      </c>
      <c r="I2852" s="563">
        <v>688.35</v>
      </c>
      <c r="J2852" s="563">
        <v>-585</v>
      </c>
      <c r="K2852" s="582">
        <f t="shared" si="129"/>
        <v>103.35000000000002</v>
      </c>
      <c r="L2852" s="563">
        <f t="shared" si="130"/>
        <v>113.68500000000003</v>
      </c>
      <c r="M2852" s="563">
        <f t="shared" si="131"/>
        <v>757.18500000000006</v>
      </c>
      <c r="N2852" s="580"/>
    </row>
    <row r="2853" spans="4:14" x14ac:dyDescent="0.25">
      <c r="D2853" s="559" t="s">
        <v>867</v>
      </c>
      <c r="E2853" s="558" t="s">
        <v>4404</v>
      </c>
      <c r="F2853" s="559">
        <v>501926</v>
      </c>
      <c r="G2853" s="558" t="s">
        <v>4402</v>
      </c>
      <c r="H2853" s="564">
        <v>40015</v>
      </c>
      <c r="I2853" s="563">
        <v>103.35</v>
      </c>
      <c r="J2853" s="563">
        <v>-103.35</v>
      </c>
      <c r="K2853" s="582">
        <f t="shared" si="129"/>
        <v>0</v>
      </c>
      <c r="L2853" s="563">
        <f t="shared" si="130"/>
        <v>0</v>
      </c>
      <c r="M2853" s="563">
        <f t="shared" si="131"/>
        <v>113.685</v>
      </c>
      <c r="N2853" s="580"/>
    </row>
    <row r="2854" spans="4:14" x14ac:dyDescent="0.25">
      <c r="D2854" s="559" t="s">
        <v>867</v>
      </c>
      <c r="E2854" s="558" t="s">
        <v>4405</v>
      </c>
      <c r="F2854" s="559">
        <v>501927</v>
      </c>
      <c r="G2854" s="558" t="s">
        <v>4402</v>
      </c>
      <c r="H2854" s="564">
        <v>40015</v>
      </c>
      <c r="I2854" s="563">
        <v>64.349999999999994</v>
      </c>
      <c r="J2854" s="563">
        <v>-64.349999999999994</v>
      </c>
      <c r="K2854" s="582">
        <f t="shared" si="129"/>
        <v>0</v>
      </c>
      <c r="L2854" s="563">
        <f t="shared" si="130"/>
        <v>0</v>
      </c>
      <c r="M2854" s="563">
        <f t="shared" si="131"/>
        <v>70.784999999999997</v>
      </c>
      <c r="N2854" s="580"/>
    </row>
    <row r="2855" spans="4:14" x14ac:dyDescent="0.25">
      <c r="D2855" s="559" t="s">
        <v>867</v>
      </c>
      <c r="E2855" s="558" t="s">
        <v>4406</v>
      </c>
      <c r="F2855" s="559">
        <v>501928</v>
      </c>
      <c r="G2855" s="558" t="s">
        <v>4402</v>
      </c>
      <c r="H2855" s="564">
        <v>40015</v>
      </c>
      <c r="I2855" s="563">
        <v>688.35</v>
      </c>
      <c r="J2855" s="563">
        <v>-585</v>
      </c>
      <c r="K2855" s="582">
        <f t="shared" si="129"/>
        <v>103.35000000000002</v>
      </c>
      <c r="L2855" s="563">
        <f t="shared" si="130"/>
        <v>113.68500000000003</v>
      </c>
      <c r="M2855" s="563">
        <f t="shared" si="131"/>
        <v>757.18500000000006</v>
      </c>
      <c r="N2855" s="580"/>
    </row>
    <row r="2856" spans="4:14" x14ac:dyDescent="0.25">
      <c r="D2856" s="559" t="s">
        <v>867</v>
      </c>
      <c r="E2856" s="558" t="s">
        <v>4407</v>
      </c>
      <c r="F2856" s="559">
        <v>501929</v>
      </c>
      <c r="G2856" s="558" t="s">
        <v>4408</v>
      </c>
      <c r="H2856" s="564">
        <v>40015</v>
      </c>
      <c r="I2856" s="563">
        <v>181.35</v>
      </c>
      <c r="J2856" s="563">
        <v>-181.35</v>
      </c>
      <c r="K2856" s="582">
        <f t="shared" si="129"/>
        <v>0</v>
      </c>
      <c r="L2856" s="563">
        <f t="shared" si="130"/>
        <v>0</v>
      </c>
      <c r="M2856" s="563">
        <f t="shared" si="131"/>
        <v>199.48500000000001</v>
      </c>
      <c r="N2856" s="580"/>
    </row>
    <row r="2857" spans="4:14" x14ac:dyDescent="0.25">
      <c r="D2857" s="559" t="s">
        <v>867</v>
      </c>
      <c r="E2857" s="558" t="s">
        <v>4409</v>
      </c>
      <c r="F2857" s="559">
        <v>501930</v>
      </c>
      <c r="G2857" s="558" t="s">
        <v>4408</v>
      </c>
      <c r="H2857" s="564">
        <v>40015</v>
      </c>
      <c r="I2857" s="563">
        <v>64.349999999999994</v>
      </c>
      <c r="J2857" s="563">
        <v>-64.349999999999994</v>
      </c>
      <c r="K2857" s="582">
        <f t="shared" ref="K2857:K2920" si="132">+I2857+J2857</f>
        <v>0</v>
      </c>
      <c r="L2857" s="563">
        <f t="shared" ref="L2857:L2920" si="133">+K2857*1.1</f>
        <v>0</v>
      </c>
      <c r="M2857" s="563">
        <f t="shared" ref="M2857:M2920" si="134">+I2857*1.1</f>
        <v>70.784999999999997</v>
      </c>
      <c r="N2857" s="580"/>
    </row>
    <row r="2858" spans="4:14" x14ac:dyDescent="0.25">
      <c r="D2858" s="559" t="s">
        <v>867</v>
      </c>
      <c r="E2858" s="558" t="s">
        <v>4410</v>
      </c>
      <c r="F2858" s="559">
        <v>501931</v>
      </c>
      <c r="G2858" s="558" t="s">
        <v>4408</v>
      </c>
      <c r="H2858" s="564">
        <v>40015</v>
      </c>
      <c r="I2858" s="563">
        <v>688.35</v>
      </c>
      <c r="J2858" s="563">
        <v>-585</v>
      </c>
      <c r="K2858" s="582">
        <f t="shared" si="132"/>
        <v>103.35000000000002</v>
      </c>
      <c r="L2858" s="563">
        <f t="shared" si="133"/>
        <v>113.68500000000003</v>
      </c>
      <c r="M2858" s="563">
        <f t="shared" si="134"/>
        <v>757.18500000000006</v>
      </c>
      <c r="N2858" s="580"/>
    </row>
    <row r="2859" spans="4:14" x14ac:dyDescent="0.25">
      <c r="D2859" s="559" t="s">
        <v>867</v>
      </c>
      <c r="E2859" s="558" t="s">
        <v>4411</v>
      </c>
      <c r="F2859" s="559">
        <v>501933</v>
      </c>
      <c r="G2859" s="558" t="s">
        <v>4408</v>
      </c>
      <c r="H2859" s="564">
        <v>40015</v>
      </c>
      <c r="I2859" s="563">
        <v>337.35</v>
      </c>
      <c r="J2859" s="563">
        <v>-337.35</v>
      </c>
      <c r="K2859" s="582">
        <f t="shared" si="132"/>
        <v>0</v>
      </c>
      <c r="L2859" s="563">
        <f t="shared" si="133"/>
        <v>0</v>
      </c>
      <c r="M2859" s="563">
        <f t="shared" si="134"/>
        <v>371.08500000000004</v>
      </c>
      <c r="N2859" s="580"/>
    </row>
    <row r="2860" spans="4:14" x14ac:dyDescent="0.25">
      <c r="D2860" s="559" t="s">
        <v>867</v>
      </c>
      <c r="E2860" s="558" t="s">
        <v>4412</v>
      </c>
      <c r="F2860" s="559">
        <v>501937</v>
      </c>
      <c r="G2860" s="558" t="s">
        <v>4408</v>
      </c>
      <c r="H2860" s="564">
        <v>40015</v>
      </c>
      <c r="I2860" s="563">
        <v>688.35</v>
      </c>
      <c r="J2860" s="563">
        <v>-585</v>
      </c>
      <c r="K2860" s="582">
        <f t="shared" si="132"/>
        <v>103.35000000000002</v>
      </c>
      <c r="L2860" s="563">
        <f t="shared" si="133"/>
        <v>113.68500000000003</v>
      </c>
      <c r="M2860" s="563">
        <f t="shared" si="134"/>
        <v>757.18500000000006</v>
      </c>
      <c r="N2860" s="580"/>
    </row>
    <row r="2861" spans="4:14" x14ac:dyDescent="0.25">
      <c r="D2861" s="559" t="s">
        <v>867</v>
      </c>
      <c r="E2861" s="558" t="s">
        <v>4413</v>
      </c>
      <c r="F2861" s="559">
        <v>501939</v>
      </c>
      <c r="G2861" s="558" t="s">
        <v>4414</v>
      </c>
      <c r="H2861" s="564">
        <v>40015</v>
      </c>
      <c r="I2861" s="563">
        <v>688.35</v>
      </c>
      <c r="J2861" s="563">
        <v>-585</v>
      </c>
      <c r="K2861" s="582">
        <f t="shared" si="132"/>
        <v>103.35000000000002</v>
      </c>
      <c r="L2861" s="563">
        <f t="shared" si="133"/>
        <v>113.68500000000003</v>
      </c>
      <c r="M2861" s="563">
        <f t="shared" si="134"/>
        <v>757.18500000000006</v>
      </c>
      <c r="N2861" s="580"/>
    </row>
    <row r="2862" spans="4:14" x14ac:dyDescent="0.25">
      <c r="D2862" s="559" t="s">
        <v>867</v>
      </c>
      <c r="E2862" s="558" t="s">
        <v>4415</v>
      </c>
      <c r="F2862" s="559">
        <v>501941</v>
      </c>
      <c r="G2862" s="558" t="s">
        <v>4414</v>
      </c>
      <c r="H2862" s="564">
        <v>40015</v>
      </c>
      <c r="I2862" s="563">
        <v>493.35</v>
      </c>
      <c r="J2862" s="563">
        <v>-493.35</v>
      </c>
      <c r="K2862" s="582">
        <f t="shared" si="132"/>
        <v>0</v>
      </c>
      <c r="L2862" s="563">
        <f t="shared" si="133"/>
        <v>0</v>
      </c>
      <c r="M2862" s="563">
        <f t="shared" si="134"/>
        <v>542.68500000000006</v>
      </c>
      <c r="N2862" s="580"/>
    </row>
    <row r="2863" spans="4:14" x14ac:dyDescent="0.25">
      <c r="D2863" s="559" t="s">
        <v>867</v>
      </c>
      <c r="E2863" s="558" t="s">
        <v>4416</v>
      </c>
      <c r="F2863" s="559">
        <v>501943</v>
      </c>
      <c r="G2863" s="558" t="s">
        <v>4414</v>
      </c>
      <c r="H2863" s="564">
        <v>40015</v>
      </c>
      <c r="I2863" s="563">
        <v>688.35</v>
      </c>
      <c r="J2863" s="563">
        <v>-585</v>
      </c>
      <c r="K2863" s="582">
        <f t="shared" si="132"/>
        <v>103.35000000000002</v>
      </c>
      <c r="L2863" s="563">
        <f t="shared" si="133"/>
        <v>113.68500000000003</v>
      </c>
      <c r="M2863" s="563">
        <f t="shared" si="134"/>
        <v>757.18500000000006</v>
      </c>
      <c r="N2863" s="580"/>
    </row>
    <row r="2864" spans="4:14" x14ac:dyDescent="0.25">
      <c r="D2864" s="559" t="s">
        <v>867</v>
      </c>
      <c r="E2864" s="558" t="s">
        <v>4417</v>
      </c>
      <c r="F2864" s="559">
        <v>501945</v>
      </c>
      <c r="G2864" s="558" t="s">
        <v>4414</v>
      </c>
      <c r="H2864" s="564">
        <v>40015</v>
      </c>
      <c r="I2864" s="563">
        <v>25.35</v>
      </c>
      <c r="J2864" s="563">
        <v>-25.35</v>
      </c>
      <c r="K2864" s="582">
        <f t="shared" si="132"/>
        <v>0</v>
      </c>
      <c r="L2864" s="563">
        <f t="shared" si="133"/>
        <v>0</v>
      </c>
      <c r="M2864" s="563">
        <f t="shared" si="134"/>
        <v>27.885000000000005</v>
      </c>
      <c r="N2864" s="580"/>
    </row>
    <row r="2865" spans="4:14" x14ac:dyDescent="0.25">
      <c r="D2865" s="559" t="s">
        <v>867</v>
      </c>
      <c r="E2865" s="558" t="s">
        <v>4418</v>
      </c>
      <c r="F2865" s="559">
        <v>501947</v>
      </c>
      <c r="G2865" s="558" t="s">
        <v>4414</v>
      </c>
      <c r="H2865" s="564">
        <v>40015</v>
      </c>
      <c r="I2865" s="563">
        <v>64.349999999999994</v>
      </c>
      <c r="J2865" s="563">
        <v>-64.349999999999994</v>
      </c>
      <c r="K2865" s="582">
        <f t="shared" si="132"/>
        <v>0</v>
      </c>
      <c r="L2865" s="563">
        <f t="shared" si="133"/>
        <v>0</v>
      </c>
      <c r="M2865" s="563">
        <f t="shared" si="134"/>
        <v>70.784999999999997</v>
      </c>
      <c r="N2865" s="580"/>
    </row>
    <row r="2866" spans="4:14" x14ac:dyDescent="0.25">
      <c r="D2866" s="559" t="s">
        <v>867</v>
      </c>
      <c r="E2866" s="558" t="s">
        <v>4419</v>
      </c>
      <c r="F2866" s="559">
        <v>501949</v>
      </c>
      <c r="G2866" s="558" t="s">
        <v>4420</v>
      </c>
      <c r="H2866" s="564">
        <v>40015</v>
      </c>
      <c r="I2866" s="563">
        <v>64.349999999999994</v>
      </c>
      <c r="J2866" s="563">
        <v>-64.349999999999994</v>
      </c>
      <c r="K2866" s="582">
        <f t="shared" si="132"/>
        <v>0</v>
      </c>
      <c r="L2866" s="563">
        <f t="shared" si="133"/>
        <v>0</v>
      </c>
      <c r="M2866" s="563">
        <f t="shared" si="134"/>
        <v>70.784999999999997</v>
      </c>
      <c r="N2866" s="580"/>
    </row>
    <row r="2867" spans="4:14" x14ac:dyDescent="0.25">
      <c r="D2867" s="559" t="s">
        <v>867</v>
      </c>
      <c r="E2867" s="558" t="s">
        <v>4421</v>
      </c>
      <c r="F2867" s="559">
        <v>500572</v>
      </c>
      <c r="G2867" s="558" t="s">
        <v>4420</v>
      </c>
      <c r="H2867" s="564">
        <v>40015</v>
      </c>
      <c r="I2867" s="563">
        <v>64.349999999999994</v>
      </c>
      <c r="J2867" s="563">
        <v>-64.349999999999994</v>
      </c>
      <c r="K2867" s="582">
        <f t="shared" si="132"/>
        <v>0</v>
      </c>
      <c r="L2867" s="563">
        <f t="shared" si="133"/>
        <v>0</v>
      </c>
      <c r="M2867" s="563">
        <f t="shared" si="134"/>
        <v>70.784999999999997</v>
      </c>
      <c r="N2867" s="580"/>
    </row>
    <row r="2868" spans="4:14" x14ac:dyDescent="0.25">
      <c r="D2868" s="559" t="s">
        <v>867</v>
      </c>
      <c r="E2868" s="558" t="s">
        <v>4422</v>
      </c>
      <c r="F2868" s="559">
        <v>500573</v>
      </c>
      <c r="G2868" s="558" t="s">
        <v>4420</v>
      </c>
      <c r="H2868" s="564">
        <v>40015</v>
      </c>
      <c r="I2868" s="563">
        <v>688.35</v>
      </c>
      <c r="J2868" s="563">
        <v>-585</v>
      </c>
      <c r="K2868" s="582">
        <f t="shared" si="132"/>
        <v>103.35000000000002</v>
      </c>
      <c r="L2868" s="563">
        <f t="shared" si="133"/>
        <v>113.68500000000003</v>
      </c>
      <c r="M2868" s="563">
        <f t="shared" si="134"/>
        <v>757.18500000000006</v>
      </c>
      <c r="N2868" s="580"/>
    </row>
    <row r="2869" spans="4:14" x14ac:dyDescent="0.25">
      <c r="D2869" s="559" t="s">
        <v>867</v>
      </c>
      <c r="E2869" s="558" t="s">
        <v>4423</v>
      </c>
      <c r="F2869" s="559">
        <v>500574</v>
      </c>
      <c r="G2869" s="558" t="s">
        <v>4420</v>
      </c>
      <c r="H2869" s="564">
        <v>40015</v>
      </c>
      <c r="I2869" s="563">
        <v>142.35</v>
      </c>
      <c r="J2869" s="563">
        <v>-142.35</v>
      </c>
      <c r="K2869" s="582">
        <f t="shared" si="132"/>
        <v>0</v>
      </c>
      <c r="L2869" s="563">
        <f t="shared" si="133"/>
        <v>0</v>
      </c>
      <c r="M2869" s="563">
        <f t="shared" si="134"/>
        <v>156.58500000000001</v>
      </c>
      <c r="N2869" s="580"/>
    </row>
    <row r="2870" spans="4:14" x14ac:dyDescent="0.25">
      <c r="D2870" s="559" t="s">
        <v>867</v>
      </c>
      <c r="E2870" s="558" t="s">
        <v>4424</v>
      </c>
      <c r="F2870" s="559">
        <v>500575</v>
      </c>
      <c r="G2870" s="558" t="s">
        <v>4420</v>
      </c>
      <c r="H2870" s="564">
        <v>40015</v>
      </c>
      <c r="I2870" s="563">
        <v>688.35</v>
      </c>
      <c r="J2870" s="563">
        <v>-585</v>
      </c>
      <c r="K2870" s="582">
        <f t="shared" si="132"/>
        <v>103.35000000000002</v>
      </c>
      <c r="L2870" s="563">
        <f t="shared" si="133"/>
        <v>113.68500000000003</v>
      </c>
      <c r="M2870" s="563">
        <f t="shared" si="134"/>
        <v>757.18500000000006</v>
      </c>
      <c r="N2870" s="580"/>
    </row>
    <row r="2871" spans="4:14" x14ac:dyDescent="0.25">
      <c r="D2871" s="559" t="s">
        <v>867</v>
      </c>
      <c r="E2871" s="558" t="s">
        <v>4425</v>
      </c>
      <c r="F2871" s="559">
        <v>500576</v>
      </c>
      <c r="G2871" s="558" t="s">
        <v>4426</v>
      </c>
      <c r="H2871" s="564">
        <v>40015</v>
      </c>
      <c r="I2871" s="563">
        <v>337.35</v>
      </c>
      <c r="J2871" s="563">
        <v>-337.35</v>
      </c>
      <c r="K2871" s="582">
        <f t="shared" si="132"/>
        <v>0</v>
      </c>
      <c r="L2871" s="563">
        <f t="shared" si="133"/>
        <v>0</v>
      </c>
      <c r="M2871" s="563">
        <f t="shared" si="134"/>
        <v>371.08500000000004</v>
      </c>
      <c r="N2871" s="580"/>
    </row>
    <row r="2872" spans="4:14" x14ac:dyDescent="0.25">
      <c r="D2872" s="559" t="s">
        <v>867</v>
      </c>
      <c r="E2872" s="558" t="s">
        <v>4427</v>
      </c>
      <c r="F2872" s="559">
        <v>502286</v>
      </c>
      <c r="G2872" s="558" t="s">
        <v>4426</v>
      </c>
      <c r="H2872" s="564">
        <v>40015</v>
      </c>
      <c r="I2872" s="563">
        <v>64.349999999999994</v>
      </c>
      <c r="J2872" s="563">
        <v>-64.349999999999994</v>
      </c>
      <c r="K2872" s="582">
        <f t="shared" si="132"/>
        <v>0</v>
      </c>
      <c r="L2872" s="563">
        <f t="shared" si="133"/>
        <v>0</v>
      </c>
      <c r="M2872" s="563">
        <f t="shared" si="134"/>
        <v>70.784999999999997</v>
      </c>
      <c r="N2872" s="580"/>
    </row>
    <row r="2873" spans="4:14" x14ac:dyDescent="0.25">
      <c r="D2873" s="559" t="s">
        <v>867</v>
      </c>
      <c r="E2873" s="558" t="s">
        <v>4428</v>
      </c>
      <c r="F2873" s="559">
        <v>500578</v>
      </c>
      <c r="G2873" s="558" t="s">
        <v>4426</v>
      </c>
      <c r="H2873" s="564">
        <v>40015</v>
      </c>
      <c r="I2873" s="563">
        <v>64.349999999999994</v>
      </c>
      <c r="J2873" s="563">
        <v>-64.349999999999994</v>
      </c>
      <c r="K2873" s="582">
        <f t="shared" si="132"/>
        <v>0</v>
      </c>
      <c r="L2873" s="563">
        <f t="shared" si="133"/>
        <v>0</v>
      </c>
      <c r="M2873" s="563">
        <f t="shared" si="134"/>
        <v>70.784999999999997</v>
      </c>
      <c r="N2873" s="580"/>
    </row>
    <row r="2874" spans="4:14" x14ac:dyDescent="0.25">
      <c r="D2874" s="559" t="s">
        <v>867</v>
      </c>
      <c r="E2874" s="558" t="s">
        <v>4429</v>
      </c>
      <c r="F2874" s="559">
        <v>500579</v>
      </c>
      <c r="G2874" s="558" t="s">
        <v>4426</v>
      </c>
      <c r="H2874" s="564">
        <v>40015</v>
      </c>
      <c r="I2874" s="563">
        <v>688.35</v>
      </c>
      <c r="J2874" s="563">
        <v>-585</v>
      </c>
      <c r="K2874" s="582">
        <f t="shared" si="132"/>
        <v>103.35000000000002</v>
      </c>
      <c r="L2874" s="563">
        <f t="shared" si="133"/>
        <v>113.68500000000003</v>
      </c>
      <c r="M2874" s="563">
        <f t="shared" si="134"/>
        <v>757.18500000000006</v>
      </c>
      <c r="N2874" s="580"/>
    </row>
    <row r="2875" spans="4:14" x14ac:dyDescent="0.25">
      <c r="D2875" s="559" t="s">
        <v>867</v>
      </c>
      <c r="E2875" s="558" t="s">
        <v>4430</v>
      </c>
      <c r="F2875" s="559">
        <v>500580</v>
      </c>
      <c r="G2875" s="558" t="s">
        <v>4426</v>
      </c>
      <c r="H2875" s="564">
        <v>40015</v>
      </c>
      <c r="I2875" s="563">
        <v>25.35</v>
      </c>
      <c r="J2875" s="563">
        <v>-25.35</v>
      </c>
      <c r="K2875" s="582">
        <f t="shared" si="132"/>
        <v>0</v>
      </c>
      <c r="L2875" s="563">
        <f t="shared" si="133"/>
        <v>0</v>
      </c>
      <c r="M2875" s="563">
        <f t="shared" si="134"/>
        <v>27.885000000000005</v>
      </c>
      <c r="N2875" s="580"/>
    </row>
    <row r="2876" spans="4:14" x14ac:dyDescent="0.25">
      <c r="D2876" s="559" t="s">
        <v>867</v>
      </c>
      <c r="E2876" s="558" t="s">
        <v>4431</v>
      </c>
      <c r="F2876" s="559">
        <v>500581</v>
      </c>
      <c r="G2876" s="558" t="s">
        <v>4432</v>
      </c>
      <c r="H2876" s="564">
        <v>40015</v>
      </c>
      <c r="I2876" s="563">
        <v>64.349999999999994</v>
      </c>
      <c r="J2876" s="563">
        <v>-64.349999999999994</v>
      </c>
      <c r="K2876" s="582">
        <f t="shared" si="132"/>
        <v>0</v>
      </c>
      <c r="L2876" s="563">
        <f t="shared" si="133"/>
        <v>0</v>
      </c>
      <c r="M2876" s="563">
        <f t="shared" si="134"/>
        <v>70.784999999999997</v>
      </c>
      <c r="N2876" s="580"/>
    </row>
    <row r="2877" spans="4:14" x14ac:dyDescent="0.25">
      <c r="D2877" s="559" t="s">
        <v>867</v>
      </c>
      <c r="E2877" s="558" t="s">
        <v>4433</v>
      </c>
      <c r="F2877" s="559">
        <v>500582</v>
      </c>
      <c r="G2877" s="558" t="s">
        <v>4432</v>
      </c>
      <c r="H2877" s="564">
        <v>40015</v>
      </c>
      <c r="I2877" s="563">
        <v>688.35</v>
      </c>
      <c r="J2877" s="563">
        <v>-585</v>
      </c>
      <c r="K2877" s="582">
        <f t="shared" si="132"/>
        <v>103.35000000000002</v>
      </c>
      <c r="L2877" s="563">
        <f t="shared" si="133"/>
        <v>113.68500000000003</v>
      </c>
      <c r="M2877" s="563">
        <f t="shared" si="134"/>
        <v>757.18500000000006</v>
      </c>
      <c r="N2877" s="580"/>
    </row>
    <row r="2878" spans="4:14" x14ac:dyDescent="0.25">
      <c r="D2878" s="559" t="s">
        <v>867</v>
      </c>
      <c r="E2878" s="558" t="s">
        <v>4434</v>
      </c>
      <c r="F2878" s="559">
        <v>500583</v>
      </c>
      <c r="G2878" s="558" t="s">
        <v>4432</v>
      </c>
      <c r="H2878" s="564">
        <v>40015</v>
      </c>
      <c r="I2878" s="563">
        <v>64.349999999999994</v>
      </c>
      <c r="J2878" s="563">
        <v>-64.349999999999994</v>
      </c>
      <c r="K2878" s="582">
        <f t="shared" si="132"/>
        <v>0</v>
      </c>
      <c r="L2878" s="563">
        <f t="shared" si="133"/>
        <v>0</v>
      </c>
      <c r="M2878" s="563">
        <f t="shared" si="134"/>
        <v>70.784999999999997</v>
      </c>
      <c r="N2878" s="580"/>
    </row>
    <row r="2879" spans="4:14" x14ac:dyDescent="0.25">
      <c r="D2879" s="559" t="s">
        <v>867</v>
      </c>
      <c r="E2879" s="558" t="s">
        <v>4435</v>
      </c>
      <c r="F2879" s="559">
        <v>502197</v>
      </c>
      <c r="G2879" s="558" t="s">
        <v>4432</v>
      </c>
      <c r="H2879" s="564">
        <v>40015</v>
      </c>
      <c r="I2879" s="563">
        <v>688.35</v>
      </c>
      <c r="J2879" s="563">
        <v>-585</v>
      </c>
      <c r="K2879" s="582">
        <f t="shared" si="132"/>
        <v>103.35000000000002</v>
      </c>
      <c r="L2879" s="563">
        <f t="shared" si="133"/>
        <v>113.68500000000003</v>
      </c>
      <c r="M2879" s="563">
        <f t="shared" si="134"/>
        <v>757.18500000000006</v>
      </c>
      <c r="N2879" s="580"/>
    </row>
    <row r="2880" spans="4:14" x14ac:dyDescent="0.25">
      <c r="D2880" s="559" t="s">
        <v>867</v>
      </c>
      <c r="E2880" s="558" t="s">
        <v>4436</v>
      </c>
      <c r="F2880" s="559">
        <v>502198</v>
      </c>
      <c r="G2880" s="558" t="s">
        <v>4432</v>
      </c>
      <c r="H2880" s="564">
        <v>40015</v>
      </c>
      <c r="I2880" s="563">
        <v>64.349999999999994</v>
      </c>
      <c r="J2880" s="563">
        <v>-64.349999999999994</v>
      </c>
      <c r="K2880" s="582">
        <f t="shared" si="132"/>
        <v>0</v>
      </c>
      <c r="L2880" s="563">
        <f t="shared" si="133"/>
        <v>0</v>
      </c>
      <c r="M2880" s="563">
        <f t="shared" si="134"/>
        <v>70.784999999999997</v>
      </c>
      <c r="N2880" s="580"/>
    </row>
    <row r="2881" spans="4:14" x14ac:dyDescent="0.25">
      <c r="D2881" s="559" t="s">
        <v>867</v>
      </c>
      <c r="E2881" s="558" t="s">
        <v>4437</v>
      </c>
      <c r="F2881" s="559">
        <v>500584</v>
      </c>
      <c r="G2881" s="558" t="s">
        <v>4438</v>
      </c>
      <c r="H2881" s="564">
        <v>40015</v>
      </c>
      <c r="I2881" s="563">
        <v>64.349999999999994</v>
      </c>
      <c r="J2881" s="563">
        <v>-64.349999999999994</v>
      </c>
      <c r="K2881" s="582">
        <f t="shared" si="132"/>
        <v>0</v>
      </c>
      <c r="L2881" s="563">
        <f t="shared" si="133"/>
        <v>0</v>
      </c>
      <c r="M2881" s="563">
        <f t="shared" si="134"/>
        <v>70.784999999999997</v>
      </c>
      <c r="N2881" s="580"/>
    </row>
    <row r="2882" spans="4:14" x14ac:dyDescent="0.25">
      <c r="D2882" s="559" t="s">
        <v>867</v>
      </c>
      <c r="E2882" s="558" t="s">
        <v>4439</v>
      </c>
      <c r="F2882" s="559">
        <v>500585</v>
      </c>
      <c r="G2882" s="558" t="s">
        <v>4438</v>
      </c>
      <c r="H2882" s="564">
        <v>40015</v>
      </c>
      <c r="I2882" s="563">
        <v>298.35000000000002</v>
      </c>
      <c r="J2882" s="563">
        <v>-298.35000000000002</v>
      </c>
      <c r="K2882" s="582">
        <f t="shared" si="132"/>
        <v>0</v>
      </c>
      <c r="L2882" s="563">
        <f t="shared" si="133"/>
        <v>0</v>
      </c>
      <c r="M2882" s="563">
        <f t="shared" si="134"/>
        <v>328.18500000000006</v>
      </c>
      <c r="N2882" s="580"/>
    </row>
    <row r="2883" spans="4:14" x14ac:dyDescent="0.25">
      <c r="D2883" s="559" t="s">
        <v>867</v>
      </c>
      <c r="E2883" s="558" t="s">
        <v>4440</v>
      </c>
      <c r="F2883" s="559">
        <v>500586</v>
      </c>
      <c r="G2883" s="558" t="s">
        <v>4438</v>
      </c>
      <c r="H2883" s="564">
        <v>40015</v>
      </c>
      <c r="I2883" s="563">
        <v>64.349999999999994</v>
      </c>
      <c r="J2883" s="563">
        <v>-64.349999999999994</v>
      </c>
      <c r="K2883" s="582">
        <f t="shared" si="132"/>
        <v>0</v>
      </c>
      <c r="L2883" s="563">
        <f t="shared" si="133"/>
        <v>0</v>
      </c>
      <c r="M2883" s="563">
        <f t="shared" si="134"/>
        <v>70.784999999999997</v>
      </c>
      <c r="N2883" s="580"/>
    </row>
    <row r="2884" spans="4:14" x14ac:dyDescent="0.25">
      <c r="D2884" s="559" t="s">
        <v>867</v>
      </c>
      <c r="E2884" s="558" t="s">
        <v>4441</v>
      </c>
      <c r="F2884" s="559">
        <v>500587</v>
      </c>
      <c r="G2884" s="558" t="s">
        <v>4438</v>
      </c>
      <c r="H2884" s="564">
        <v>40015</v>
      </c>
      <c r="I2884" s="563">
        <v>688.35</v>
      </c>
      <c r="J2884" s="563">
        <v>-585</v>
      </c>
      <c r="K2884" s="582">
        <f t="shared" si="132"/>
        <v>103.35000000000002</v>
      </c>
      <c r="L2884" s="563">
        <f t="shared" si="133"/>
        <v>113.68500000000003</v>
      </c>
      <c r="M2884" s="563">
        <f t="shared" si="134"/>
        <v>757.18500000000006</v>
      </c>
      <c r="N2884" s="580"/>
    </row>
    <row r="2885" spans="4:14" x14ac:dyDescent="0.25">
      <c r="D2885" s="559" t="s">
        <v>867</v>
      </c>
      <c r="E2885" s="558" t="s">
        <v>4442</v>
      </c>
      <c r="F2885" s="559">
        <v>500588</v>
      </c>
      <c r="G2885" s="558" t="s">
        <v>4438</v>
      </c>
      <c r="H2885" s="564">
        <v>40015</v>
      </c>
      <c r="I2885" s="563">
        <v>688.35</v>
      </c>
      <c r="J2885" s="563">
        <v>-585</v>
      </c>
      <c r="K2885" s="582">
        <f t="shared" si="132"/>
        <v>103.35000000000002</v>
      </c>
      <c r="L2885" s="563">
        <f t="shared" si="133"/>
        <v>113.68500000000003</v>
      </c>
      <c r="M2885" s="563">
        <f t="shared" si="134"/>
        <v>757.18500000000006</v>
      </c>
      <c r="N2885" s="580"/>
    </row>
    <row r="2886" spans="4:14" x14ac:dyDescent="0.25">
      <c r="D2886" s="559" t="s">
        <v>867</v>
      </c>
      <c r="E2886" s="558" t="s">
        <v>4443</v>
      </c>
      <c r="F2886" s="559">
        <v>500589</v>
      </c>
      <c r="G2886" s="558" t="s">
        <v>4444</v>
      </c>
      <c r="H2886" s="564">
        <v>40015</v>
      </c>
      <c r="I2886" s="563">
        <v>64.349999999999994</v>
      </c>
      <c r="J2886" s="563">
        <v>-64.349999999999994</v>
      </c>
      <c r="K2886" s="582">
        <f t="shared" si="132"/>
        <v>0</v>
      </c>
      <c r="L2886" s="563">
        <f t="shared" si="133"/>
        <v>0</v>
      </c>
      <c r="M2886" s="563">
        <f t="shared" si="134"/>
        <v>70.784999999999997</v>
      </c>
      <c r="N2886" s="580"/>
    </row>
    <row r="2887" spans="4:14" x14ac:dyDescent="0.25">
      <c r="D2887" s="559" t="s">
        <v>867</v>
      </c>
      <c r="E2887" s="558" t="s">
        <v>4445</v>
      </c>
      <c r="F2887" s="559">
        <v>500590</v>
      </c>
      <c r="G2887" s="558" t="s">
        <v>4444</v>
      </c>
      <c r="H2887" s="564">
        <v>40015</v>
      </c>
      <c r="I2887" s="563">
        <v>454.35</v>
      </c>
      <c r="J2887" s="563">
        <v>-454.35</v>
      </c>
      <c r="K2887" s="582">
        <f t="shared" si="132"/>
        <v>0</v>
      </c>
      <c r="L2887" s="563">
        <f t="shared" si="133"/>
        <v>0</v>
      </c>
      <c r="M2887" s="563">
        <f t="shared" si="134"/>
        <v>499.78500000000008</v>
      </c>
      <c r="N2887" s="580"/>
    </row>
    <row r="2888" spans="4:14" x14ac:dyDescent="0.25">
      <c r="D2888" s="559" t="s">
        <v>867</v>
      </c>
      <c r="E2888" s="558" t="s">
        <v>4446</v>
      </c>
      <c r="F2888" s="559">
        <v>500591</v>
      </c>
      <c r="G2888" s="558" t="s">
        <v>4444</v>
      </c>
      <c r="H2888" s="564">
        <v>40015</v>
      </c>
      <c r="I2888" s="563">
        <v>64.349999999999994</v>
      </c>
      <c r="J2888" s="563">
        <v>-64.349999999999994</v>
      </c>
      <c r="K2888" s="582">
        <f t="shared" si="132"/>
        <v>0</v>
      </c>
      <c r="L2888" s="563">
        <f t="shared" si="133"/>
        <v>0</v>
      </c>
      <c r="M2888" s="563">
        <f t="shared" si="134"/>
        <v>70.784999999999997</v>
      </c>
      <c r="N2888" s="580"/>
    </row>
    <row r="2889" spans="4:14" x14ac:dyDescent="0.25">
      <c r="D2889" s="559" t="s">
        <v>867</v>
      </c>
      <c r="E2889" s="558" t="s">
        <v>4447</v>
      </c>
      <c r="F2889" s="559">
        <v>500592</v>
      </c>
      <c r="G2889" s="558" t="s">
        <v>4444</v>
      </c>
      <c r="H2889" s="564">
        <v>40015</v>
      </c>
      <c r="I2889" s="563">
        <v>688.35</v>
      </c>
      <c r="J2889" s="563">
        <v>-585</v>
      </c>
      <c r="K2889" s="582">
        <f t="shared" si="132"/>
        <v>103.35000000000002</v>
      </c>
      <c r="L2889" s="563">
        <f t="shared" si="133"/>
        <v>113.68500000000003</v>
      </c>
      <c r="M2889" s="563">
        <f t="shared" si="134"/>
        <v>757.18500000000006</v>
      </c>
      <c r="N2889" s="580"/>
    </row>
    <row r="2890" spans="4:14" x14ac:dyDescent="0.25">
      <c r="D2890" s="559" t="s">
        <v>867</v>
      </c>
      <c r="E2890" s="558" t="s">
        <v>4448</v>
      </c>
      <c r="F2890" s="559">
        <v>500593</v>
      </c>
      <c r="G2890" s="558" t="s">
        <v>4444</v>
      </c>
      <c r="H2890" s="564">
        <v>40015</v>
      </c>
      <c r="I2890" s="563">
        <v>64.349999999999994</v>
      </c>
      <c r="J2890" s="563">
        <v>-64.349999999999994</v>
      </c>
      <c r="K2890" s="582">
        <f t="shared" si="132"/>
        <v>0</v>
      </c>
      <c r="L2890" s="563">
        <f t="shared" si="133"/>
        <v>0</v>
      </c>
      <c r="M2890" s="563">
        <f t="shared" si="134"/>
        <v>70.784999999999997</v>
      </c>
      <c r="N2890" s="580"/>
    </row>
    <row r="2891" spans="4:14" x14ac:dyDescent="0.25">
      <c r="D2891" s="559" t="s">
        <v>867</v>
      </c>
      <c r="E2891" s="558" t="s">
        <v>4449</v>
      </c>
      <c r="F2891" s="559">
        <v>500594</v>
      </c>
      <c r="G2891" s="558" t="s">
        <v>4450</v>
      </c>
      <c r="H2891" s="564">
        <v>40015</v>
      </c>
      <c r="I2891" s="563">
        <v>688.35</v>
      </c>
      <c r="J2891" s="563">
        <v>-585</v>
      </c>
      <c r="K2891" s="582">
        <f t="shared" si="132"/>
        <v>103.35000000000002</v>
      </c>
      <c r="L2891" s="563">
        <f t="shared" si="133"/>
        <v>113.68500000000003</v>
      </c>
      <c r="M2891" s="563">
        <f t="shared" si="134"/>
        <v>757.18500000000006</v>
      </c>
      <c r="N2891" s="580"/>
    </row>
    <row r="2892" spans="4:14" x14ac:dyDescent="0.25">
      <c r="D2892" s="559" t="s">
        <v>867</v>
      </c>
      <c r="E2892" s="558" t="s">
        <v>4451</v>
      </c>
      <c r="F2892" s="559">
        <v>500595</v>
      </c>
      <c r="G2892" s="558" t="s">
        <v>4450</v>
      </c>
      <c r="H2892" s="564">
        <v>40015</v>
      </c>
      <c r="I2892" s="563">
        <v>688.35</v>
      </c>
      <c r="J2892" s="563">
        <v>-585</v>
      </c>
      <c r="K2892" s="582">
        <f t="shared" si="132"/>
        <v>103.35000000000002</v>
      </c>
      <c r="L2892" s="563">
        <f t="shared" si="133"/>
        <v>113.68500000000003</v>
      </c>
      <c r="M2892" s="563">
        <f t="shared" si="134"/>
        <v>757.18500000000006</v>
      </c>
      <c r="N2892" s="580"/>
    </row>
    <row r="2893" spans="4:14" x14ac:dyDescent="0.25">
      <c r="D2893" s="559" t="s">
        <v>867</v>
      </c>
      <c r="E2893" s="558" t="s">
        <v>4452</v>
      </c>
      <c r="F2893" s="559">
        <v>500596</v>
      </c>
      <c r="G2893" s="558" t="s">
        <v>4450</v>
      </c>
      <c r="H2893" s="564">
        <v>40015</v>
      </c>
      <c r="I2893" s="563">
        <v>688.35</v>
      </c>
      <c r="J2893" s="563">
        <v>-585</v>
      </c>
      <c r="K2893" s="582">
        <f t="shared" si="132"/>
        <v>103.35000000000002</v>
      </c>
      <c r="L2893" s="563">
        <f t="shared" si="133"/>
        <v>113.68500000000003</v>
      </c>
      <c r="M2893" s="563">
        <f t="shared" si="134"/>
        <v>757.18500000000006</v>
      </c>
      <c r="N2893" s="580"/>
    </row>
    <row r="2894" spans="4:14" x14ac:dyDescent="0.25">
      <c r="D2894" s="559" t="s">
        <v>867</v>
      </c>
      <c r="E2894" s="558" t="s">
        <v>4453</v>
      </c>
      <c r="F2894" s="559">
        <v>500597</v>
      </c>
      <c r="G2894" s="558" t="s">
        <v>4450</v>
      </c>
      <c r="H2894" s="564">
        <v>40015</v>
      </c>
      <c r="I2894" s="563">
        <v>688.35</v>
      </c>
      <c r="J2894" s="563">
        <v>-585</v>
      </c>
      <c r="K2894" s="582">
        <f t="shared" si="132"/>
        <v>103.35000000000002</v>
      </c>
      <c r="L2894" s="563">
        <f t="shared" si="133"/>
        <v>113.68500000000003</v>
      </c>
      <c r="M2894" s="563">
        <f t="shared" si="134"/>
        <v>757.18500000000006</v>
      </c>
      <c r="N2894" s="580"/>
    </row>
    <row r="2895" spans="4:14" x14ac:dyDescent="0.25">
      <c r="D2895" s="559" t="s">
        <v>867</v>
      </c>
      <c r="E2895" s="558" t="s">
        <v>4454</v>
      </c>
      <c r="F2895" s="559">
        <v>500598</v>
      </c>
      <c r="G2895" s="558" t="s">
        <v>4450</v>
      </c>
      <c r="H2895" s="564">
        <v>40015</v>
      </c>
      <c r="I2895" s="563">
        <v>64.349999999999994</v>
      </c>
      <c r="J2895" s="563">
        <v>-64.349999999999994</v>
      </c>
      <c r="K2895" s="582">
        <f t="shared" si="132"/>
        <v>0</v>
      </c>
      <c r="L2895" s="563">
        <f t="shared" si="133"/>
        <v>0</v>
      </c>
      <c r="M2895" s="563">
        <f t="shared" si="134"/>
        <v>70.784999999999997</v>
      </c>
      <c r="N2895" s="580"/>
    </row>
    <row r="2896" spans="4:14" x14ac:dyDescent="0.25">
      <c r="D2896" s="559" t="s">
        <v>867</v>
      </c>
      <c r="E2896" s="558" t="s">
        <v>4455</v>
      </c>
      <c r="F2896" s="559">
        <v>500599</v>
      </c>
      <c r="G2896" s="558" t="s">
        <v>4456</v>
      </c>
      <c r="H2896" s="564">
        <v>40015</v>
      </c>
      <c r="I2896" s="563">
        <v>64.349999999999994</v>
      </c>
      <c r="J2896" s="563">
        <v>-64.349999999999994</v>
      </c>
      <c r="K2896" s="582">
        <f t="shared" si="132"/>
        <v>0</v>
      </c>
      <c r="L2896" s="563">
        <f t="shared" si="133"/>
        <v>0</v>
      </c>
      <c r="M2896" s="563">
        <f t="shared" si="134"/>
        <v>70.784999999999997</v>
      </c>
      <c r="N2896" s="580"/>
    </row>
    <row r="2897" spans="4:14" x14ac:dyDescent="0.25">
      <c r="D2897" s="559" t="s">
        <v>867</v>
      </c>
      <c r="E2897" s="558" t="s">
        <v>4457</v>
      </c>
      <c r="F2897" s="559">
        <v>500600</v>
      </c>
      <c r="G2897" s="558" t="s">
        <v>4456</v>
      </c>
      <c r="H2897" s="564">
        <v>40015</v>
      </c>
      <c r="I2897" s="563">
        <v>727.35</v>
      </c>
      <c r="J2897" s="563">
        <v>-585</v>
      </c>
      <c r="K2897" s="582">
        <f t="shared" si="132"/>
        <v>142.35000000000002</v>
      </c>
      <c r="L2897" s="563">
        <f t="shared" si="133"/>
        <v>156.58500000000004</v>
      </c>
      <c r="M2897" s="563">
        <f t="shared" si="134"/>
        <v>800.08500000000004</v>
      </c>
      <c r="N2897" s="580"/>
    </row>
    <row r="2898" spans="4:14" x14ac:dyDescent="0.25">
      <c r="D2898" s="559" t="s">
        <v>867</v>
      </c>
      <c r="E2898" s="558" t="s">
        <v>4458</v>
      </c>
      <c r="F2898" s="559">
        <v>500601</v>
      </c>
      <c r="G2898" s="558" t="s">
        <v>4456</v>
      </c>
      <c r="H2898" s="564">
        <v>40015</v>
      </c>
      <c r="I2898" s="563">
        <v>688.35</v>
      </c>
      <c r="J2898" s="563">
        <v>-585</v>
      </c>
      <c r="K2898" s="582">
        <f t="shared" si="132"/>
        <v>103.35000000000002</v>
      </c>
      <c r="L2898" s="563">
        <f t="shared" si="133"/>
        <v>113.68500000000003</v>
      </c>
      <c r="M2898" s="563">
        <f t="shared" si="134"/>
        <v>757.18500000000006</v>
      </c>
      <c r="N2898" s="580"/>
    </row>
    <row r="2899" spans="4:14" x14ac:dyDescent="0.25">
      <c r="D2899" s="559" t="s">
        <v>867</v>
      </c>
      <c r="E2899" s="558" t="s">
        <v>4459</v>
      </c>
      <c r="F2899" s="559">
        <v>500602</v>
      </c>
      <c r="G2899" s="558" t="s">
        <v>4456</v>
      </c>
      <c r="H2899" s="564">
        <v>40015</v>
      </c>
      <c r="I2899" s="563">
        <v>688.35</v>
      </c>
      <c r="J2899" s="563">
        <v>-585</v>
      </c>
      <c r="K2899" s="582">
        <f t="shared" si="132"/>
        <v>103.35000000000002</v>
      </c>
      <c r="L2899" s="563">
        <f t="shared" si="133"/>
        <v>113.68500000000003</v>
      </c>
      <c r="M2899" s="563">
        <f t="shared" si="134"/>
        <v>757.18500000000006</v>
      </c>
      <c r="N2899" s="580"/>
    </row>
    <row r="2900" spans="4:14" x14ac:dyDescent="0.25">
      <c r="D2900" s="559" t="s">
        <v>867</v>
      </c>
      <c r="E2900" s="558" t="s">
        <v>4460</v>
      </c>
      <c r="F2900" s="559">
        <v>500603</v>
      </c>
      <c r="G2900" s="558" t="s">
        <v>4456</v>
      </c>
      <c r="H2900" s="564">
        <v>40015</v>
      </c>
      <c r="I2900" s="563">
        <v>64.349999999999994</v>
      </c>
      <c r="J2900" s="563">
        <v>-64.349999999999994</v>
      </c>
      <c r="K2900" s="582">
        <f t="shared" si="132"/>
        <v>0</v>
      </c>
      <c r="L2900" s="563">
        <f t="shared" si="133"/>
        <v>0</v>
      </c>
      <c r="M2900" s="563">
        <f t="shared" si="134"/>
        <v>70.784999999999997</v>
      </c>
      <c r="N2900" s="580"/>
    </row>
    <row r="2901" spans="4:14" x14ac:dyDescent="0.25">
      <c r="D2901" s="559" t="s">
        <v>867</v>
      </c>
      <c r="E2901" s="558" t="s">
        <v>4461</v>
      </c>
      <c r="F2901" s="559">
        <v>500604</v>
      </c>
      <c r="G2901" s="558" t="s">
        <v>4462</v>
      </c>
      <c r="H2901" s="564">
        <v>40015</v>
      </c>
      <c r="I2901" s="563">
        <v>64.349999999999994</v>
      </c>
      <c r="J2901" s="563">
        <v>-64.349999999999994</v>
      </c>
      <c r="K2901" s="582">
        <f t="shared" si="132"/>
        <v>0</v>
      </c>
      <c r="L2901" s="563">
        <f t="shared" si="133"/>
        <v>0</v>
      </c>
      <c r="M2901" s="563">
        <f t="shared" si="134"/>
        <v>70.784999999999997</v>
      </c>
      <c r="N2901" s="580"/>
    </row>
    <row r="2902" spans="4:14" x14ac:dyDescent="0.25">
      <c r="D2902" s="559" t="s">
        <v>867</v>
      </c>
      <c r="E2902" s="558" t="s">
        <v>4463</v>
      </c>
      <c r="F2902" s="559">
        <v>500605</v>
      </c>
      <c r="G2902" s="558" t="s">
        <v>4462</v>
      </c>
      <c r="H2902" s="564">
        <v>40015</v>
      </c>
      <c r="I2902" s="563">
        <v>688.35</v>
      </c>
      <c r="J2902" s="563">
        <v>-585</v>
      </c>
      <c r="K2902" s="582">
        <f t="shared" si="132"/>
        <v>103.35000000000002</v>
      </c>
      <c r="L2902" s="563">
        <f t="shared" si="133"/>
        <v>113.68500000000003</v>
      </c>
      <c r="M2902" s="563">
        <f t="shared" si="134"/>
        <v>757.18500000000006</v>
      </c>
      <c r="N2902" s="580"/>
    </row>
    <row r="2903" spans="4:14" x14ac:dyDescent="0.25">
      <c r="D2903" s="559" t="s">
        <v>867</v>
      </c>
      <c r="E2903" s="558" t="s">
        <v>4464</v>
      </c>
      <c r="F2903" s="559">
        <v>500606</v>
      </c>
      <c r="G2903" s="558" t="s">
        <v>4462</v>
      </c>
      <c r="H2903" s="564">
        <v>40015</v>
      </c>
      <c r="I2903" s="563">
        <v>64.349999999999994</v>
      </c>
      <c r="J2903" s="563">
        <v>-64.349999999999994</v>
      </c>
      <c r="K2903" s="582">
        <f t="shared" si="132"/>
        <v>0</v>
      </c>
      <c r="L2903" s="563">
        <f t="shared" si="133"/>
        <v>0</v>
      </c>
      <c r="M2903" s="563">
        <f t="shared" si="134"/>
        <v>70.784999999999997</v>
      </c>
      <c r="N2903" s="580"/>
    </row>
    <row r="2904" spans="4:14" x14ac:dyDescent="0.25">
      <c r="D2904" s="559" t="s">
        <v>867</v>
      </c>
      <c r="E2904" s="558" t="s">
        <v>4465</v>
      </c>
      <c r="F2904" s="559">
        <v>500607</v>
      </c>
      <c r="G2904" s="558" t="s">
        <v>4462</v>
      </c>
      <c r="H2904" s="564">
        <v>40015</v>
      </c>
      <c r="I2904" s="563">
        <v>298.35000000000002</v>
      </c>
      <c r="J2904" s="563">
        <v>-298.35000000000002</v>
      </c>
      <c r="K2904" s="582">
        <f t="shared" si="132"/>
        <v>0</v>
      </c>
      <c r="L2904" s="563">
        <f t="shared" si="133"/>
        <v>0</v>
      </c>
      <c r="M2904" s="563">
        <f t="shared" si="134"/>
        <v>328.18500000000006</v>
      </c>
      <c r="N2904" s="580"/>
    </row>
    <row r="2905" spans="4:14" x14ac:dyDescent="0.25">
      <c r="D2905" s="559" t="s">
        <v>867</v>
      </c>
      <c r="E2905" s="558" t="s">
        <v>4466</v>
      </c>
      <c r="F2905" s="559">
        <v>500608</v>
      </c>
      <c r="G2905" s="558" t="s">
        <v>4462</v>
      </c>
      <c r="H2905" s="564">
        <v>40015</v>
      </c>
      <c r="I2905" s="563">
        <v>64.349999999999994</v>
      </c>
      <c r="J2905" s="563">
        <v>-64.349999999999994</v>
      </c>
      <c r="K2905" s="582">
        <f t="shared" si="132"/>
        <v>0</v>
      </c>
      <c r="L2905" s="563">
        <f t="shared" si="133"/>
        <v>0</v>
      </c>
      <c r="M2905" s="563">
        <f t="shared" si="134"/>
        <v>70.784999999999997</v>
      </c>
      <c r="N2905" s="580"/>
    </row>
    <row r="2906" spans="4:14" x14ac:dyDescent="0.25">
      <c r="D2906" s="559" t="s">
        <v>867</v>
      </c>
      <c r="E2906" s="558" t="s">
        <v>4467</v>
      </c>
      <c r="F2906" s="559">
        <v>500609</v>
      </c>
      <c r="G2906" s="558" t="s">
        <v>4468</v>
      </c>
      <c r="H2906" s="564">
        <v>40015</v>
      </c>
      <c r="I2906" s="563">
        <v>64.349999999999994</v>
      </c>
      <c r="J2906" s="563">
        <v>-64.349999999999994</v>
      </c>
      <c r="K2906" s="582">
        <f t="shared" si="132"/>
        <v>0</v>
      </c>
      <c r="L2906" s="563">
        <f t="shared" si="133"/>
        <v>0</v>
      </c>
      <c r="M2906" s="563">
        <f t="shared" si="134"/>
        <v>70.784999999999997</v>
      </c>
      <c r="N2906" s="580"/>
    </row>
    <row r="2907" spans="4:14" x14ac:dyDescent="0.25">
      <c r="D2907" s="559" t="s">
        <v>867</v>
      </c>
      <c r="E2907" s="558" t="s">
        <v>4469</v>
      </c>
      <c r="F2907" s="559">
        <v>500610</v>
      </c>
      <c r="G2907" s="558" t="s">
        <v>4468</v>
      </c>
      <c r="H2907" s="564">
        <v>40015</v>
      </c>
      <c r="I2907" s="563">
        <v>688.35</v>
      </c>
      <c r="J2907" s="563">
        <v>-585</v>
      </c>
      <c r="K2907" s="582">
        <f t="shared" si="132"/>
        <v>103.35000000000002</v>
      </c>
      <c r="L2907" s="563">
        <f t="shared" si="133"/>
        <v>113.68500000000003</v>
      </c>
      <c r="M2907" s="563">
        <f t="shared" si="134"/>
        <v>757.18500000000006</v>
      </c>
      <c r="N2907" s="580"/>
    </row>
    <row r="2908" spans="4:14" x14ac:dyDescent="0.25">
      <c r="D2908" s="559" t="s">
        <v>867</v>
      </c>
      <c r="E2908" s="558" t="s">
        <v>4470</v>
      </c>
      <c r="F2908" s="559">
        <v>500611</v>
      </c>
      <c r="G2908" s="558" t="s">
        <v>4468</v>
      </c>
      <c r="H2908" s="564">
        <v>40015</v>
      </c>
      <c r="I2908" s="563">
        <v>688.35</v>
      </c>
      <c r="J2908" s="563">
        <v>-585</v>
      </c>
      <c r="K2908" s="582">
        <f t="shared" si="132"/>
        <v>103.35000000000002</v>
      </c>
      <c r="L2908" s="563">
        <f t="shared" si="133"/>
        <v>113.68500000000003</v>
      </c>
      <c r="M2908" s="563">
        <f t="shared" si="134"/>
        <v>757.18500000000006</v>
      </c>
      <c r="N2908" s="580"/>
    </row>
    <row r="2909" spans="4:14" x14ac:dyDescent="0.25">
      <c r="D2909" s="559" t="s">
        <v>867</v>
      </c>
      <c r="E2909" s="558" t="s">
        <v>4471</v>
      </c>
      <c r="F2909" s="559">
        <v>500612</v>
      </c>
      <c r="G2909" s="558" t="s">
        <v>4468</v>
      </c>
      <c r="H2909" s="564">
        <v>40015</v>
      </c>
      <c r="I2909" s="563">
        <v>688.35</v>
      </c>
      <c r="J2909" s="563">
        <v>-585</v>
      </c>
      <c r="K2909" s="582">
        <f t="shared" si="132"/>
        <v>103.35000000000002</v>
      </c>
      <c r="L2909" s="563">
        <f t="shared" si="133"/>
        <v>113.68500000000003</v>
      </c>
      <c r="M2909" s="563">
        <f t="shared" si="134"/>
        <v>757.18500000000006</v>
      </c>
      <c r="N2909" s="580"/>
    </row>
    <row r="2910" spans="4:14" x14ac:dyDescent="0.25">
      <c r="D2910" s="559" t="s">
        <v>867</v>
      </c>
      <c r="E2910" s="558" t="s">
        <v>4472</v>
      </c>
      <c r="F2910" s="559">
        <v>500613</v>
      </c>
      <c r="G2910" s="558" t="s">
        <v>4468</v>
      </c>
      <c r="H2910" s="564">
        <v>40015</v>
      </c>
      <c r="I2910" s="563">
        <v>64.349999999999994</v>
      </c>
      <c r="J2910" s="563">
        <v>-64.349999999999994</v>
      </c>
      <c r="K2910" s="582">
        <f t="shared" si="132"/>
        <v>0</v>
      </c>
      <c r="L2910" s="563">
        <f t="shared" si="133"/>
        <v>0</v>
      </c>
      <c r="M2910" s="563">
        <f t="shared" si="134"/>
        <v>70.784999999999997</v>
      </c>
      <c r="N2910" s="580"/>
    </row>
    <row r="2911" spans="4:14" x14ac:dyDescent="0.25">
      <c r="D2911" s="559" t="s">
        <v>867</v>
      </c>
      <c r="E2911" s="558" t="s">
        <v>4473</v>
      </c>
      <c r="F2911" s="559">
        <v>500614</v>
      </c>
      <c r="G2911" s="558" t="s">
        <v>4474</v>
      </c>
      <c r="H2911" s="564">
        <v>40015</v>
      </c>
      <c r="I2911" s="563">
        <v>64.349999999999994</v>
      </c>
      <c r="J2911" s="563">
        <v>-64.349999999999994</v>
      </c>
      <c r="K2911" s="582">
        <f t="shared" si="132"/>
        <v>0</v>
      </c>
      <c r="L2911" s="563">
        <f t="shared" si="133"/>
        <v>0</v>
      </c>
      <c r="M2911" s="563">
        <f t="shared" si="134"/>
        <v>70.784999999999997</v>
      </c>
      <c r="N2911" s="580"/>
    </row>
    <row r="2912" spans="4:14" x14ac:dyDescent="0.25">
      <c r="D2912" s="559" t="s">
        <v>867</v>
      </c>
      <c r="E2912" s="558" t="s">
        <v>4475</v>
      </c>
      <c r="F2912" s="559">
        <v>500615</v>
      </c>
      <c r="G2912" s="558" t="s">
        <v>4474</v>
      </c>
      <c r="H2912" s="564">
        <v>40015</v>
      </c>
      <c r="I2912" s="563">
        <v>688.35</v>
      </c>
      <c r="J2912" s="563">
        <v>-585</v>
      </c>
      <c r="K2912" s="582">
        <f t="shared" si="132"/>
        <v>103.35000000000002</v>
      </c>
      <c r="L2912" s="563">
        <f t="shared" si="133"/>
        <v>113.68500000000003</v>
      </c>
      <c r="M2912" s="563">
        <f t="shared" si="134"/>
        <v>757.18500000000006</v>
      </c>
      <c r="N2912" s="580"/>
    </row>
    <row r="2913" spans="4:14" x14ac:dyDescent="0.25">
      <c r="D2913" s="559" t="s">
        <v>867</v>
      </c>
      <c r="E2913" s="558" t="s">
        <v>4476</v>
      </c>
      <c r="F2913" s="559">
        <v>500616</v>
      </c>
      <c r="G2913" s="558" t="s">
        <v>4474</v>
      </c>
      <c r="H2913" s="564">
        <v>40015</v>
      </c>
      <c r="I2913" s="563">
        <v>688.35</v>
      </c>
      <c r="J2913" s="563">
        <v>-585</v>
      </c>
      <c r="K2913" s="582">
        <f t="shared" si="132"/>
        <v>103.35000000000002</v>
      </c>
      <c r="L2913" s="563">
        <f t="shared" si="133"/>
        <v>113.68500000000003</v>
      </c>
      <c r="M2913" s="563">
        <f t="shared" si="134"/>
        <v>757.18500000000006</v>
      </c>
      <c r="N2913" s="580"/>
    </row>
    <row r="2914" spans="4:14" x14ac:dyDescent="0.25">
      <c r="D2914" s="559" t="s">
        <v>867</v>
      </c>
      <c r="E2914" s="558" t="s">
        <v>4477</v>
      </c>
      <c r="F2914" s="559">
        <v>500617</v>
      </c>
      <c r="G2914" s="558" t="s">
        <v>4474</v>
      </c>
      <c r="H2914" s="564">
        <v>40015</v>
      </c>
      <c r="I2914" s="563">
        <v>688.35</v>
      </c>
      <c r="J2914" s="563">
        <v>-585</v>
      </c>
      <c r="K2914" s="582">
        <f t="shared" si="132"/>
        <v>103.35000000000002</v>
      </c>
      <c r="L2914" s="563">
        <f t="shared" si="133"/>
        <v>113.68500000000003</v>
      </c>
      <c r="M2914" s="563">
        <f t="shared" si="134"/>
        <v>757.18500000000006</v>
      </c>
      <c r="N2914" s="580"/>
    </row>
    <row r="2915" spans="4:14" x14ac:dyDescent="0.25">
      <c r="D2915" s="559" t="s">
        <v>867</v>
      </c>
      <c r="E2915" s="558" t="s">
        <v>4478</v>
      </c>
      <c r="F2915" s="559">
        <v>500618</v>
      </c>
      <c r="G2915" s="558" t="s">
        <v>4474</v>
      </c>
      <c r="H2915" s="564">
        <v>40015</v>
      </c>
      <c r="I2915" s="563">
        <v>64.349999999999994</v>
      </c>
      <c r="J2915" s="563">
        <v>-64.349999999999994</v>
      </c>
      <c r="K2915" s="582">
        <f t="shared" si="132"/>
        <v>0</v>
      </c>
      <c r="L2915" s="563">
        <f t="shared" si="133"/>
        <v>0</v>
      </c>
      <c r="M2915" s="563">
        <f t="shared" si="134"/>
        <v>70.784999999999997</v>
      </c>
      <c r="N2915" s="580"/>
    </row>
    <row r="2916" spans="4:14" x14ac:dyDescent="0.25">
      <c r="D2916" s="559" t="s">
        <v>867</v>
      </c>
      <c r="E2916" s="558" t="s">
        <v>4479</v>
      </c>
      <c r="F2916" s="559">
        <v>500619</v>
      </c>
      <c r="G2916" s="558" t="s">
        <v>4480</v>
      </c>
      <c r="H2916" s="564">
        <v>40015</v>
      </c>
      <c r="I2916" s="563">
        <v>64.349999999999994</v>
      </c>
      <c r="J2916" s="563">
        <v>-64.349999999999994</v>
      </c>
      <c r="K2916" s="582">
        <f t="shared" si="132"/>
        <v>0</v>
      </c>
      <c r="L2916" s="563">
        <f t="shared" si="133"/>
        <v>0</v>
      </c>
      <c r="M2916" s="563">
        <f t="shared" si="134"/>
        <v>70.784999999999997</v>
      </c>
      <c r="N2916" s="580"/>
    </row>
    <row r="2917" spans="4:14" x14ac:dyDescent="0.25">
      <c r="D2917" s="559" t="s">
        <v>867</v>
      </c>
      <c r="E2917" s="558" t="s">
        <v>4481</v>
      </c>
      <c r="F2917" s="559">
        <v>500620</v>
      </c>
      <c r="G2917" s="558" t="s">
        <v>4480</v>
      </c>
      <c r="H2917" s="564">
        <v>40015</v>
      </c>
      <c r="I2917" s="563">
        <v>688.35</v>
      </c>
      <c r="J2917" s="563">
        <v>-585</v>
      </c>
      <c r="K2917" s="582">
        <f t="shared" si="132"/>
        <v>103.35000000000002</v>
      </c>
      <c r="L2917" s="563">
        <f t="shared" si="133"/>
        <v>113.68500000000003</v>
      </c>
      <c r="M2917" s="563">
        <f t="shared" si="134"/>
        <v>757.18500000000006</v>
      </c>
      <c r="N2917" s="580"/>
    </row>
    <row r="2918" spans="4:14" x14ac:dyDescent="0.25">
      <c r="D2918" s="559" t="s">
        <v>867</v>
      </c>
      <c r="E2918" s="558" t="s">
        <v>4482</v>
      </c>
      <c r="F2918" s="559">
        <v>500621</v>
      </c>
      <c r="G2918" s="558" t="s">
        <v>4480</v>
      </c>
      <c r="H2918" s="564">
        <v>40015</v>
      </c>
      <c r="I2918" s="563">
        <v>64.349999999999994</v>
      </c>
      <c r="J2918" s="563">
        <v>-64.349999999999994</v>
      </c>
      <c r="K2918" s="582">
        <f t="shared" si="132"/>
        <v>0</v>
      </c>
      <c r="L2918" s="563">
        <f t="shared" si="133"/>
        <v>0</v>
      </c>
      <c r="M2918" s="563">
        <f t="shared" si="134"/>
        <v>70.784999999999997</v>
      </c>
      <c r="N2918" s="580"/>
    </row>
    <row r="2919" spans="4:14" x14ac:dyDescent="0.25">
      <c r="D2919" s="559" t="s">
        <v>867</v>
      </c>
      <c r="E2919" s="558" t="s">
        <v>4483</v>
      </c>
      <c r="F2919" s="559">
        <v>500622</v>
      </c>
      <c r="G2919" s="558" t="s">
        <v>4480</v>
      </c>
      <c r="H2919" s="564">
        <v>40015</v>
      </c>
      <c r="I2919" s="563">
        <v>688.35</v>
      </c>
      <c r="J2919" s="563">
        <v>-585</v>
      </c>
      <c r="K2919" s="582">
        <f t="shared" si="132"/>
        <v>103.35000000000002</v>
      </c>
      <c r="L2919" s="563">
        <f t="shared" si="133"/>
        <v>113.68500000000003</v>
      </c>
      <c r="M2919" s="563">
        <f t="shared" si="134"/>
        <v>757.18500000000006</v>
      </c>
      <c r="N2919" s="580"/>
    </row>
    <row r="2920" spans="4:14" x14ac:dyDescent="0.25">
      <c r="D2920" s="559" t="s">
        <v>867</v>
      </c>
      <c r="E2920" s="558" t="s">
        <v>4484</v>
      </c>
      <c r="F2920" s="559">
        <v>500623</v>
      </c>
      <c r="G2920" s="558" t="s">
        <v>4480</v>
      </c>
      <c r="H2920" s="564">
        <v>40015</v>
      </c>
      <c r="I2920" s="563">
        <v>64.349999999999994</v>
      </c>
      <c r="J2920" s="563">
        <v>-64.349999999999994</v>
      </c>
      <c r="K2920" s="582">
        <f t="shared" si="132"/>
        <v>0</v>
      </c>
      <c r="L2920" s="563">
        <f t="shared" si="133"/>
        <v>0</v>
      </c>
      <c r="M2920" s="563">
        <f t="shared" si="134"/>
        <v>70.784999999999997</v>
      </c>
      <c r="N2920" s="580"/>
    </row>
    <row r="2921" spans="4:14" x14ac:dyDescent="0.25">
      <c r="D2921" s="559" t="s">
        <v>867</v>
      </c>
      <c r="E2921" s="558" t="s">
        <v>4485</v>
      </c>
      <c r="F2921" s="559">
        <v>500624</v>
      </c>
      <c r="G2921" s="558" t="s">
        <v>4486</v>
      </c>
      <c r="H2921" s="564">
        <v>40015</v>
      </c>
      <c r="I2921" s="563">
        <v>64.349999999999994</v>
      </c>
      <c r="J2921" s="563">
        <v>-64.349999999999994</v>
      </c>
      <c r="K2921" s="582">
        <f t="shared" ref="K2921:K2984" si="135">+I2921+J2921</f>
        <v>0</v>
      </c>
      <c r="L2921" s="563">
        <f t="shared" ref="L2921:L2984" si="136">+K2921*1.1</f>
        <v>0</v>
      </c>
      <c r="M2921" s="563">
        <f t="shared" ref="M2921:M2984" si="137">+I2921*1.1</f>
        <v>70.784999999999997</v>
      </c>
      <c r="N2921" s="580"/>
    </row>
    <row r="2922" spans="4:14" x14ac:dyDescent="0.25">
      <c r="D2922" s="559" t="s">
        <v>867</v>
      </c>
      <c r="E2922" s="558" t="s">
        <v>4487</v>
      </c>
      <c r="F2922" s="559">
        <v>500625</v>
      </c>
      <c r="G2922" s="558" t="s">
        <v>4486</v>
      </c>
      <c r="H2922" s="564">
        <v>40015</v>
      </c>
      <c r="I2922" s="563">
        <v>688.35</v>
      </c>
      <c r="J2922" s="563">
        <v>-585</v>
      </c>
      <c r="K2922" s="582">
        <f t="shared" si="135"/>
        <v>103.35000000000002</v>
      </c>
      <c r="L2922" s="563">
        <f t="shared" si="136"/>
        <v>113.68500000000003</v>
      </c>
      <c r="M2922" s="563">
        <f t="shared" si="137"/>
        <v>757.18500000000006</v>
      </c>
      <c r="N2922" s="580"/>
    </row>
    <row r="2923" spans="4:14" x14ac:dyDescent="0.25">
      <c r="D2923" s="559" t="s">
        <v>867</v>
      </c>
      <c r="E2923" s="558" t="s">
        <v>4488</v>
      </c>
      <c r="F2923" s="559">
        <v>500626</v>
      </c>
      <c r="G2923" s="558" t="s">
        <v>4486</v>
      </c>
      <c r="H2923" s="564">
        <v>40015</v>
      </c>
      <c r="I2923" s="563">
        <v>25.35</v>
      </c>
      <c r="J2923" s="563">
        <v>-25.35</v>
      </c>
      <c r="K2923" s="582">
        <f t="shared" si="135"/>
        <v>0</v>
      </c>
      <c r="L2923" s="563">
        <f t="shared" si="136"/>
        <v>0</v>
      </c>
      <c r="M2923" s="563">
        <f t="shared" si="137"/>
        <v>27.885000000000005</v>
      </c>
      <c r="N2923" s="580"/>
    </row>
    <row r="2924" spans="4:14" x14ac:dyDescent="0.25">
      <c r="D2924" s="559" t="s">
        <v>867</v>
      </c>
      <c r="E2924" s="558" t="s">
        <v>4489</v>
      </c>
      <c r="F2924" s="559">
        <v>501066</v>
      </c>
      <c r="G2924" s="558" t="s">
        <v>4486</v>
      </c>
      <c r="H2924" s="564">
        <v>40015</v>
      </c>
      <c r="I2924" s="563">
        <v>688.35</v>
      </c>
      <c r="J2924" s="563">
        <v>-585</v>
      </c>
      <c r="K2924" s="582">
        <f t="shared" si="135"/>
        <v>103.35000000000002</v>
      </c>
      <c r="L2924" s="563">
        <f t="shared" si="136"/>
        <v>113.68500000000003</v>
      </c>
      <c r="M2924" s="563">
        <f t="shared" si="137"/>
        <v>757.18500000000006</v>
      </c>
      <c r="N2924" s="580"/>
    </row>
    <row r="2925" spans="4:14" x14ac:dyDescent="0.25">
      <c r="D2925" s="559" t="s">
        <v>867</v>
      </c>
      <c r="E2925" s="558" t="s">
        <v>4490</v>
      </c>
      <c r="F2925" s="559">
        <v>500627</v>
      </c>
      <c r="G2925" s="558" t="s">
        <v>4486</v>
      </c>
      <c r="H2925" s="564">
        <v>40015</v>
      </c>
      <c r="I2925" s="563">
        <v>727.35</v>
      </c>
      <c r="J2925" s="563">
        <v>-585</v>
      </c>
      <c r="K2925" s="582">
        <f t="shared" si="135"/>
        <v>142.35000000000002</v>
      </c>
      <c r="L2925" s="563">
        <f t="shared" si="136"/>
        <v>156.58500000000004</v>
      </c>
      <c r="M2925" s="563">
        <f t="shared" si="137"/>
        <v>800.08500000000004</v>
      </c>
      <c r="N2925" s="580"/>
    </row>
    <row r="2926" spans="4:14" x14ac:dyDescent="0.25">
      <c r="D2926" s="559" t="s">
        <v>867</v>
      </c>
      <c r="E2926" s="558" t="s">
        <v>4491</v>
      </c>
      <c r="F2926" s="559">
        <v>500628</v>
      </c>
      <c r="G2926" s="558" t="s">
        <v>4492</v>
      </c>
      <c r="H2926" s="564">
        <v>40015</v>
      </c>
      <c r="I2926" s="563">
        <v>64.349999999999994</v>
      </c>
      <c r="J2926" s="563">
        <v>-64.349999999999994</v>
      </c>
      <c r="K2926" s="582">
        <f t="shared" si="135"/>
        <v>0</v>
      </c>
      <c r="L2926" s="563">
        <f t="shared" si="136"/>
        <v>0</v>
      </c>
      <c r="M2926" s="563">
        <f t="shared" si="137"/>
        <v>70.784999999999997</v>
      </c>
      <c r="N2926" s="580"/>
    </row>
    <row r="2927" spans="4:14" x14ac:dyDescent="0.25">
      <c r="D2927" s="559" t="s">
        <v>867</v>
      </c>
      <c r="E2927" s="558" t="s">
        <v>4493</v>
      </c>
      <c r="F2927" s="559">
        <v>500629</v>
      </c>
      <c r="G2927" s="558" t="s">
        <v>4492</v>
      </c>
      <c r="H2927" s="564">
        <v>40015</v>
      </c>
      <c r="I2927" s="563">
        <v>64.349999999999994</v>
      </c>
      <c r="J2927" s="563">
        <v>-64.349999999999994</v>
      </c>
      <c r="K2927" s="582">
        <f t="shared" si="135"/>
        <v>0</v>
      </c>
      <c r="L2927" s="563">
        <f t="shared" si="136"/>
        <v>0</v>
      </c>
      <c r="M2927" s="563">
        <f t="shared" si="137"/>
        <v>70.784999999999997</v>
      </c>
      <c r="N2927" s="580"/>
    </row>
    <row r="2928" spans="4:14" x14ac:dyDescent="0.25">
      <c r="D2928" s="559" t="s">
        <v>867</v>
      </c>
      <c r="E2928" s="558" t="s">
        <v>4494</v>
      </c>
      <c r="F2928" s="559">
        <v>500630</v>
      </c>
      <c r="G2928" s="558" t="s">
        <v>4492</v>
      </c>
      <c r="H2928" s="564">
        <v>40015</v>
      </c>
      <c r="I2928" s="563">
        <v>64.349999999999994</v>
      </c>
      <c r="J2928" s="563">
        <v>-64.349999999999994</v>
      </c>
      <c r="K2928" s="582">
        <f t="shared" si="135"/>
        <v>0</v>
      </c>
      <c r="L2928" s="563">
        <f t="shared" si="136"/>
        <v>0</v>
      </c>
      <c r="M2928" s="563">
        <f t="shared" si="137"/>
        <v>70.784999999999997</v>
      </c>
      <c r="N2928" s="580"/>
    </row>
    <row r="2929" spans="4:14" x14ac:dyDescent="0.25">
      <c r="D2929" s="559" t="s">
        <v>867</v>
      </c>
      <c r="E2929" s="558" t="s">
        <v>4495</v>
      </c>
      <c r="F2929" s="559">
        <v>500631</v>
      </c>
      <c r="G2929" s="558" t="s">
        <v>4492</v>
      </c>
      <c r="H2929" s="564">
        <v>40015</v>
      </c>
      <c r="I2929" s="563">
        <v>64.349999999999994</v>
      </c>
      <c r="J2929" s="563">
        <v>-64.349999999999994</v>
      </c>
      <c r="K2929" s="582">
        <f t="shared" si="135"/>
        <v>0</v>
      </c>
      <c r="L2929" s="563">
        <f t="shared" si="136"/>
        <v>0</v>
      </c>
      <c r="M2929" s="563">
        <f t="shared" si="137"/>
        <v>70.784999999999997</v>
      </c>
      <c r="N2929" s="580"/>
    </row>
    <row r="2930" spans="4:14" x14ac:dyDescent="0.25">
      <c r="D2930" s="559" t="s">
        <v>867</v>
      </c>
      <c r="E2930" s="558" t="s">
        <v>4496</v>
      </c>
      <c r="F2930" s="559">
        <v>500632</v>
      </c>
      <c r="G2930" s="558" t="s">
        <v>4492</v>
      </c>
      <c r="H2930" s="564">
        <v>40015</v>
      </c>
      <c r="I2930" s="563">
        <v>688.35</v>
      </c>
      <c r="J2930" s="563">
        <v>-585</v>
      </c>
      <c r="K2930" s="582">
        <f t="shared" si="135"/>
        <v>103.35000000000002</v>
      </c>
      <c r="L2930" s="563">
        <f t="shared" si="136"/>
        <v>113.68500000000003</v>
      </c>
      <c r="M2930" s="563">
        <f t="shared" si="137"/>
        <v>757.18500000000006</v>
      </c>
      <c r="N2930" s="580"/>
    </row>
    <row r="2931" spans="4:14" x14ac:dyDescent="0.25">
      <c r="D2931" s="559" t="s">
        <v>867</v>
      </c>
      <c r="E2931" s="558" t="s">
        <v>4497</v>
      </c>
      <c r="F2931" s="559">
        <v>500633</v>
      </c>
      <c r="G2931" s="558" t="s">
        <v>4498</v>
      </c>
      <c r="H2931" s="564">
        <v>40015</v>
      </c>
      <c r="I2931" s="563">
        <v>688.35</v>
      </c>
      <c r="J2931" s="563">
        <v>-585</v>
      </c>
      <c r="K2931" s="582">
        <f t="shared" si="135"/>
        <v>103.35000000000002</v>
      </c>
      <c r="L2931" s="563">
        <f t="shared" si="136"/>
        <v>113.68500000000003</v>
      </c>
      <c r="M2931" s="563">
        <f t="shared" si="137"/>
        <v>757.18500000000006</v>
      </c>
      <c r="N2931" s="580"/>
    </row>
    <row r="2932" spans="4:14" x14ac:dyDescent="0.25">
      <c r="D2932" s="559" t="s">
        <v>867</v>
      </c>
      <c r="E2932" s="558" t="s">
        <v>4499</v>
      </c>
      <c r="F2932" s="559">
        <v>500634</v>
      </c>
      <c r="G2932" s="558" t="s">
        <v>4498</v>
      </c>
      <c r="H2932" s="564">
        <v>40015</v>
      </c>
      <c r="I2932" s="563">
        <v>64.349999999999994</v>
      </c>
      <c r="J2932" s="563">
        <v>-64.349999999999994</v>
      </c>
      <c r="K2932" s="582">
        <f t="shared" si="135"/>
        <v>0</v>
      </c>
      <c r="L2932" s="563">
        <f t="shared" si="136"/>
        <v>0</v>
      </c>
      <c r="M2932" s="563">
        <f t="shared" si="137"/>
        <v>70.784999999999997</v>
      </c>
      <c r="N2932" s="580"/>
    </row>
    <row r="2933" spans="4:14" x14ac:dyDescent="0.25">
      <c r="D2933" s="559" t="s">
        <v>867</v>
      </c>
      <c r="E2933" s="558" t="s">
        <v>4500</v>
      </c>
      <c r="F2933" s="559">
        <v>500635</v>
      </c>
      <c r="G2933" s="558" t="s">
        <v>4498</v>
      </c>
      <c r="H2933" s="564">
        <v>40015</v>
      </c>
      <c r="I2933" s="563">
        <v>688.35</v>
      </c>
      <c r="J2933" s="563">
        <v>-585</v>
      </c>
      <c r="K2933" s="582">
        <f t="shared" si="135"/>
        <v>103.35000000000002</v>
      </c>
      <c r="L2933" s="563">
        <f t="shared" si="136"/>
        <v>113.68500000000003</v>
      </c>
      <c r="M2933" s="563">
        <f t="shared" si="137"/>
        <v>757.18500000000006</v>
      </c>
      <c r="N2933" s="580"/>
    </row>
    <row r="2934" spans="4:14" x14ac:dyDescent="0.25">
      <c r="D2934" s="559" t="s">
        <v>867</v>
      </c>
      <c r="E2934" s="558" t="s">
        <v>4501</v>
      </c>
      <c r="F2934" s="559">
        <v>500636</v>
      </c>
      <c r="G2934" s="558" t="s">
        <v>4498</v>
      </c>
      <c r="H2934" s="564">
        <v>40015</v>
      </c>
      <c r="I2934" s="563">
        <v>25.35</v>
      </c>
      <c r="J2934" s="563">
        <v>-25.35</v>
      </c>
      <c r="K2934" s="582">
        <f t="shared" si="135"/>
        <v>0</v>
      </c>
      <c r="L2934" s="563">
        <f t="shared" si="136"/>
        <v>0</v>
      </c>
      <c r="M2934" s="563">
        <f t="shared" si="137"/>
        <v>27.885000000000005</v>
      </c>
      <c r="N2934" s="580"/>
    </row>
    <row r="2935" spans="4:14" x14ac:dyDescent="0.25">
      <c r="D2935" s="559" t="s">
        <v>867</v>
      </c>
      <c r="E2935" s="558" t="s">
        <v>4502</v>
      </c>
      <c r="F2935" s="559">
        <v>500637</v>
      </c>
      <c r="G2935" s="558" t="s">
        <v>4498</v>
      </c>
      <c r="H2935" s="564">
        <v>40015</v>
      </c>
      <c r="I2935" s="563">
        <v>64.349999999999994</v>
      </c>
      <c r="J2935" s="563">
        <v>-64.349999999999994</v>
      </c>
      <c r="K2935" s="582">
        <f t="shared" si="135"/>
        <v>0</v>
      </c>
      <c r="L2935" s="563">
        <f t="shared" si="136"/>
        <v>0</v>
      </c>
      <c r="M2935" s="563">
        <f t="shared" si="137"/>
        <v>70.784999999999997</v>
      </c>
      <c r="N2935" s="580"/>
    </row>
    <row r="2936" spans="4:14" x14ac:dyDescent="0.25">
      <c r="D2936" s="559" t="s">
        <v>867</v>
      </c>
      <c r="E2936" s="558" t="s">
        <v>4503</v>
      </c>
      <c r="F2936" s="559">
        <v>500638</v>
      </c>
      <c r="G2936" s="558" t="s">
        <v>4504</v>
      </c>
      <c r="H2936" s="564">
        <v>40015</v>
      </c>
      <c r="I2936" s="563">
        <v>64.349999999999994</v>
      </c>
      <c r="J2936" s="563">
        <v>-64.349999999999994</v>
      </c>
      <c r="K2936" s="582">
        <f t="shared" si="135"/>
        <v>0</v>
      </c>
      <c r="L2936" s="563">
        <f t="shared" si="136"/>
        <v>0</v>
      </c>
      <c r="M2936" s="563">
        <f t="shared" si="137"/>
        <v>70.784999999999997</v>
      </c>
      <c r="N2936" s="580"/>
    </row>
    <row r="2937" spans="4:14" x14ac:dyDescent="0.25">
      <c r="D2937" s="559" t="s">
        <v>867</v>
      </c>
      <c r="E2937" s="558" t="s">
        <v>4505</v>
      </c>
      <c r="F2937" s="559">
        <v>500639</v>
      </c>
      <c r="G2937" s="558" t="s">
        <v>4504</v>
      </c>
      <c r="H2937" s="564">
        <v>40015</v>
      </c>
      <c r="I2937" s="563">
        <v>688.35</v>
      </c>
      <c r="J2937" s="563">
        <v>-585</v>
      </c>
      <c r="K2937" s="582">
        <f t="shared" si="135"/>
        <v>103.35000000000002</v>
      </c>
      <c r="L2937" s="563">
        <f t="shared" si="136"/>
        <v>113.68500000000003</v>
      </c>
      <c r="M2937" s="563">
        <f t="shared" si="137"/>
        <v>757.18500000000006</v>
      </c>
      <c r="N2937" s="580"/>
    </row>
    <row r="2938" spans="4:14" x14ac:dyDescent="0.25">
      <c r="D2938" s="559" t="s">
        <v>867</v>
      </c>
      <c r="E2938" s="558" t="s">
        <v>4506</v>
      </c>
      <c r="F2938" s="559">
        <v>500640</v>
      </c>
      <c r="G2938" s="558" t="s">
        <v>4504</v>
      </c>
      <c r="H2938" s="564">
        <v>40015</v>
      </c>
      <c r="I2938" s="563">
        <v>64.349999999999994</v>
      </c>
      <c r="J2938" s="563">
        <v>-64.349999999999994</v>
      </c>
      <c r="K2938" s="582">
        <f t="shared" si="135"/>
        <v>0</v>
      </c>
      <c r="L2938" s="563">
        <f t="shared" si="136"/>
        <v>0</v>
      </c>
      <c r="M2938" s="563">
        <f t="shared" si="137"/>
        <v>70.784999999999997</v>
      </c>
      <c r="N2938" s="580"/>
    </row>
    <row r="2939" spans="4:14" x14ac:dyDescent="0.25">
      <c r="D2939" s="559" t="s">
        <v>867</v>
      </c>
      <c r="E2939" s="558" t="s">
        <v>4507</v>
      </c>
      <c r="F2939" s="559">
        <v>500641</v>
      </c>
      <c r="G2939" s="558" t="s">
        <v>4504</v>
      </c>
      <c r="H2939" s="564">
        <v>40015</v>
      </c>
      <c r="I2939" s="563">
        <v>64.349999999999994</v>
      </c>
      <c r="J2939" s="563">
        <v>-64.349999999999994</v>
      </c>
      <c r="K2939" s="582">
        <f t="shared" si="135"/>
        <v>0</v>
      </c>
      <c r="L2939" s="563">
        <f t="shared" si="136"/>
        <v>0</v>
      </c>
      <c r="M2939" s="563">
        <f t="shared" si="137"/>
        <v>70.784999999999997</v>
      </c>
      <c r="N2939" s="580"/>
    </row>
    <row r="2940" spans="4:14" x14ac:dyDescent="0.25">
      <c r="D2940" s="559" t="s">
        <v>867</v>
      </c>
      <c r="E2940" s="558" t="s">
        <v>4508</v>
      </c>
      <c r="F2940" s="559">
        <v>500642</v>
      </c>
      <c r="G2940" s="558" t="s">
        <v>4504</v>
      </c>
      <c r="H2940" s="564">
        <v>40015</v>
      </c>
      <c r="I2940" s="563">
        <v>64.349999999999994</v>
      </c>
      <c r="J2940" s="563">
        <v>-64.349999999999994</v>
      </c>
      <c r="K2940" s="582">
        <f t="shared" si="135"/>
        <v>0</v>
      </c>
      <c r="L2940" s="563">
        <f t="shared" si="136"/>
        <v>0</v>
      </c>
      <c r="M2940" s="563">
        <f t="shared" si="137"/>
        <v>70.784999999999997</v>
      </c>
      <c r="N2940" s="580"/>
    </row>
    <row r="2941" spans="4:14" x14ac:dyDescent="0.25">
      <c r="D2941" s="559" t="s">
        <v>867</v>
      </c>
      <c r="E2941" s="558" t="s">
        <v>4509</v>
      </c>
      <c r="F2941" s="559">
        <v>500643</v>
      </c>
      <c r="G2941" s="558" t="s">
        <v>4510</v>
      </c>
      <c r="H2941" s="564">
        <v>40015</v>
      </c>
      <c r="I2941" s="563">
        <v>64.349999999999994</v>
      </c>
      <c r="J2941" s="563">
        <v>-64.349999999999994</v>
      </c>
      <c r="K2941" s="582">
        <f t="shared" si="135"/>
        <v>0</v>
      </c>
      <c r="L2941" s="563">
        <f t="shared" si="136"/>
        <v>0</v>
      </c>
      <c r="M2941" s="563">
        <f t="shared" si="137"/>
        <v>70.784999999999997</v>
      </c>
      <c r="N2941" s="580"/>
    </row>
    <row r="2942" spans="4:14" x14ac:dyDescent="0.25">
      <c r="D2942" s="559" t="s">
        <v>867</v>
      </c>
      <c r="E2942" s="558" t="s">
        <v>4511</v>
      </c>
      <c r="F2942" s="559">
        <v>500644</v>
      </c>
      <c r="G2942" s="558" t="s">
        <v>4510</v>
      </c>
      <c r="H2942" s="564">
        <v>40015</v>
      </c>
      <c r="I2942" s="563">
        <v>64.349999999999994</v>
      </c>
      <c r="J2942" s="563">
        <v>-64.349999999999994</v>
      </c>
      <c r="K2942" s="582">
        <f t="shared" si="135"/>
        <v>0</v>
      </c>
      <c r="L2942" s="563">
        <f t="shared" si="136"/>
        <v>0</v>
      </c>
      <c r="M2942" s="563">
        <f t="shared" si="137"/>
        <v>70.784999999999997</v>
      </c>
      <c r="N2942" s="580"/>
    </row>
    <row r="2943" spans="4:14" x14ac:dyDescent="0.25">
      <c r="D2943" s="559" t="s">
        <v>867</v>
      </c>
      <c r="E2943" s="558" t="s">
        <v>4512</v>
      </c>
      <c r="F2943" s="559">
        <v>500645</v>
      </c>
      <c r="G2943" s="558" t="s">
        <v>4510</v>
      </c>
      <c r="H2943" s="564">
        <v>40015</v>
      </c>
      <c r="I2943" s="563">
        <v>64.349999999999994</v>
      </c>
      <c r="J2943" s="563">
        <v>-64.349999999999994</v>
      </c>
      <c r="K2943" s="582">
        <f t="shared" si="135"/>
        <v>0</v>
      </c>
      <c r="L2943" s="563">
        <f t="shared" si="136"/>
        <v>0</v>
      </c>
      <c r="M2943" s="563">
        <f t="shared" si="137"/>
        <v>70.784999999999997</v>
      </c>
      <c r="N2943" s="580"/>
    </row>
    <row r="2944" spans="4:14" x14ac:dyDescent="0.25">
      <c r="D2944" s="559" t="s">
        <v>867</v>
      </c>
      <c r="E2944" s="558" t="s">
        <v>4513</v>
      </c>
      <c r="F2944" s="559">
        <v>500646</v>
      </c>
      <c r="G2944" s="558" t="s">
        <v>4510</v>
      </c>
      <c r="H2944" s="564">
        <v>40015</v>
      </c>
      <c r="I2944" s="563">
        <v>64.349999999999994</v>
      </c>
      <c r="J2944" s="563">
        <v>-64.349999999999994</v>
      </c>
      <c r="K2944" s="582">
        <f t="shared" si="135"/>
        <v>0</v>
      </c>
      <c r="L2944" s="563">
        <f t="shared" si="136"/>
        <v>0</v>
      </c>
      <c r="M2944" s="563">
        <f t="shared" si="137"/>
        <v>70.784999999999997</v>
      </c>
      <c r="N2944" s="580"/>
    </row>
    <row r="2945" spans="4:14" x14ac:dyDescent="0.25">
      <c r="D2945" s="559" t="s">
        <v>867</v>
      </c>
      <c r="E2945" s="558" t="s">
        <v>4514</v>
      </c>
      <c r="F2945" s="559">
        <v>500647</v>
      </c>
      <c r="G2945" s="558" t="s">
        <v>4510</v>
      </c>
      <c r="H2945" s="564">
        <v>40015</v>
      </c>
      <c r="I2945" s="563">
        <v>64.349999999999994</v>
      </c>
      <c r="J2945" s="563">
        <v>-64.349999999999994</v>
      </c>
      <c r="K2945" s="582">
        <f t="shared" si="135"/>
        <v>0</v>
      </c>
      <c r="L2945" s="563">
        <f t="shared" si="136"/>
        <v>0</v>
      </c>
      <c r="M2945" s="563">
        <f t="shared" si="137"/>
        <v>70.784999999999997</v>
      </c>
      <c r="N2945" s="580"/>
    </row>
    <row r="2946" spans="4:14" x14ac:dyDescent="0.25">
      <c r="D2946" s="559" t="s">
        <v>867</v>
      </c>
      <c r="E2946" s="558" t="s">
        <v>1701</v>
      </c>
      <c r="F2946" s="559">
        <v>500648</v>
      </c>
      <c r="G2946" s="558" t="s">
        <v>1702</v>
      </c>
      <c r="H2946" s="564">
        <v>40015</v>
      </c>
      <c r="I2946" s="563">
        <v>64.349999999999994</v>
      </c>
      <c r="J2946" s="563">
        <v>-64.349999999999994</v>
      </c>
      <c r="K2946" s="582">
        <f t="shared" si="135"/>
        <v>0</v>
      </c>
      <c r="L2946" s="563">
        <f t="shared" si="136"/>
        <v>0</v>
      </c>
      <c r="M2946" s="563">
        <f t="shared" si="137"/>
        <v>70.784999999999997</v>
      </c>
      <c r="N2946" s="580"/>
    </row>
    <row r="2947" spans="4:14" x14ac:dyDescent="0.25">
      <c r="D2947" s="559" t="s">
        <v>867</v>
      </c>
      <c r="E2947" s="558" t="s">
        <v>1703</v>
      </c>
      <c r="F2947" s="559">
        <v>501057</v>
      </c>
      <c r="G2947" s="558" t="s">
        <v>1702</v>
      </c>
      <c r="H2947" s="564">
        <v>40015</v>
      </c>
      <c r="I2947" s="563">
        <v>64.349999999999994</v>
      </c>
      <c r="J2947" s="563">
        <v>-64.349999999999994</v>
      </c>
      <c r="K2947" s="582">
        <f t="shared" si="135"/>
        <v>0</v>
      </c>
      <c r="L2947" s="563">
        <f t="shared" si="136"/>
        <v>0</v>
      </c>
      <c r="M2947" s="563">
        <f t="shared" si="137"/>
        <v>70.784999999999997</v>
      </c>
      <c r="N2947" s="580"/>
    </row>
    <row r="2948" spans="4:14" x14ac:dyDescent="0.25">
      <c r="D2948" s="559" t="s">
        <v>867</v>
      </c>
      <c r="E2948" s="558" t="s">
        <v>1704</v>
      </c>
      <c r="F2948" s="559">
        <v>500649</v>
      </c>
      <c r="G2948" s="558" t="s">
        <v>1702</v>
      </c>
      <c r="H2948" s="564">
        <v>40015</v>
      </c>
      <c r="I2948" s="563">
        <v>688.35</v>
      </c>
      <c r="J2948" s="563">
        <v>-585</v>
      </c>
      <c r="K2948" s="582">
        <f t="shared" si="135"/>
        <v>103.35000000000002</v>
      </c>
      <c r="L2948" s="563">
        <f t="shared" si="136"/>
        <v>113.68500000000003</v>
      </c>
      <c r="M2948" s="563">
        <f t="shared" si="137"/>
        <v>757.18500000000006</v>
      </c>
      <c r="N2948" s="580"/>
    </row>
    <row r="2949" spans="4:14" x14ac:dyDescent="0.25">
      <c r="D2949" s="559" t="s">
        <v>867</v>
      </c>
      <c r="E2949" s="558" t="s">
        <v>1705</v>
      </c>
      <c r="F2949" s="559">
        <v>500650</v>
      </c>
      <c r="G2949" s="558" t="s">
        <v>1702</v>
      </c>
      <c r="H2949" s="564">
        <v>40015</v>
      </c>
      <c r="I2949" s="563">
        <v>64.349999999999994</v>
      </c>
      <c r="J2949" s="563">
        <v>-64.349999999999994</v>
      </c>
      <c r="K2949" s="582">
        <f t="shared" si="135"/>
        <v>0</v>
      </c>
      <c r="L2949" s="563">
        <f t="shared" si="136"/>
        <v>0</v>
      </c>
      <c r="M2949" s="563">
        <f t="shared" si="137"/>
        <v>70.784999999999997</v>
      </c>
      <c r="N2949" s="580"/>
    </row>
    <row r="2950" spans="4:14" x14ac:dyDescent="0.25">
      <c r="D2950" s="559" t="s">
        <v>867</v>
      </c>
      <c r="E2950" s="558" t="s">
        <v>1706</v>
      </c>
      <c r="F2950" s="559">
        <v>500651</v>
      </c>
      <c r="G2950" s="558" t="s">
        <v>1702</v>
      </c>
      <c r="H2950" s="564">
        <v>40015</v>
      </c>
      <c r="I2950" s="563">
        <v>64.349999999999994</v>
      </c>
      <c r="J2950" s="563">
        <v>-64.349999999999994</v>
      </c>
      <c r="K2950" s="582">
        <f t="shared" si="135"/>
        <v>0</v>
      </c>
      <c r="L2950" s="563">
        <f t="shared" si="136"/>
        <v>0</v>
      </c>
      <c r="M2950" s="563">
        <f t="shared" si="137"/>
        <v>70.784999999999997</v>
      </c>
      <c r="N2950" s="580"/>
    </row>
    <row r="2951" spans="4:14" x14ac:dyDescent="0.25">
      <c r="D2951" s="559" t="s">
        <v>867</v>
      </c>
      <c r="E2951" s="558" t="s">
        <v>1707</v>
      </c>
      <c r="F2951" s="559">
        <v>500652</v>
      </c>
      <c r="G2951" s="558" t="s">
        <v>1708</v>
      </c>
      <c r="H2951" s="564">
        <v>40015</v>
      </c>
      <c r="I2951" s="563">
        <v>64.349999999999994</v>
      </c>
      <c r="J2951" s="563">
        <v>-64.349999999999994</v>
      </c>
      <c r="K2951" s="582">
        <f t="shared" si="135"/>
        <v>0</v>
      </c>
      <c r="L2951" s="563">
        <f t="shared" si="136"/>
        <v>0</v>
      </c>
      <c r="M2951" s="563">
        <f t="shared" si="137"/>
        <v>70.784999999999997</v>
      </c>
      <c r="N2951" s="580"/>
    </row>
    <row r="2952" spans="4:14" x14ac:dyDescent="0.25">
      <c r="D2952" s="559" t="s">
        <v>867</v>
      </c>
      <c r="E2952" s="558" t="s">
        <v>1709</v>
      </c>
      <c r="F2952" s="559">
        <v>500653</v>
      </c>
      <c r="G2952" s="558" t="s">
        <v>1708</v>
      </c>
      <c r="H2952" s="564">
        <v>40015</v>
      </c>
      <c r="I2952" s="563">
        <v>64.349999999999994</v>
      </c>
      <c r="J2952" s="563">
        <v>-64.349999999999994</v>
      </c>
      <c r="K2952" s="582">
        <f t="shared" si="135"/>
        <v>0</v>
      </c>
      <c r="L2952" s="563">
        <f t="shared" si="136"/>
        <v>0</v>
      </c>
      <c r="M2952" s="563">
        <f t="shared" si="137"/>
        <v>70.784999999999997</v>
      </c>
      <c r="N2952" s="580"/>
    </row>
    <row r="2953" spans="4:14" x14ac:dyDescent="0.25">
      <c r="D2953" s="559" t="s">
        <v>867</v>
      </c>
      <c r="E2953" s="558" t="s">
        <v>1710</v>
      </c>
      <c r="F2953" s="559">
        <v>500654</v>
      </c>
      <c r="G2953" s="558" t="s">
        <v>1708</v>
      </c>
      <c r="H2953" s="564">
        <v>40015</v>
      </c>
      <c r="I2953" s="563">
        <v>64.349999999999994</v>
      </c>
      <c r="J2953" s="563">
        <v>-64.349999999999994</v>
      </c>
      <c r="K2953" s="582">
        <f t="shared" si="135"/>
        <v>0</v>
      </c>
      <c r="L2953" s="563">
        <f t="shared" si="136"/>
        <v>0</v>
      </c>
      <c r="M2953" s="563">
        <f t="shared" si="137"/>
        <v>70.784999999999997</v>
      </c>
      <c r="N2953" s="580"/>
    </row>
    <row r="2954" spans="4:14" x14ac:dyDescent="0.25">
      <c r="D2954" s="559" t="s">
        <v>867</v>
      </c>
      <c r="E2954" s="558" t="s">
        <v>1711</v>
      </c>
      <c r="F2954" s="559">
        <v>500655</v>
      </c>
      <c r="G2954" s="558" t="s">
        <v>1708</v>
      </c>
      <c r="H2954" s="564">
        <v>40015</v>
      </c>
      <c r="I2954" s="563">
        <v>64.349999999999994</v>
      </c>
      <c r="J2954" s="563">
        <v>-64.349999999999994</v>
      </c>
      <c r="K2954" s="582">
        <f t="shared" si="135"/>
        <v>0</v>
      </c>
      <c r="L2954" s="563">
        <f t="shared" si="136"/>
        <v>0</v>
      </c>
      <c r="M2954" s="563">
        <f t="shared" si="137"/>
        <v>70.784999999999997</v>
      </c>
      <c r="N2954" s="580"/>
    </row>
    <row r="2955" spans="4:14" x14ac:dyDescent="0.25">
      <c r="D2955" s="559" t="s">
        <v>867</v>
      </c>
      <c r="E2955" s="558" t="s">
        <v>1712</v>
      </c>
      <c r="F2955" s="559">
        <v>500656</v>
      </c>
      <c r="G2955" s="558" t="s">
        <v>1708</v>
      </c>
      <c r="H2955" s="564">
        <v>40015</v>
      </c>
      <c r="I2955" s="563">
        <v>64.349999999999994</v>
      </c>
      <c r="J2955" s="563">
        <v>-64.349999999999994</v>
      </c>
      <c r="K2955" s="582">
        <f t="shared" si="135"/>
        <v>0</v>
      </c>
      <c r="L2955" s="563">
        <f t="shared" si="136"/>
        <v>0</v>
      </c>
      <c r="M2955" s="563">
        <f t="shared" si="137"/>
        <v>70.784999999999997</v>
      </c>
      <c r="N2955" s="580"/>
    </row>
    <row r="2956" spans="4:14" x14ac:dyDescent="0.25">
      <c r="D2956" s="559" t="s">
        <v>867</v>
      </c>
      <c r="E2956" s="558" t="s">
        <v>1713</v>
      </c>
      <c r="F2956" s="559">
        <v>500657</v>
      </c>
      <c r="G2956" s="558" t="s">
        <v>1714</v>
      </c>
      <c r="H2956" s="564">
        <v>40015</v>
      </c>
      <c r="I2956" s="563">
        <v>64.349999999999994</v>
      </c>
      <c r="J2956" s="563">
        <v>-64.349999999999994</v>
      </c>
      <c r="K2956" s="582">
        <f t="shared" si="135"/>
        <v>0</v>
      </c>
      <c r="L2956" s="563">
        <f t="shared" si="136"/>
        <v>0</v>
      </c>
      <c r="M2956" s="563">
        <f t="shared" si="137"/>
        <v>70.784999999999997</v>
      </c>
      <c r="N2956" s="580"/>
    </row>
    <row r="2957" spans="4:14" x14ac:dyDescent="0.25">
      <c r="D2957" s="559" t="s">
        <v>867</v>
      </c>
      <c r="E2957" s="558" t="s">
        <v>1715</v>
      </c>
      <c r="F2957" s="559">
        <v>500658</v>
      </c>
      <c r="G2957" s="558" t="s">
        <v>1714</v>
      </c>
      <c r="H2957" s="564">
        <v>40015</v>
      </c>
      <c r="I2957" s="563">
        <v>64.349999999999994</v>
      </c>
      <c r="J2957" s="563">
        <v>-64.349999999999994</v>
      </c>
      <c r="K2957" s="582">
        <f t="shared" si="135"/>
        <v>0</v>
      </c>
      <c r="L2957" s="563">
        <f t="shared" si="136"/>
        <v>0</v>
      </c>
      <c r="M2957" s="563">
        <f t="shared" si="137"/>
        <v>70.784999999999997</v>
      </c>
      <c r="N2957" s="580"/>
    </row>
    <row r="2958" spans="4:14" x14ac:dyDescent="0.25">
      <c r="D2958" s="559" t="s">
        <v>867</v>
      </c>
      <c r="E2958" s="558" t="s">
        <v>1716</v>
      </c>
      <c r="F2958" s="559">
        <v>500659</v>
      </c>
      <c r="G2958" s="558" t="s">
        <v>1714</v>
      </c>
      <c r="H2958" s="564">
        <v>40015</v>
      </c>
      <c r="I2958" s="563">
        <v>64.349999999999994</v>
      </c>
      <c r="J2958" s="563">
        <v>-64.349999999999994</v>
      </c>
      <c r="K2958" s="582">
        <f t="shared" si="135"/>
        <v>0</v>
      </c>
      <c r="L2958" s="563">
        <f t="shared" si="136"/>
        <v>0</v>
      </c>
      <c r="M2958" s="563">
        <f t="shared" si="137"/>
        <v>70.784999999999997</v>
      </c>
      <c r="N2958" s="580"/>
    </row>
    <row r="2959" spans="4:14" x14ac:dyDescent="0.25">
      <c r="D2959" s="559" t="s">
        <v>867</v>
      </c>
      <c r="E2959" s="558" t="s">
        <v>1717</v>
      </c>
      <c r="F2959" s="559">
        <v>500660</v>
      </c>
      <c r="G2959" s="558" t="s">
        <v>1714</v>
      </c>
      <c r="H2959" s="564">
        <v>40015</v>
      </c>
      <c r="I2959" s="563">
        <v>64.349999999999994</v>
      </c>
      <c r="J2959" s="563">
        <v>-64.349999999999994</v>
      </c>
      <c r="K2959" s="582">
        <f t="shared" si="135"/>
        <v>0</v>
      </c>
      <c r="L2959" s="563">
        <f t="shared" si="136"/>
        <v>0</v>
      </c>
      <c r="M2959" s="563">
        <f t="shared" si="137"/>
        <v>70.784999999999997</v>
      </c>
      <c r="N2959" s="580"/>
    </row>
    <row r="2960" spans="4:14" x14ac:dyDescent="0.25">
      <c r="D2960" s="559" t="s">
        <v>867</v>
      </c>
      <c r="E2960" s="558" t="s">
        <v>1718</v>
      </c>
      <c r="F2960" s="559">
        <v>500661</v>
      </c>
      <c r="G2960" s="558" t="s">
        <v>1714</v>
      </c>
      <c r="H2960" s="564">
        <v>40015</v>
      </c>
      <c r="I2960" s="563">
        <v>688.35</v>
      </c>
      <c r="J2960" s="563">
        <v>-585</v>
      </c>
      <c r="K2960" s="582">
        <f t="shared" si="135"/>
        <v>103.35000000000002</v>
      </c>
      <c r="L2960" s="563">
        <f t="shared" si="136"/>
        <v>113.68500000000003</v>
      </c>
      <c r="M2960" s="563">
        <f t="shared" si="137"/>
        <v>757.18500000000006</v>
      </c>
      <c r="N2960" s="580"/>
    </row>
    <row r="2961" spans="4:14" x14ac:dyDescent="0.25">
      <c r="D2961" s="559" t="s">
        <v>867</v>
      </c>
      <c r="E2961" s="558" t="s">
        <v>1719</v>
      </c>
      <c r="F2961" s="559">
        <v>500662</v>
      </c>
      <c r="G2961" s="558" t="s">
        <v>1720</v>
      </c>
      <c r="H2961" s="564">
        <v>40015</v>
      </c>
      <c r="I2961" s="563">
        <v>64.349999999999994</v>
      </c>
      <c r="J2961" s="563">
        <v>-64.349999999999994</v>
      </c>
      <c r="K2961" s="582">
        <f t="shared" si="135"/>
        <v>0</v>
      </c>
      <c r="L2961" s="563">
        <f t="shared" si="136"/>
        <v>0</v>
      </c>
      <c r="M2961" s="563">
        <f t="shared" si="137"/>
        <v>70.784999999999997</v>
      </c>
      <c r="N2961" s="580"/>
    </row>
    <row r="2962" spans="4:14" x14ac:dyDescent="0.25">
      <c r="D2962" s="559" t="s">
        <v>867</v>
      </c>
      <c r="E2962" s="558" t="s">
        <v>1721</v>
      </c>
      <c r="F2962" s="559">
        <v>500663</v>
      </c>
      <c r="G2962" s="558" t="s">
        <v>1720</v>
      </c>
      <c r="H2962" s="564">
        <v>40015</v>
      </c>
      <c r="I2962" s="563">
        <v>103.35</v>
      </c>
      <c r="J2962" s="563">
        <v>-103.35</v>
      </c>
      <c r="K2962" s="582">
        <f t="shared" si="135"/>
        <v>0</v>
      </c>
      <c r="L2962" s="563">
        <f t="shared" si="136"/>
        <v>0</v>
      </c>
      <c r="M2962" s="563">
        <f t="shared" si="137"/>
        <v>113.685</v>
      </c>
      <c r="N2962" s="580"/>
    </row>
    <row r="2963" spans="4:14" x14ac:dyDescent="0.25">
      <c r="D2963" s="559" t="s">
        <v>867</v>
      </c>
      <c r="E2963" s="558" t="s">
        <v>1722</v>
      </c>
      <c r="F2963" s="559">
        <v>500664</v>
      </c>
      <c r="G2963" s="558" t="s">
        <v>1720</v>
      </c>
      <c r="H2963" s="564">
        <v>40015</v>
      </c>
      <c r="I2963" s="563">
        <v>454.35</v>
      </c>
      <c r="J2963" s="563">
        <v>-454.35</v>
      </c>
      <c r="K2963" s="582">
        <f t="shared" si="135"/>
        <v>0</v>
      </c>
      <c r="L2963" s="563">
        <f t="shared" si="136"/>
        <v>0</v>
      </c>
      <c r="M2963" s="563">
        <f t="shared" si="137"/>
        <v>499.78500000000008</v>
      </c>
      <c r="N2963" s="580"/>
    </row>
    <row r="2964" spans="4:14" x14ac:dyDescent="0.25">
      <c r="D2964" s="559" t="s">
        <v>867</v>
      </c>
      <c r="E2964" s="558" t="s">
        <v>1723</v>
      </c>
      <c r="F2964" s="559">
        <v>500665</v>
      </c>
      <c r="G2964" s="558" t="s">
        <v>1720</v>
      </c>
      <c r="H2964" s="564">
        <v>40015</v>
      </c>
      <c r="I2964" s="563">
        <v>688.35</v>
      </c>
      <c r="J2964" s="563">
        <v>-585</v>
      </c>
      <c r="K2964" s="582">
        <f t="shared" si="135"/>
        <v>103.35000000000002</v>
      </c>
      <c r="L2964" s="563">
        <f t="shared" si="136"/>
        <v>113.68500000000003</v>
      </c>
      <c r="M2964" s="563">
        <f t="shared" si="137"/>
        <v>757.18500000000006</v>
      </c>
      <c r="N2964" s="580"/>
    </row>
    <row r="2965" spans="4:14" x14ac:dyDescent="0.25">
      <c r="D2965" s="559" t="s">
        <v>867</v>
      </c>
      <c r="E2965" s="558" t="s">
        <v>1724</v>
      </c>
      <c r="F2965" s="559">
        <v>500666</v>
      </c>
      <c r="G2965" s="558" t="s">
        <v>1720</v>
      </c>
      <c r="H2965" s="564">
        <v>40015</v>
      </c>
      <c r="I2965" s="563">
        <v>64.349999999999994</v>
      </c>
      <c r="J2965" s="563">
        <v>-64.349999999999994</v>
      </c>
      <c r="K2965" s="582">
        <f t="shared" si="135"/>
        <v>0</v>
      </c>
      <c r="L2965" s="563">
        <f t="shared" si="136"/>
        <v>0</v>
      </c>
      <c r="M2965" s="563">
        <f t="shared" si="137"/>
        <v>70.784999999999997</v>
      </c>
      <c r="N2965" s="580"/>
    </row>
    <row r="2966" spans="4:14" x14ac:dyDescent="0.25">
      <c r="D2966" s="559" t="s">
        <v>867</v>
      </c>
      <c r="E2966" s="558" t="s">
        <v>1725</v>
      </c>
      <c r="F2966" s="559">
        <v>500667</v>
      </c>
      <c r="G2966" s="558" t="s">
        <v>1726</v>
      </c>
      <c r="H2966" s="564">
        <v>40015</v>
      </c>
      <c r="I2966" s="563">
        <v>64.349999999999994</v>
      </c>
      <c r="J2966" s="563">
        <v>-64.349999999999994</v>
      </c>
      <c r="K2966" s="582">
        <f t="shared" si="135"/>
        <v>0</v>
      </c>
      <c r="L2966" s="563">
        <f t="shared" si="136"/>
        <v>0</v>
      </c>
      <c r="M2966" s="563">
        <f t="shared" si="137"/>
        <v>70.784999999999997</v>
      </c>
      <c r="N2966" s="580"/>
    </row>
    <row r="2967" spans="4:14" x14ac:dyDescent="0.25">
      <c r="D2967" s="559" t="s">
        <v>867</v>
      </c>
      <c r="E2967" s="558" t="s">
        <v>1727</v>
      </c>
      <c r="F2967" s="559">
        <v>500668</v>
      </c>
      <c r="G2967" s="558" t="s">
        <v>1726</v>
      </c>
      <c r="H2967" s="564">
        <v>40015</v>
      </c>
      <c r="I2967" s="563">
        <v>298.35000000000002</v>
      </c>
      <c r="J2967" s="563">
        <v>-298.35000000000002</v>
      </c>
      <c r="K2967" s="582">
        <f t="shared" si="135"/>
        <v>0</v>
      </c>
      <c r="L2967" s="563">
        <f t="shared" si="136"/>
        <v>0</v>
      </c>
      <c r="M2967" s="563">
        <f t="shared" si="137"/>
        <v>328.18500000000006</v>
      </c>
      <c r="N2967" s="580"/>
    </row>
    <row r="2968" spans="4:14" x14ac:dyDescent="0.25">
      <c r="D2968" s="559" t="s">
        <v>867</v>
      </c>
      <c r="E2968" s="558" t="s">
        <v>1728</v>
      </c>
      <c r="F2968" s="559">
        <v>500669</v>
      </c>
      <c r="G2968" s="558" t="s">
        <v>1726</v>
      </c>
      <c r="H2968" s="564">
        <v>40015</v>
      </c>
      <c r="I2968" s="563">
        <v>64.349999999999994</v>
      </c>
      <c r="J2968" s="563">
        <v>-64.349999999999994</v>
      </c>
      <c r="K2968" s="582">
        <f t="shared" si="135"/>
        <v>0</v>
      </c>
      <c r="L2968" s="563">
        <f t="shared" si="136"/>
        <v>0</v>
      </c>
      <c r="M2968" s="563">
        <f t="shared" si="137"/>
        <v>70.784999999999997</v>
      </c>
      <c r="N2968" s="580"/>
    </row>
    <row r="2969" spans="4:14" x14ac:dyDescent="0.25">
      <c r="D2969" s="559" t="s">
        <v>867</v>
      </c>
      <c r="E2969" s="558" t="s">
        <v>1729</v>
      </c>
      <c r="F2969" s="559">
        <v>500670</v>
      </c>
      <c r="G2969" s="558" t="s">
        <v>1726</v>
      </c>
      <c r="H2969" s="564">
        <v>40015</v>
      </c>
      <c r="I2969" s="563">
        <v>64.349999999999994</v>
      </c>
      <c r="J2969" s="563">
        <v>-64.349999999999994</v>
      </c>
      <c r="K2969" s="582">
        <f t="shared" si="135"/>
        <v>0</v>
      </c>
      <c r="L2969" s="563">
        <f t="shared" si="136"/>
        <v>0</v>
      </c>
      <c r="M2969" s="563">
        <f t="shared" si="137"/>
        <v>70.784999999999997</v>
      </c>
      <c r="N2969" s="580"/>
    </row>
    <row r="2970" spans="4:14" x14ac:dyDescent="0.25">
      <c r="D2970" s="559" t="s">
        <v>867</v>
      </c>
      <c r="E2970" s="558" t="s">
        <v>1730</v>
      </c>
      <c r="F2970" s="559">
        <v>500671</v>
      </c>
      <c r="G2970" s="558" t="s">
        <v>1726</v>
      </c>
      <c r="H2970" s="564">
        <v>40015</v>
      </c>
      <c r="I2970" s="563">
        <v>688.35</v>
      </c>
      <c r="J2970" s="563">
        <v>-585</v>
      </c>
      <c r="K2970" s="582">
        <f t="shared" si="135"/>
        <v>103.35000000000002</v>
      </c>
      <c r="L2970" s="563">
        <f t="shared" si="136"/>
        <v>113.68500000000003</v>
      </c>
      <c r="M2970" s="563">
        <f t="shared" si="137"/>
        <v>757.18500000000006</v>
      </c>
      <c r="N2970" s="580"/>
    </row>
    <row r="2971" spans="4:14" x14ac:dyDescent="0.25">
      <c r="D2971" s="559" t="s">
        <v>867</v>
      </c>
      <c r="E2971" s="558" t="s">
        <v>1731</v>
      </c>
      <c r="F2971" s="559">
        <v>500672</v>
      </c>
      <c r="G2971" s="558" t="s">
        <v>1732</v>
      </c>
      <c r="H2971" s="564">
        <v>40015</v>
      </c>
      <c r="I2971" s="563">
        <v>688.35</v>
      </c>
      <c r="J2971" s="563">
        <v>-585</v>
      </c>
      <c r="K2971" s="582">
        <f t="shared" si="135"/>
        <v>103.35000000000002</v>
      </c>
      <c r="L2971" s="563">
        <f t="shared" si="136"/>
        <v>113.68500000000003</v>
      </c>
      <c r="M2971" s="563">
        <f t="shared" si="137"/>
        <v>757.18500000000006</v>
      </c>
      <c r="N2971" s="580"/>
    </row>
    <row r="2972" spans="4:14" x14ac:dyDescent="0.25">
      <c r="D2972" s="559" t="s">
        <v>867</v>
      </c>
      <c r="E2972" s="558" t="s">
        <v>1733</v>
      </c>
      <c r="F2972" s="559">
        <v>500673</v>
      </c>
      <c r="G2972" s="558" t="s">
        <v>1732</v>
      </c>
      <c r="H2972" s="564">
        <v>40015</v>
      </c>
      <c r="I2972" s="563">
        <v>64.349999999999994</v>
      </c>
      <c r="J2972" s="563">
        <v>-64.349999999999994</v>
      </c>
      <c r="K2972" s="582">
        <f t="shared" si="135"/>
        <v>0</v>
      </c>
      <c r="L2972" s="563">
        <f t="shared" si="136"/>
        <v>0</v>
      </c>
      <c r="M2972" s="563">
        <f t="shared" si="137"/>
        <v>70.784999999999997</v>
      </c>
      <c r="N2972" s="580"/>
    </row>
    <row r="2973" spans="4:14" x14ac:dyDescent="0.25">
      <c r="D2973" s="559" t="s">
        <v>867</v>
      </c>
      <c r="E2973" s="558" t="s">
        <v>1734</v>
      </c>
      <c r="F2973" s="559">
        <v>500674</v>
      </c>
      <c r="G2973" s="558" t="s">
        <v>1732</v>
      </c>
      <c r="H2973" s="564">
        <v>40015</v>
      </c>
      <c r="I2973" s="563">
        <v>64.349999999999994</v>
      </c>
      <c r="J2973" s="563">
        <v>-64.349999999999994</v>
      </c>
      <c r="K2973" s="582">
        <f t="shared" si="135"/>
        <v>0</v>
      </c>
      <c r="L2973" s="563">
        <f t="shared" si="136"/>
        <v>0</v>
      </c>
      <c r="M2973" s="563">
        <f t="shared" si="137"/>
        <v>70.784999999999997</v>
      </c>
      <c r="N2973" s="580"/>
    </row>
    <row r="2974" spans="4:14" x14ac:dyDescent="0.25">
      <c r="D2974" s="559" t="s">
        <v>867</v>
      </c>
      <c r="E2974" s="558" t="s">
        <v>1735</v>
      </c>
      <c r="F2974" s="559">
        <v>500675</v>
      </c>
      <c r="G2974" s="558" t="s">
        <v>1732</v>
      </c>
      <c r="H2974" s="564">
        <v>40015</v>
      </c>
      <c r="I2974" s="563">
        <v>688.35</v>
      </c>
      <c r="J2974" s="563">
        <v>-585</v>
      </c>
      <c r="K2974" s="582">
        <f t="shared" si="135"/>
        <v>103.35000000000002</v>
      </c>
      <c r="L2974" s="563">
        <f t="shared" si="136"/>
        <v>113.68500000000003</v>
      </c>
      <c r="M2974" s="563">
        <f t="shared" si="137"/>
        <v>757.18500000000006</v>
      </c>
      <c r="N2974" s="580"/>
    </row>
    <row r="2975" spans="4:14" x14ac:dyDescent="0.25">
      <c r="D2975" s="559" t="s">
        <v>867</v>
      </c>
      <c r="E2975" s="558" t="s">
        <v>1736</v>
      </c>
      <c r="F2975" s="559">
        <v>500676</v>
      </c>
      <c r="G2975" s="558" t="s">
        <v>1732</v>
      </c>
      <c r="H2975" s="564">
        <v>40015</v>
      </c>
      <c r="I2975" s="563">
        <v>610.35</v>
      </c>
      <c r="J2975" s="563">
        <v>-585</v>
      </c>
      <c r="K2975" s="582">
        <f t="shared" si="135"/>
        <v>25.350000000000023</v>
      </c>
      <c r="L2975" s="563">
        <f t="shared" si="136"/>
        <v>27.885000000000026</v>
      </c>
      <c r="M2975" s="563">
        <f t="shared" si="137"/>
        <v>671.3850000000001</v>
      </c>
      <c r="N2975" s="580"/>
    </row>
    <row r="2976" spans="4:14" x14ac:dyDescent="0.25">
      <c r="D2976" s="559" t="s">
        <v>867</v>
      </c>
      <c r="E2976" s="558" t="s">
        <v>1737</v>
      </c>
      <c r="F2976" s="559">
        <v>500677</v>
      </c>
      <c r="G2976" s="558" t="s">
        <v>1738</v>
      </c>
      <c r="H2976" s="564">
        <v>40015</v>
      </c>
      <c r="I2976" s="563">
        <v>64.349999999999994</v>
      </c>
      <c r="J2976" s="563">
        <v>-64.349999999999994</v>
      </c>
      <c r="K2976" s="582">
        <f t="shared" si="135"/>
        <v>0</v>
      </c>
      <c r="L2976" s="563">
        <f t="shared" si="136"/>
        <v>0</v>
      </c>
      <c r="M2976" s="563">
        <f t="shared" si="137"/>
        <v>70.784999999999997</v>
      </c>
      <c r="N2976" s="580"/>
    </row>
    <row r="2977" spans="4:14" x14ac:dyDescent="0.25">
      <c r="D2977" s="559" t="s">
        <v>867</v>
      </c>
      <c r="E2977" s="558" t="s">
        <v>1739</v>
      </c>
      <c r="F2977" s="559">
        <v>500678</v>
      </c>
      <c r="G2977" s="558" t="s">
        <v>1738</v>
      </c>
      <c r="H2977" s="564">
        <v>40015</v>
      </c>
      <c r="I2977" s="563">
        <v>64.349999999999994</v>
      </c>
      <c r="J2977" s="563">
        <v>-64.349999999999994</v>
      </c>
      <c r="K2977" s="582">
        <f t="shared" si="135"/>
        <v>0</v>
      </c>
      <c r="L2977" s="563">
        <f t="shared" si="136"/>
        <v>0</v>
      </c>
      <c r="M2977" s="563">
        <f t="shared" si="137"/>
        <v>70.784999999999997</v>
      </c>
      <c r="N2977" s="580"/>
    </row>
    <row r="2978" spans="4:14" x14ac:dyDescent="0.25">
      <c r="D2978" s="559" t="s">
        <v>867</v>
      </c>
      <c r="E2978" s="558" t="s">
        <v>1740</v>
      </c>
      <c r="F2978" s="559">
        <v>500679</v>
      </c>
      <c r="G2978" s="558" t="s">
        <v>1738</v>
      </c>
      <c r="H2978" s="564">
        <v>40015</v>
      </c>
      <c r="I2978" s="563">
        <v>64.349999999999994</v>
      </c>
      <c r="J2978" s="563">
        <v>-64.349999999999994</v>
      </c>
      <c r="K2978" s="582">
        <f t="shared" si="135"/>
        <v>0</v>
      </c>
      <c r="L2978" s="563">
        <f t="shared" si="136"/>
        <v>0</v>
      </c>
      <c r="M2978" s="563">
        <f t="shared" si="137"/>
        <v>70.784999999999997</v>
      </c>
      <c r="N2978" s="580"/>
    </row>
    <row r="2979" spans="4:14" x14ac:dyDescent="0.25">
      <c r="D2979" s="559" t="s">
        <v>867</v>
      </c>
      <c r="E2979" s="558" t="s">
        <v>1741</v>
      </c>
      <c r="F2979" s="559">
        <v>500680</v>
      </c>
      <c r="G2979" s="558" t="s">
        <v>1738</v>
      </c>
      <c r="H2979" s="564">
        <v>40015</v>
      </c>
      <c r="I2979" s="563">
        <v>688.35</v>
      </c>
      <c r="J2979" s="563">
        <v>-585</v>
      </c>
      <c r="K2979" s="582">
        <f t="shared" si="135"/>
        <v>103.35000000000002</v>
      </c>
      <c r="L2979" s="563">
        <f t="shared" si="136"/>
        <v>113.68500000000003</v>
      </c>
      <c r="M2979" s="563">
        <f t="shared" si="137"/>
        <v>757.18500000000006</v>
      </c>
      <c r="N2979" s="580"/>
    </row>
    <row r="2980" spans="4:14" x14ac:dyDescent="0.25">
      <c r="D2980" s="559" t="s">
        <v>867</v>
      </c>
      <c r="E2980" s="558" t="s">
        <v>1742</v>
      </c>
      <c r="F2980" s="559">
        <v>500681</v>
      </c>
      <c r="G2980" s="558" t="s">
        <v>1738</v>
      </c>
      <c r="H2980" s="564">
        <v>40015</v>
      </c>
      <c r="I2980" s="563">
        <v>64.349999999999994</v>
      </c>
      <c r="J2980" s="563">
        <v>-64.349999999999994</v>
      </c>
      <c r="K2980" s="582">
        <f t="shared" si="135"/>
        <v>0</v>
      </c>
      <c r="L2980" s="563">
        <f t="shared" si="136"/>
        <v>0</v>
      </c>
      <c r="M2980" s="563">
        <f t="shared" si="137"/>
        <v>70.784999999999997</v>
      </c>
      <c r="N2980" s="580"/>
    </row>
    <row r="2981" spans="4:14" x14ac:dyDescent="0.25">
      <c r="D2981" s="559" t="s">
        <v>867</v>
      </c>
      <c r="E2981" s="558" t="s">
        <v>1743</v>
      </c>
      <c r="F2981" s="559">
        <v>500682</v>
      </c>
      <c r="G2981" s="558" t="s">
        <v>1744</v>
      </c>
      <c r="H2981" s="564">
        <v>40015</v>
      </c>
      <c r="I2981" s="563">
        <v>64.349999999999994</v>
      </c>
      <c r="J2981" s="563">
        <v>-64.349999999999994</v>
      </c>
      <c r="K2981" s="582">
        <f t="shared" si="135"/>
        <v>0</v>
      </c>
      <c r="L2981" s="563">
        <f t="shared" si="136"/>
        <v>0</v>
      </c>
      <c r="M2981" s="563">
        <f t="shared" si="137"/>
        <v>70.784999999999997</v>
      </c>
      <c r="N2981" s="580"/>
    </row>
    <row r="2982" spans="4:14" x14ac:dyDescent="0.25">
      <c r="D2982" s="559" t="s">
        <v>867</v>
      </c>
      <c r="E2982" s="558" t="s">
        <v>1745</v>
      </c>
      <c r="F2982" s="559">
        <v>500683</v>
      </c>
      <c r="G2982" s="558" t="s">
        <v>1744</v>
      </c>
      <c r="H2982" s="564">
        <v>40015</v>
      </c>
      <c r="I2982" s="563">
        <v>64.349999999999994</v>
      </c>
      <c r="J2982" s="563">
        <v>-64.349999999999994</v>
      </c>
      <c r="K2982" s="582">
        <f t="shared" si="135"/>
        <v>0</v>
      </c>
      <c r="L2982" s="563">
        <f t="shared" si="136"/>
        <v>0</v>
      </c>
      <c r="M2982" s="563">
        <f t="shared" si="137"/>
        <v>70.784999999999997</v>
      </c>
      <c r="N2982" s="580"/>
    </row>
    <row r="2983" spans="4:14" x14ac:dyDescent="0.25">
      <c r="D2983" s="559" t="s">
        <v>867</v>
      </c>
      <c r="E2983" s="558" t="s">
        <v>1746</v>
      </c>
      <c r="F2983" s="559">
        <v>500684</v>
      </c>
      <c r="G2983" s="558" t="s">
        <v>1744</v>
      </c>
      <c r="H2983" s="564">
        <v>40015</v>
      </c>
      <c r="I2983" s="563">
        <v>64.349999999999994</v>
      </c>
      <c r="J2983" s="563">
        <v>-64.349999999999994</v>
      </c>
      <c r="K2983" s="582">
        <f t="shared" si="135"/>
        <v>0</v>
      </c>
      <c r="L2983" s="563">
        <f t="shared" si="136"/>
        <v>0</v>
      </c>
      <c r="M2983" s="563">
        <f t="shared" si="137"/>
        <v>70.784999999999997</v>
      </c>
      <c r="N2983" s="580"/>
    </row>
    <row r="2984" spans="4:14" x14ac:dyDescent="0.25">
      <c r="D2984" s="559" t="s">
        <v>867</v>
      </c>
      <c r="E2984" s="558" t="s">
        <v>1747</v>
      </c>
      <c r="F2984" s="559">
        <v>500685</v>
      </c>
      <c r="G2984" s="558" t="s">
        <v>1744</v>
      </c>
      <c r="H2984" s="564">
        <v>40015</v>
      </c>
      <c r="I2984" s="563">
        <v>64.349999999999994</v>
      </c>
      <c r="J2984" s="563">
        <v>-64.349999999999994</v>
      </c>
      <c r="K2984" s="582">
        <f t="shared" si="135"/>
        <v>0</v>
      </c>
      <c r="L2984" s="563">
        <f t="shared" si="136"/>
        <v>0</v>
      </c>
      <c r="M2984" s="563">
        <f t="shared" si="137"/>
        <v>70.784999999999997</v>
      </c>
      <c r="N2984" s="580"/>
    </row>
    <row r="2985" spans="4:14" x14ac:dyDescent="0.25">
      <c r="D2985" s="559" t="s">
        <v>867</v>
      </c>
      <c r="E2985" s="558" t="s">
        <v>1748</v>
      </c>
      <c r="F2985" s="559">
        <v>500686</v>
      </c>
      <c r="G2985" s="558" t="s">
        <v>1744</v>
      </c>
      <c r="H2985" s="564">
        <v>40015</v>
      </c>
      <c r="I2985" s="563">
        <v>64.349999999999994</v>
      </c>
      <c r="J2985" s="563">
        <v>-64.349999999999994</v>
      </c>
      <c r="K2985" s="582">
        <f t="shared" ref="K2985:K3048" si="138">+I2985+J2985</f>
        <v>0</v>
      </c>
      <c r="L2985" s="563">
        <f t="shared" ref="L2985:L3048" si="139">+K2985*1.1</f>
        <v>0</v>
      </c>
      <c r="M2985" s="563">
        <f t="shared" ref="M2985:M3048" si="140">+I2985*1.1</f>
        <v>70.784999999999997</v>
      </c>
      <c r="N2985" s="580"/>
    </row>
    <row r="2986" spans="4:14" x14ac:dyDescent="0.25">
      <c r="D2986" s="559" t="s">
        <v>867</v>
      </c>
      <c r="E2986" s="558" t="s">
        <v>1749</v>
      </c>
      <c r="F2986" s="559">
        <v>500687</v>
      </c>
      <c r="G2986" s="558" t="s">
        <v>1750</v>
      </c>
      <c r="H2986" s="564">
        <v>40015</v>
      </c>
      <c r="I2986" s="563">
        <v>64.349999999999994</v>
      </c>
      <c r="J2986" s="563">
        <v>-64.349999999999994</v>
      </c>
      <c r="K2986" s="582">
        <f t="shared" si="138"/>
        <v>0</v>
      </c>
      <c r="L2986" s="563">
        <f t="shared" si="139"/>
        <v>0</v>
      </c>
      <c r="M2986" s="563">
        <f t="shared" si="140"/>
        <v>70.784999999999997</v>
      </c>
      <c r="N2986" s="580"/>
    </row>
    <row r="2987" spans="4:14" x14ac:dyDescent="0.25">
      <c r="D2987" s="559" t="s">
        <v>867</v>
      </c>
      <c r="E2987" s="558" t="s">
        <v>1751</v>
      </c>
      <c r="F2987" s="559">
        <v>500688</v>
      </c>
      <c r="G2987" s="558" t="s">
        <v>1750</v>
      </c>
      <c r="H2987" s="564">
        <v>40015</v>
      </c>
      <c r="I2987" s="563">
        <v>64.349999999999994</v>
      </c>
      <c r="J2987" s="563">
        <v>-64.349999999999994</v>
      </c>
      <c r="K2987" s="582">
        <f t="shared" si="138"/>
        <v>0</v>
      </c>
      <c r="L2987" s="563">
        <f t="shared" si="139"/>
        <v>0</v>
      </c>
      <c r="M2987" s="563">
        <f t="shared" si="140"/>
        <v>70.784999999999997</v>
      </c>
      <c r="N2987" s="580"/>
    </row>
    <row r="2988" spans="4:14" x14ac:dyDescent="0.25">
      <c r="D2988" s="559" t="s">
        <v>867</v>
      </c>
      <c r="E2988" s="558" t="s">
        <v>1752</v>
      </c>
      <c r="F2988" s="559">
        <v>500689</v>
      </c>
      <c r="G2988" s="558" t="s">
        <v>1750</v>
      </c>
      <c r="H2988" s="564">
        <v>40015</v>
      </c>
      <c r="I2988" s="563">
        <v>64.349999999999994</v>
      </c>
      <c r="J2988" s="563">
        <v>-64.349999999999994</v>
      </c>
      <c r="K2988" s="582">
        <f t="shared" si="138"/>
        <v>0</v>
      </c>
      <c r="L2988" s="563">
        <f t="shared" si="139"/>
        <v>0</v>
      </c>
      <c r="M2988" s="563">
        <f t="shared" si="140"/>
        <v>70.784999999999997</v>
      </c>
      <c r="N2988" s="580"/>
    </row>
    <row r="2989" spans="4:14" x14ac:dyDescent="0.25">
      <c r="D2989" s="559" t="s">
        <v>867</v>
      </c>
      <c r="E2989" s="558" t="s">
        <v>1753</v>
      </c>
      <c r="F2989" s="559">
        <v>500690</v>
      </c>
      <c r="G2989" s="558" t="s">
        <v>1750</v>
      </c>
      <c r="H2989" s="564">
        <v>40015</v>
      </c>
      <c r="I2989" s="563">
        <v>64.349999999999994</v>
      </c>
      <c r="J2989" s="563">
        <v>-64.349999999999994</v>
      </c>
      <c r="K2989" s="582">
        <f t="shared" si="138"/>
        <v>0</v>
      </c>
      <c r="L2989" s="563">
        <f t="shared" si="139"/>
        <v>0</v>
      </c>
      <c r="M2989" s="563">
        <f t="shared" si="140"/>
        <v>70.784999999999997</v>
      </c>
      <c r="N2989" s="580"/>
    </row>
    <row r="2990" spans="4:14" x14ac:dyDescent="0.25">
      <c r="D2990" s="559" t="s">
        <v>867</v>
      </c>
      <c r="E2990" s="558" t="s">
        <v>1754</v>
      </c>
      <c r="F2990" s="559">
        <v>500691</v>
      </c>
      <c r="G2990" s="558" t="s">
        <v>1750</v>
      </c>
      <c r="H2990" s="564">
        <v>40015</v>
      </c>
      <c r="I2990" s="563">
        <v>688.35</v>
      </c>
      <c r="J2990" s="563">
        <v>-585</v>
      </c>
      <c r="K2990" s="582">
        <f t="shared" si="138"/>
        <v>103.35000000000002</v>
      </c>
      <c r="L2990" s="563">
        <f t="shared" si="139"/>
        <v>113.68500000000003</v>
      </c>
      <c r="M2990" s="563">
        <f t="shared" si="140"/>
        <v>757.18500000000006</v>
      </c>
      <c r="N2990" s="580"/>
    </row>
    <row r="2991" spans="4:14" x14ac:dyDescent="0.25">
      <c r="D2991" s="559" t="s">
        <v>867</v>
      </c>
      <c r="E2991" s="558" t="s">
        <v>1755</v>
      </c>
      <c r="F2991" s="559">
        <v>500692</v>
      </c>
      <c r="G2991" s="558" t="s">
        <v>1756</v>
      </c>
      <c r="H2991" s="564">
        <v>40015</v>
      </c>
      <c r="I2991" s="563">
        <v>688.35</v>
      </c>
      <c r="J2991" s="563">
        <v>-585</v>
      </c>
      <c r="K2991" s="582">
        <f t="shared" si="138"/>
        <v>103.35000000000002</v>
      </c>
      <c r="L2991" s="563">
        <f t="shared" si="139"/>
        <v>113.68500000000003</v>
      </c>
      <c r="M2991" s="563">
        <f t="shared" si="140"/>
        <v>757.18500000000006</v>
      </c>
      <c r="N2991" s="580"/>
    </row>
    <row r="2992" spans="4:14" x14ac:dyDescent="0.25">
      <c r="D2992" s="559" t="s">
        <v>867</v>
      </c>
      <c r="E2992" s="558" t="s">
        <v>1757</v>
      </c>
      <c r="F2992" s="559">
        <v>500693</v>
      </c>
      <c r="G2992" s="558" t="s">
        <v>1756</v>
      </c>
      <c r="H2992" s="564">
        <v>40015</v>
      </c>
      <c r="I2992" s="563">
        <v>688.35</v>
      </c>
      <c r="J2992" s="563">
        <v>-585</v>
      </c>
      <c r="K2992" s="582">
        <f t="shared" si="138"/>
        <v>103.35000000000002</v>
      </c>
      <c r="L2992" s="563">
        <f t="shared" si="139"/>
        <v>113.68500000000003</v>
      </c>
      <c r="M2992" s="563">
        <f t="shared" si="140"/>
        <v>757.18500000000006</v>
      </c>
      <c r="N2992" s="580"/>
    </row>
    <row r="2993" spans="4:14" x14ac:dyDescent="0.25">
      <c r="D2993" s="559" t="s">
        <v>867</v>
      </c>
      <c r="E2993" s="558" t="s">
        <v>1758</v>
      </c>
      <c r="F2993" s="559">
        <v>500694</v>
      </c>
      <c r="G2993" s="558" t="s">
        <v>1756</v>
      </c>
      <c r="H2993" s="564">
        <v>40015</v>
      </c>
      <c r="I2993" s="563">
        <v>688.35</v>
      </c>
      <c r="J2993" s="563">
        <v>-585</v>
      </c>
      <c r="K2993" s="582">
        <f t="shared" si="138"/>
        <v>103.35000000000002</v>
      </c>
      <c r="L2993" s="563">
        <f t="shared" si="139"/>
        <v>113.68500000000003</v>
      </c>
      <c r="M2993" s="563">
        <f t="shared" si="140"/>
        <v>757.18500000000006</v>
      </c>
      <c r="N2993" s="580"/>
    </row>
    <row r="2994" spans="4:14" x14ac:dyDescent="0.25">
      <c r="D2994" s="559" t="s">
        <v>867</v>
      </c>
      <c r="E2994" s="558" t="s">
        <v>1759</v>
      </c>
      <c r="F2994" s="559">
        <v>500695</v>
      </c>
      <c r="G2994" s="558" t="s">
        <v>1756</v>
      </c>
      <c r="H2994" s="564">
        <v>40015</v>
      </c>
      <c r="I2994" s="563">
        <v>688.35</v>
      </c>
      <c r="J2994" s="563">
        <v>-585</v>
      </c>
      <c r="K2994" s="582">
        <f t="shared" si="138"/>
        <v>103.35000000000002</v>
      </c>
      <c r="L2994" s="563">
        <f t="shared" si="139"/>
        <v>113.68500000000003</v>
      </c>
      <c r="M2994" s="563">
        <f t="shared" si="140"/>
        <v>757.18500000000006</v>
      </c>
      <c r="N2994" s="580"/>
    </row>
    <row r="2995" spans="4:14" x14ac:dyDescent="0.25">
      <c r="D2995" s="559" t="s">
        <v>867</v>
      </c>
      <c r="E2995" s="558" t="s">
        <v>1760</v>
      </c>
      <c r="F2995" s="559">
        <v>500696</v>
      </c>
      <c r="G2995" s="558" t="s">
        <v>1756</v>
      </c>
      <c r="H2995" s="564">
        <v>40015</v>
      </c>
      <c r="I2995" s="563">
        <v>688.35</v>
      </c>
      <c r="J2995" s="563">
        <v>-585</v>
      </c>
      <c r="K2995" s="582">
        <f t="shared" si="138"/>
        <v>103.35000000000002</v>
      </c>
      <c r="L2995" s="563">
        <f t="shared" si="139"/>
        <v>113.68500000000003</v>
      </c>
      <c r="M2995" s="563">
        <f t="shared" si="140"/>
        <v>757.18500000000006</v>
      </c>
      <c r="N2995" s="580"/>
    </row>
    <row r="2996" spans="4:14" x14ac:dyDescent="0.25">
      <c r="D2996" s="559" t="s">
        <v>867</v>
      </c>
      <c r="E2996" s="558" t="s">
        <v>1761</v>
      </c>
      <c r="F2996" s="559">
        <v>500697</v>
      </c>
      <c r="G2996" s="558" t="s">
        <v>1762</v>
      </c>
      <c r="H2996" s="564">
        <v>40015</v>
      </c>
      <c r="I2996" s="563">
        <v>688.35</v>
      </c>
      <c r="J2996" s="563">
        <v>-585</v>
      </c>
      <c r="K2996" s="582">
        <f t="shared" si="138"/>
        <v>103.35000000000002</v>
      </c>
      <c r="L2996" s="563">
        <f t="shared" si="139"/>
        <v>113.68500000000003</v>
      </c>
      <c r="M2996" s="563">
        <f t="shared" si="140"/>
        <v>757.18500000000006</v>
      </c>
      <c r="N2996" s="580"/>
    </row>
    <row r="2997" spans="4:14" x14ac:dyDescent="0.25">
      <c r="D2997" s="559" t="s">
        <v>867</v>
      </c>
      <c r="E2997" s="558" t="s">
        <v>1763</v>
      </c>
      <c r="F2997" s="559">
        <v>500698</v>
      </c>
      <c r="G2997" s="558" t="s">
        <v>1762</v>
      </c>
      <c r="H2997" s="564">
        <v>40015</v>
      </c>
      <c r="I2997" s="563">
        <v>688.35</v>
      </c>
      <c r="J2997" s="563">
        <v>-585</v>
      </c>
      <c r="K2997" s="582">
        <f t="shared" si="138"/>
        <v>103.35000000000002</v>
      </c>
      <c r="L2997" s="563">
        <f t="shared" si="139"/>
        <v>113.68500000000003</v>
      </c>
      <c r="M2997" s="563">
        <f t="shared" si="140"/>
        <v>757.18500000000006</v>
      </c>
      <c r="N2997" s="580"/>
    </row>
    <row r="2998" spans="4:14" x14ac:dyDescent="0.25">
      <c r="D2998" s="559" t="s">
        <v>867</v>
      </c>
      <c r="E2998" s="558" t="s">
        <v>1764</v>
      </c>
      <c r="F2998" s="559">
        <v>500699</v>
      </c>
      <c r="G2998" s="558" t="s">
        <v>1762</v>
      </c>
      <c r="H2998" s="564">
        <v>40015</v>
      </c>
      <c r="I2998" s="563">
        <v>688.35</v>
      </c>
      <c r="J2998" s="563">
        <v>-585</v>
      </c>
      <c r="K2998" s="582">
        <f t="shared" si="138"/>
        <v>103.35000000000002</v>
      </c>
      <c r="L2998" s="563">
        <f t="shared" si="139"/>
        <v>113.68500000000003</v>
      </c>
      <c r="M2998" s="563">
        <f t="shared" si="140"/>
        <v>757.18500000000006</v>
      </c>
      <c r="N2998" s="580"/>
    </row>
    <row r="2999" spans="4:14" x14ac:dyDescent="0.25">
      <c r="D2999" s="559" t="s">
        <v>867</v>
      </c>
      <c r="E2999" s="558" t="s">
        <v>1765</v>
      </c>
      <c r="F2999" s="559">
        <v>500700</v>
      </c>
      <c r="G2999" s="558" t="s">
        <v>1762</v>
      </c>
      <c r="H2999" s="564">
        <v>40015</v>
      </c>
      <c r="I2999" s="563">
        <v>688.35</v>
      </c>
      <c r="J2999" s="563">
        <v>-585</v>
      </c>
      <c r="K2999" s="582">
        <f t="shared" si="138"/>
        <v>103.35000000000002</v>
      </c>
      <c r="L2999" s="563">
        <f t="shared" si="139"/>
        <v>113.68500000000003</v>
      </c>
      <c r="M2999" s="563">
        <f t="shared" si="140"/>
        <v>757.18500000000006</v>
      </c>
      <c r="N2999" s="580"/>
    </row>
    <row r="3000" spans="4:14" x14ac:dyDescent="0.25">
      <c r="D3000" s="559" t="s">
        <v>867</v>
      </c>
      <c r="E3000" s="558" t="s">
        <v>1766</v>
      </c>
      <c r="F3000" s="559">
        <v>500701</v>
      </c>
      <c r="G3000" s="558" t="s">
        <v>1762</v>
      </c>
      <c r="H3000" s="564">
        <v>40015</v>
      </c>
      <c r="I3000" s="563">
        <v>688.35</v>
      </c>
      <c r="J3000" s="563">
        <v>-585</v>
      </c>
      <c r="K3000" s="582">
        <f t="shared" si="138"/>
        <v>103.35000000000002</v>
      </c>
      <c r="L3000" s="563">
        <f t="shared" si="139"/>
        <v>113.68500000000003</v>
      </c>
      <c r="M3000" s="563">
        <f t="shared" si="140"/>
        <v>757.18500000000006</v>
      </c>
      <c r="N3000" s="580"/>
    </row>
    <row r="3001" spans="4:14" x14ac:dyDescent="0.25">
      <c r="D3001" s="559" t="s">
        <v>867</v>
      </c>
      <c r="E3001" s="558" t="s">
        <v>1767</v>
      </c>
      <c r="F3001" s="559">
        <v>500702</v>
      </c>
      <c r="G3001" s="558" t="s">
        <v>1768</v>
      </c>
      <c r="H3001" s="564">
        <v>40015</v>
      </c>
      <c r="I3001" s="563">
        <v>25.35</v>
      </c>
      <c r="J3001" s="563">
        <v>-25.35</v>
      </c>
      <c r="K3001" s="582">
        <f t="shared" si="138"/>
        <v>0</v>
      </c>
      <c r="L3001" s="563">
        <f t="shared" si="139"/>
        <v>0</v>
      </c>
      <c r="M3001" s="563">
        <f t="shared" si="140"/>
        <v>27.885000000000005</v>
      </c>
      <c r="N3001" s="580"/>
    </row>
    <row r="3002" spans="4:14" x14ac:dyDescent="0.25">
      <c r="D3002" s="559" t="s">
        <v>867</v>
      </c>
      <c r="E3002" s="558" t="s">
        <v>1769</v>
      </c>
      <c r="F3002" s="559">
        <v>500703</v>
      </c>
      <c r="G3002" s="558" t="s">
        <v>1768</v>
      </c>
      <c r="H3002" s="564">
        <v>40015</v>
      </c>
      <c r="I3002" s="563">
        <v>688.35</v>
      </c>
      <c r="J3002" s="563">
        <v>-585</v>
      </c>
      <c r="K3002" s="582">
        <f t="shared" si="138"/>
        <v>103.35000000000002</v>
      </c>
      <c r="L3002" s="563">
        <f t="shared" si="139"/>
        <v>113.68500000000003</v>
      </c>
      <c r="M3002" s="563">
        <f t="shared" si="140"/>
        <v>757.18500000000006</v>
      </c>
      <c r="N3002" s="580"/>
    </row>
    <row r="3003" spans="4:14" x14ac:dyDescent="0.25">
      <c r="D3003" s="559" t="s">
        <v>867</v>
      </c>
      <c r="E3003" s="558" t="s">
        <v>1770</v>
      </c>
      <c r="F3003" s="559">
        <v>500704</v>
      </c>
      <c r="G3003" s="558" t="s">
        <v>1768</v>
      </c>
      <c r="H3003" s="564">
        <v>40015</v>
      </c>
      <c r="I3003" s="563">
        <v>64.349999999999994</v>
      </c>
      <c r="J3003" s="563">
        <v>-64.349999999999994</v>
      </c>
      <c r="K3003" s="582">
        <f t="shared" si="138"/>
        <v>0</v>
      </c>
      <c r="L3003" s="563">
        <f t="shared" si="139"/>
        <v>0</v>
      </c>
      <c r="M3003" s="563">
        <f t="shared" si="140"/>
        <v>70.784999999999997</v>
      </c>
      <c r="N3003" s="580"/>
    </row>
    <row r="3004" spans="4:14" x14ac:dyDescent="0.25">
      <c r="D3004" s="559" t="s">
        <v>867</v>
      </c>
      <c r="E3004" s="558" t="s">
        <v>1771</v>
      </c>
      <c r="F3004" s="559">
        <v>501073</v>
      </c>
      <c r="G3004" s="558" t="s">
        <v>1768</v>
      </c>
      <c r="H3004" s="564">
        <v>40015</v>
      </c>
      <c r="I3004" s="563">
        <v>64.349999999999994</v>
      </c>
      <c r="J3004" s="563">
        <v>-64.349999999999994</v>
      </c>
      <c r="K3004" s="582">
        <f t="shared" si="138"/>
        <v>0</v>
      </c>
      <c r="L3004" s="563">
        <f t="shared" si="139"/>
        <v>0</v>
      </c>
      <c r="M3004" s="563">
        <f t="shared" si="140"/>
        <v>70.784999999999997</v>
      </c>
      <c r="N3004" s="580"/>
    </row>
    <row r="3005" spans="4:14" x14ac:dyDescent="0.25">
      <c r="D3005" s="559" t="s">
        <v>867</v>
      </c>
      <c r="E3005" s="558" t="s">
        <v>1772</v>
      </c>
      <c r="F3005" s="559">
        <v>500705</v>
      </c>
      <c r="G3005" s="558" t="s">
        <v>1768</v>
      </c>
      <c r="H3005" s="564">
        <v>40015</v>
      </c>
      <c r="I3005" s="563">
        <v>688.35</v>
      </c>
      <c r="J3005" s="563">
        <v>-585</v>
      </c>
      <c r="K3005" s="582">
        <f t="shared" si="138"/>
        <v>103.35000000000002</v>
      </c>
      <c r="L3005" s="563">
        <f t="shared" si="139"/>
        <v>113.68500000000003</v>
      </c>
      <c r="M3005" s="563">
        <f t="shared" si="140"/>
        <v>757.18500000000006</v>
      </c>
      <c r="N3005" s="580"/>
    </row>
    <row r="3006" spans="4:14" x14ac:dyDescent="0.25">
      <c r="D3006" s="559" t="s">
        <v>867</v>
      </c>
      <c r="E3006" s="558" t="s">
        <v>1773</v>
      </c>
      <c r="F3006" s="559">
        <v>500706</v>
      </c>
      <c r="G3006" s="558" t="s">
        <v>1774</v>
      </c>
      <c r="H3006" s="564">
        <v>40015</v>
      </c>
      <c r="I3006" s="563">
        <v>64.349999999999994</v>
      </c>
      <c r="J3006" s="563">
        <v>-64.349999999999994</v>
      </c>
      <c r="K3006" s="582">
        <f t="shared" si="138"/>
        <v>0</v>
      </c>
      <c r="L3006" s="563">
        <f t="shared" si="139"/>
        <v>0</v>
      </c>
      <c r="M3006" s="563">
        <f t="shared" si="140"/>
        <v>70.784999999999997</v>
      </c>
      <c r="N3006" s="580"/>
    </row>
    <row r="3007" spans="4:14" x14ac:dyDescent="0.25">
      <c r="D3007" s="559" t="s">
        <v>867</v>
      </c>
      <c r="E3007" s="558" t="s">
        <v>1775</v>
      </c>
      <c r="F3007" s="559">
        <v>500707</v>
      </c>
      <c r="G3007" s="558" t="s">
        <v>1774</v>
      </c>
      <c r="H3007" s="564">
        <v>40015</v>
      </c>
      <c r="I3007" s="563">
        <v>64.349999999999994</v>
      </c>
      <c r="J3007" s="563">
        <v>-64.349999999999994</v>
      </c>
      <c r="K3007" s="582">
        <f t="shared" si="138"/>
        <v>0</v>
      </c>
      <c r="L3007" s="563">
        <f t="shared" si="139"/>
        <v>0</v>
      </c>
      <c r="M3007" s="563">
        <f t="shared" si="140"/>
        <v>70.784999999999997</v>
      </c>
      <c r="N3007" s="580"/>
    </row>
    <row r="3008" spans="4:14" x14ac:dyDescent="0.25">
      <c r="D3008" s="559" t="s">
        <v>867</v>
      </c>
      <c r="E3008" s="558" t="s">
        <v>1776</v>
      </c>
      <c r="F3008" s="559">
        <v>500708</v>
      </c>
      <c r="G3008" s="558" t="s">
        <v>1774</v>
      </c>
      <c r="H3008" s="564">
        <v>40015</v>
      </c>
      <c r="I3008" s="563">
        <v>688.35</v>
      </c>
      <c r="J3008" s="563">
        <v>-585</v>
      </c>
      <c r="K3008" s="582">
        <f t="shared" si="138"/>
        <v>103.35000000000002</v>
      </c>
      <c r="L3008" s="563">
        <f t="shared" si="139"/>
        <v>113.68500000000003</v>
      </c>
      <c r="M3008" s="563">
        <f t="shared" si="140"/>
        <v>757.18500000000006</v>
      </c>
      <c r="N3008" s="580"/>
    </row>
    <row r="3009" spans="4:14" x14ac:dyDescent="0.25">
      <c r="D3009" s="559" t="s">
        <v>867</v>
      </c>
      <c r="E3009" s="558" t="s">
        <v>1777</v>
      </c>
      <c r="F3009" s="559">
        <v>500709</v>
      </c>
      <c r="G3009" s="558" t="s">
        <v>1774</v>
      </c>
      <c r="H3009" s="564">
        <v>40015</v>
      </c>
      <c r="I3009" s="563">
        <v>688.35</v>
      </c>
      <c r="J3009" s="563">
        <v>-585</v>
      </c>
      <c r="K3009" s="582">
        <f t="shared" si="138"/>
        <v>103.35000000000002</v>
      </c>
      <c r="L3009" s="563">
        <f t="shared" si="139"/>
        <v>113.68500000000003</v>
      </c>
      <c r="M3009" s="563">
        <f t="shared" si="140"/>
        <v>757.18500000000006</v>
      </c>
      <c r="N3009" s="580"/>
    </row>
    <row r="3010" spans="4:14" x14ac:dyDescent="0.25">
      <c r="D3010" s="559" t="s">
        <v>867</v>
      </c>
      <c r="E3010" s="558" t="s">
        <v>1778</v>
      </c>
      <c r="F3010" s="559">
        <v>500710</v>
      </c>
      <c r="G3010" s="558" t="s">
        <v>1774</v>
      </c>
      <c r="H3010" s="564">
        <v>40015</v>
      </c>
      <c r="I3010" s="563">
        <v>64.349999999999994</v>
      </c>
      <c r="J3010" s="563">
        <v>-64.349999999999994</v>
      </c>
      <c r="K3010" s="582">
        <f t="shared" si="138"/>
        <v>0</v>
      </c>
      <c r="L3010" s="563">
        <f t="shared" si="139"/>
        <v>0</v>
      </c>
      <c r="M3010" s="563">
        <f t="shared" si="140"/>
        <v>70.784999999999997</v>
      </c>
      <c r="N3010" s="580"/>
    </row>
    <row r="3011" spans="4:14" x14ac:dyDescent="0.25">
      <c r="D3011" s="559" t="s">
        <v>867</v>
      </c>
      <c r="E3011" s="558" t="s">
        <v>1779</v>
      </c>
      <c r="F3011" s="559">
        <v>500711</v>
      </c>
      <c r="G3011" s="558" t="s">
        <v>1780</v>
      </c>
      <c r="H3011" s="564">
        <v>40015</v>
      </c>
      <c r="I3011" s="563">
        <v>64.349999999999994</v>
      </c>
      <c r="J3011" s="563">
        <v>-64.349999999999994</v>
      </c>
      <c r="K3011" s="582">
        <f t="shared" si="138"/>
        <v>0</v>
      </c>
      <c r="L3011" s="563">
        <f t="shared" si="139"/>
        <v>0</v>
      </c>
      <c r="M3011" s="563">
        <f t="shared" si="140"/>
        <v>70.784999999999997</v>
      </c>
      <c r="N3011" s="580"/>
    </row>
    <row r="3012" spans="4:14" x14ac:dyDescent="0.25">
      <c r="D3012" s="559" t="s">
        <v>867</v>
      </c>
      <c r="E3012" s="558" t="s">
        <v>1781</v>
      </c>
      <c r="F3012" s="559">
        <v>500712</v>
      </c>
      <c r="G3012" s="558" t="s">
        <v>1780</v>
      </c>
      <c r="H3012" s="564">
        <v>40015</v>
      </c>
      <c r="I3012" s="563">
        <v>64.349999999999994</v>
      </c>
      <c r="J3012" s="563">
        <v>-64.349999999999994</v>
      </c>
      <c r="K3012" s="582">
        <f t="shared" si="138"/>
        <v>0</v>
      </c>
      <c r="L3012" s="563">
        <f t="shared" si="139"/>
        <v>0</v>
      </c>
      <c r="M3012" s="563">
        <f t="shared" si="140"/>
        <v>70.784999999999997</v>
      </c>
      <c r="N3012" s="580"/>
    </row>
    <row r="3013" spans="4:14" x14ac:dyDescent="0.25">
      <c r="D3013" s="559" t="s">
        <v>867</v>
      </c>
      <c r="E3013" s="558" t="s">
        <v>1782</v>
      </c>
      <c r="F3013" s="559">
        <v>500713</v>
      </c>
      <c r="G3013" s="558" t="s">
        <v>1780</v>
      </c>
      <c r="H3013" s="564">
        <v>40015</v>
      </c>
      <c r="I3013" s="563">
        <v>64.349999999999994</v>
      </c>
      <c r="J3013" s="563">
        <v>-64.349999999999994</v>
      </c>
      <c r="K3013" s="582">
        <f t="shared" si="138"/>
        <v>0</v>
      </c>
      <c r="L3013" s="563">
        <f t="shared" si="139"/>
        <v>0</v>
      </c>
      <c r="M3013" s="563">
        <f t="shared" si="140"/>
        <v>70.784999999999997</v>
      </c>
      <c r="N3013" s="580"/>
    </row>
    <row r="3014" spans="4:14" x14ac:dyDescent="0.25">
      <c r="D3014" s="559" t="s">
        <v>867</v>
      </c>
      <c r="E3014" s="558" t="s">
        <v>1783</v>
      </c>
      <c r="F3014" s="559">
        <v>500714</v>
      </c>
      <c r="G3014" s="558" t="s">
        <v>1780</v>
      </c>
      <c r="H3014" s="564">
        <v>40015</v>
      </c>
      <c r="I3014" s="563">
        <v>64.349999999999994</v>
      </c>
      <c r="J3014" s="563">
        <v>-64.349999999999994</v>
      </c>
      <c r="K3014" s="582">
        <f t="shared" si="138"/>
        <v>0</v>
      </c>
      <c r="L3014" s="563">
        <f t="shared" si="139"/>
        <v>0</v>
      </c>
      <c r="M3014" s="563">
        <f t="shared" si="140"/>
        <v>70.784999999999997</v>
      </c>
      <c r="N3014" s="580"/>
    </row>
    <row r="3015" spans="4:14" x14ac:dyDescent="0.25">
      <c r="D3015" s="559" t="s">
        <v>867</v>
      </c>
      <c r="E3015" s="558" t="s">
        <v>1784</v>
      </c>
      <c r="F3015" s="559">
        <v>500715</v>
      </c>
      <c r="G3015" s="558" t="s">
        <v>1780</v>
      </c>
      <c r="H3015" s="564">
        <v>40015</v>
      </c>
      <c r="I3015" s="563">
        <v>64.349999999999994</v>
      </c>
      <c r="J3015" s="563">
        <v>-64.349999999999994</v>
      </c>
      <c r="K3015" s="582">
        <f t="shared" si="138"/>
        <v>0</v>
      </c>
      <c r="L3015" s="563">
        <f t="shared" si="139"/>
        <v>0</v>
      </c>
      <c r="M3015" s="563">
        <f t="shared" si="140"/>
        <v>70.784999999999997</v>
      </c>
      <c r="N3015" s="580"/>
    </row>
    <row r="3016" spans="4:14" x14ac:dyDescent="0.25">
      <c r="D3016" s="559" t="s">
        <v>867</v>
      </c>
      <c r="E3016" s="558" t="s">
        <v>1785</v>
      </c>
      <c r="F3016" s="559">
        <v>500716</v>
      </c>
      <c r="G3016" s="558" t="s">
        <v>1786</v>
      </c>
      <c r="H3016" s="564">
        <v>40015</v>
      </c>
      <c r="I3016" s="563">
        <v>64.349999999999994</v>
      </c>
      <c r="J3016" s="563">
        <v>-64.349999999999994</v>
      </c>
      <c r="K3016" s="582">
        <f t="shared" si="138"/>
        <v>0</v>
      </c>
      <c r="L3016" s="563">
        <f t="shared" si="139"/>
        <v>0</v>
      </c>
      <c r="M3016" s="563">
        <f t="shared" si="140"/>
        <v>70.784999999999997</v>
      </c>
      <c r="N3016" s="580"/>
    </row>
    <row r="3017" spans="4:14" x14ac:dyDescent="0.25">
      <c r="D3017" s="559" t="s">
        <v>867</v>
      </c>
      <c r="E3017" s="558" t="s">
        <v>1787</v>
      </c>
      <c r="F3017" s="559">
        <v>500717</v>
      </c>
      <c r="G3017" s="558" t="s">
        <v>1786</v>
      </c>
      <c r="H3017" s="564">
        <v>40015</v>
      </c>
      <c r="I3017" s="563">
        <v>64.349999999999994</v>
      </c>
      <c r="J3017" s="563">
        <v>-64.349999999999994</v>
      </c>
      <c r="K3017" s="582">
        <f t="shared" si="138"/>
        <v>0</v>
      </c>
      <c r="L3017" s="563">
        <f t="shared" si="139"/>
        <v>0</v>
      </c>
      <c r="M3017" s="563">
        <f t="shared" si="140"/>
        <v>70.784999999999997</v>
      </c>
      <c r="N3017" s="580"/>
    </row>
    <row r="3018" spans="4:14" x14ac:dyDescent="0.25">
      <c r="D3018" s="559" t="s">
        <v>867</v>
      </c>
      <c r="E3018" s="558" t="s">
        <v>1788</v>
      </c>
      <c r="F3018" s="559">
        <v>500718</v>
      </c>
      <c r="G3018" s="558" t="s">
        <v>1786</v>
      </c>
      <c r="H3018" s="564">
        <v>40015</v>
      </c>
      <c r="I3018" s="563">
        <v>64.349999999999994</v>
      </c>
      <c r="J3018" s="563">
        <v>-64.349999999999994</v>
      </c>
      <c r="K3018" s="582">
        <f t="shared" si="138"/>
        <v>0</v>
      </c>
      <c r="L3018" s="563">
        <f t="shared" si="139"/>
        <v>0</v>
      </c>
      <c r="M3018" s="563">
        <f t="shared" si="140"/>
        <v>70.784999999999997</v>
      </c>
      <c r="N3018" s="580"/>
    </row>
    <row r="3019" spans="4:14" x14ac:dyDescent="0.25">
      <c r="D3019" s="559" t="s">
        <v>867</v>
      </c>
      <c r="E3019" s="558" t="s">
        <v>1789</v>
      </c>
      <c r="F3019" s="559">
        <v>500719</v>
      </c>
      <c r="G3019" s="558" t="s">
        <v>1786</v>
      </c>
      <c r="H3019" s="564">
        <v>40015</v>
      </c>
      <c r="I3019" s="563">
        <v>64.349999999999994</v>
      </c>
      <c r="J3019" s="563">
        <v>-64.349999999999994</v>
      </c>
      <c r="K3019" s="582">
        <f t="shared" si="138"/>
        <v>0</v>
      </c>
      <c r="L3019" s="563">
        <f t="shared" si="139"/>
        <v>0</v>
      </c>
      <c r="M3019" s="563">
        <f t="shared" si="140"/>
        <v>70.784999999999997</v>
      </c>
      <c r="N3019" s="580"/>
    </row>
    <row r="3020" spans="4:14" x14ac:dyDescent="0.25">
      <c r="D3020" s="559" t="s">
        <v>867</v>
      </c>
      <c r="E3020" s="558" t="s">
        <v>1790</v>
      </c>
      <c r="F3020" s="559">
        <v>500720</v>
      </c>
      <c r="G3020" s="558" t="s">
        <v>1786</v>
      </c>
      <c r="H3020" s="564">
        <v>40015</v>
      </c>
      <c r="I3020" s="563">
        <v>64.349999999999994</v>
      </c>
      <c r="J3020" s="563">
        <v>-64.349999999999994</v>
      </c>
      <c r="K3020" s="582">
        <f t="shared" si="138"/>
        <v>0</v>
      </c>
      <c r="L3020" s="563">
        <f t="shared" si="139"/>
        <v>0</v>
      </c>
      <c r="M3020" s="563">
        <f t="shared" si="140"/>
        <v>70.784999999999997</v>
      </c>
      <c r="N3020" s="580"/>
    </row>
    <row r="3021" spans="4:14" x14ac:dyDescent="0.25">
      <c r="D3021" s="559" t="s">
        <v>867</v>
      </c>
      <c r="E3021" s="558" t="s">
        <v>1791</v>
      </c>
      <c r="F3021" s="559">
        <v>500721</v>
      </c>
      <c r="G3021" s="558" t="s">
        <v>1792</v>
      </c>
      <c r="H3021" s="564">
        <v>40015</v>
      </c>
      <c r="I3021" s="563">
        <v>688.35</v>
      </c>
      <c r="J3021" s="563">
        <v>-585</v>
      </c>
      <c r="K3021" s="582">
        <f t="shared" si="138"/>
        <v>103.35000000000002</v>
      </c>
      <c r="L3021" s="563">
        <f t="shared" si="139"/>
        <v>113.68500000000003</v>
      </c>
      <c r="M3021" s="563">
        <f t="shared" si="140"/>
        <v>757.18500000000006</v>
      </c>
      <c r="N3021" s="580"/>
    </row>
    <row r="3022" spans="4:14" x14ac:dyDescent="0.25">
      <c r="D3022" s="559" t="s">
        <v>867</v>
      </c>
      <c r="E3022" s="558" t="s">
        <v>1793</v>
      </c>
      <c r="F3022" s="559">
        <v>500723</v>
      </c>
      <c r="G3022" s="558" t="s">
        <v>1792</v>
      </c>
      <c r="H3022" s="564">
        <v>40015</v>
      </c>
      <c r="I3022" s="563">
        <v>688.35</v>
      </c>
      <c r="J3022" s="563">
        <v>-585</v>
      </c>
      <c r="K3022" s="582">
        <f t="shared" si="138"/>
        <v>103.35000000000002</v>
      </c>
      <c r="L3022" s="563">
        <f t="shared" si="139"/>
        <v>113.68500000000003</v>
      </c>
      <c r="M3022" s="563">
        <f t="shared" si="140"/>
        <v>757.18500000000006</v>
      </c>
      <c r="N3022" s="580"/>
    </row>
    <row r="3023" spans="4:14" x14ac:dyDescent="0.25">
      <c r="D3023" s="559" t="s">
        <v>867</v>
      </c>
      <c r="E3023" s="558" t="s">
        <v>1794</v>
      </c>
      <c r="F3023" s="559">
        <v>500722</v>
      </c>
      <c r="G3023" s="558" t="s">
        <v>1792</v>
      </c>
      <c r="H3023" s="564">
        <v>40015</v>
      </c>
      <c r="I3023" s="563">
        <v>688.35</v>
      </c>
      <c r="J3023" s="563">
        <v>-585</v>
      </c>
      <c r="K3023" s="582">
        <f t="shared" si="138"/>
        <v>103.35000000000002</v>
      </c>
      <c r="L3023" s="563">
        <f t="shared" si="139"/>
        <v>113.68500000000003</v>
      </c>
      <c r="M3023" s="563">
        <f t="shared" si="140"/>
        <v>757.18500000000006</v>
      </c>
      <c r="N3023" s="580"/>
    </row>
    <row r="3024" spans="4:14" x14ac:dyDescent="0.25">
      <c r="D3024" s="559" t="s">
        <v>867</v>
      </c>
      <c r="E3024" s="558" t="s">
        <v>1795</v>
      </c>
      <c r="F3024" s="559">
        <v>500724</v>
      </c>
      <c r="G3024" s="558" t="s">
        <v>1792</v>
      </c>
      <c r="H3024" s="564">
        <v>40015</v>
      </c>
      <c r="I3024" s="563">
        <v>610.35</v>
      </c>
      <c r="J3024" s="563">
        <v>-585</v>
      </c>
      <c r="K3024" s="582">
        <f t="shared" si="138"/>
        <v>25.350000000000023</v>
      </c>
      <c r="L3024" s="563">
        <f t="shared" si="139"/>
        <v>27.885000000000026</v>
      </c>
      <c r="M3024" s="563">
        <f t="shared" si="140"/>
        <v>671.3850000000001</v>
      </c>
      <c r="N3024" s="580"/>
    </row>
    <row r="3025" spans="4:14" x14ac:dyDescent="0.25">
      <c r="D3025" s="559" t="s">
        <v>867</v>
      </c>
      <c r="E3025" s="558" t="s">
        <v>1796</v>
      </c>
      <c r="F3025" s="559">
        <v>500725</v>
      </c>
      <c r="G3025" s="558" t="s">
        <v>1792</v>
      </c>
      <c r="H3025" s="564">
        <v>40015</v>
      </c>
      <c r="I3025" s="563">
        <v>64.349999999999994</v>
      </c>
      <c r="J3025" s="563">
        <v>-64.349999999999994</v>
      </c>
      <c r="K3025" s="582">
        <f t="shared" si="138"/>
        <v>0</v>
      </c>
      <c r="L3025" s="563">
        <f t="shared" si="139"/>
        <v>0</v>
      </c>
      <c r="M3025" s="563">
        <f t="shared" si="140"/>
        <v>70.784999999999997</v>
      </c>
      <c r="N3025" s="580"/>
    </row>
    <row r="3026" spans="4:14" x14ac:dyDescent="0.25">
      <c r="D3026" s="559" t="s">
        <v>867</v>
      </c>
      <c r="E3026" s="558" t="s">
        <v>1797</v>
      </c>
      <c r="F3026" s="559">
        <v>500726</v>
      </c>
      <c r="G3026" s="558" t="s">
        <v>1798</v>
      </c>
      <c r="H3026" s="564">
        <v>40015</v>
      </c>
      <c r="I3026" s="563">
        <v>688.35</v>
      </c>
      <c r="J3026" s="563">
        <v>-585</v>
      </c>
      <c r="K3026" s="582">
        <f t="shared" si="138"/>
        <v>103.35000000000002</v>
      </c>
      <c r="L3026" s="563">
        <f t="shared" si="139"/>
        <v>113.68500000000003</v>
      </c>
      <c r="M3026" s="563">
        <f t="shared" si="140"/>
        <v>757.18500000000006</v>
      </c>
      <c r="N3026" s="580"/>
    </row>
    <row r="3027" spans="4:14" x14ac:dyDescent="0.25">
      <c r="D3027" s="559" t="s">
        <v>867</v>
      </c>
      <c r="E3027" s="558" t="s">
        <v>1799</v>
      </c>
      <c r="F3027" s="559">
        <v>501058</v>
      </c>
      <c r="G3027" s="558" t="s">
        <v>1798</v>
      </c>
      <c r="H3027" s="564">
        <v>40015</v>
      </c>
      <c r="I3027" s="563">
        <v>688.35</v>
      </c>
      <c r="J3027" s="563">
        <v>-585</v>
      </c>
      <c r="K3027" s="582">
        <f t="shared" si="138"/>
        <v>103.35000000000002</v>
      </c>
      <c r="L3027" s="563">
        <f t="shared" si="139"/>
        <v>113.68500000000003</v>
      </c>
      <c r="M3027" s="563">
        <f t="shared" si="140"/>
        <v>757.18500000000006</v>
      </c>
      <c r="N3027" s="580"/>
    </row>
    <row r="3028" spans="4:14" x14ac:dyDescent="0.25">
      <c r="D3028" s="559" t="s">
        <v>867</v>
      </c>
      <c r="E3028" s="558" t="s">
        <v>1800</v>
      </c>
      <c r="F3028" s="559">
        <v>500727</v>
      </c>
      <c r="G3028" s="558" t="s">
        <v>1798</v>
      </c>
      <c r="H3028" s="564">
        <v>40015</v>
      </c>
      <c r="I3028" s="563">
        <v>688.35</v>
      </c>
      <c r="J3028" s="563">
        <v>-585</v>
      </c>
      <c r="K3028" s="582">
        <f t="shared" si="138"/>
        <v>103.35000000000002</v>
      </c>
      <c r="L3028" s="563">
        <f t="shared" si="139"/>
        <v>113.68500000000003</v>
      </c>
      <c r="M3028" s="563">
        <f t="shared" si="140"/>
        <v>757.18500000000006</v>
      </c>
      <c r="N3028" s="580"/>
    </row>
    <row r="3029" spans="4:14" x14ac:dyDescent="0.25">
      <c r="D3029" s="559" t="s">
        <v>867</v>
      </c>
      <c r="E3029" s="558" t="s">
        <v>1801</v>
      </c>
      <c r="F3029" s="559">
        <v>500728</v>
      </c>
      <c r="G3029" s="558" t="s">
        <v>1798</v>
      </c>
      <c r="H3029" s="564">
        <v>40015</v>
      </c>
      <c r="I3029" s="563">
        <v>64.349999999999994</v>
      </c>
      <c r="J3029" s="563">
        <v>-64.349999999999994</v>
      </c>
      <c r="K3029" s="582">
        <f t="shared" si="138"/>
        <v>0</v>
      </c>
      <c r="L3029" s="563">
        <f t="shared" si="139"/>
        <v>0</v>
      </c>
      <c r="M3029" s="563">
        <f t="shared" si="140"/>
        <v>70.784999999999997</v>
      </c>
      <c r="N3029" s="580"/>
    </row>
    <row r="3030" spans="4:14" x14ac:dyDescent="0.25">
      <c r="D3030" s="559" t="s">
        <v>867</v>
      </c>
      <c r="E3030" s="558" t="s">
        <v>1802</v>
      </c>
      <c r="F3030" s="559">
        <v>500729</v>
      </c>
      <c r="G3030" s="558" t="s">
        <v>1798</v>
      </c>
      <c r="H3030" s="564">
        <v>40015</v>
      </c>
      <c r="I3030" s="563">
        <v>64.349999999999994</v>
      </c>
      <c r="J3030" s="563">
        <v>-64.349999999999994</v>
      </c>
      <c r="K3030" s="582">
        <f t="shared" si="138"/>
        <v>0</v>
      </c>
      <c r="L3030" s="563">
        <f t="shared" si="139"/>
        <v>0</v>
      </c>
      <c r="M3030" s="563">
        <f t="shared" si="140"/>
        <v>70.784999999999997</v>
      </c>
      <c r="N3030" s="580"/>
    </row>
    <row r="3031" spans="4:14" x14ac:dyDescent="0.25">
      <c r="D3031" s="559" t="s">
        <v>867</v>
      </c>
      <c r="E3031" s="558" t="s">
        <v>1803</v>
      </c>
      <c r="F3031" s="559">
        <v>500730</v>
      </c>
      <c r="G3031" s="558" t="s">
        <v>1804</v>
      </c>
      <c r="H3031" s="564">
        <v>40015</v>
      </c>
      <c r="I3031" s="563">
        <v>688.35</v>
      </c>
      <c r="J3031" s="563">
        <v>-585</v>
      </c>
      <c r="K3031" s="582">
        <f t="shared" si="138"/>
        <v>103.35000000000002</v>
      </c>
      <c r="L3031" s="563">
        <f t="shared" si="139"/>
        <v>113.68500000000003</v>
      </c>
      <c r="M3031" s="563">
        <f t="shared" si="140"/>
        <v>757.18500000000006</v>
      </c>
      <c r="N3031" s="580"/>
    </row>
    <row r="3032" spans="4:14" x14ac:dyDescent="0.25">
      <c r="D3032" s="559" t="s">
        <v>867</v>
      </c>
      <c r="E3032" s="558" t="s">
        <v>1805</v>
      </c>
      <c r="F3032" s="559">
        <v>500731</v>
      </c>
      <c r="G3032" s="558" t="s">
        <v>1804</v>
      </c>
      <c r="H3032" s="564">
        <v>40015</v>
      </c>
      <c r="I3032" s="563">
        <v>64.349999999999994</v>
      </c>
      <c r="J3032" s="563">
        <v>-64.349999999999994</v>
      </c>
      <c r="K3032" s="582">
        <f t="shared" si="138"/>
        <v>0</v>
      </c>
      <c r="L3032" s="563">
        <f t="shared" si="139"/>
        <v>0</v>
      </c>
      <c r="M3032" s="563">
        <f t="shared" si="140"/>
        <v>70.784999999999997</v>
      </c>
      <c r="N3032" s="580"/>
    </row>
    <row r="3033" spans="4:14" x14ac:dyDescent="0.25">
      <c r="D3033" s="559" t="s">
        <v>867</v>
      </c>
      <c r="E3033" s="558" t="s">
        <v>1806</v>
      </c>
      <c r="F3033" s="559">
        <v>500732</v>
      </c>
      <c r="G3033" s="558" t="s">
        <v>1804</v>
      </c>
      <c r="H3033" s="564">
        <v>40015</v>
      </c>
      <c r="I3033" s="563">
        <v>64.349999999999994</v>
      </c>
      <c r="J3033" s="563">
        <v>-64.349999999999994</v>
      </c>
      <c r="K3033" s="582">
        <f t="shared" si="138"/>
        <v>0</v>
      </c>
      <c r="L3033" s="563">
        <f t="shared" si="139"/>
        <v>0</v>
      </c>
      <c r="M3033" s="563">
        <f t="shared" si="140"/>
        <v>70.784999999999997</v>
      </c>
      <c r="N3033" s="580"/>
    </row>
    <row r="3034" spans="4:14" x14ac:dyDescent="0.25">
      <c r="D3034" s="559" t="s">
        <v>867</v>
      </c>
      <c r="E3034" s="558" t="s">
        <v>1807</v>
      </c>
      <c r="F3034" s="559">
        <v>500733</v>
      </c>
      <c r="G3034" s="558" t="s">
        <v>1804</v>
      </c>
      <c r="H3034" s="564">
        <v>40015</v>
      </c>
      <c r="I3034" s="563">
        <v>688.35</v>
      </c>
      <c r="J3034" s="563">
        <v>-585</v>
      </c>
      <c r="K3034" s="582">
        <f t="shared" si="138"/>
        <v>103.35000000000002</v>
      </c>
      <c r="L3034" s="563">
        <f t="shared" si="139"/>
        <v>113.68500000000003</v>
      </c>
      <c r="M3034" s="563">
        <f t="shared" si="140"/>
        <v>757.18500000000006</v>
      </c>
      <c r="N3034" s="580"/>
    </row>
    <row r="3035" spans="4:14" x14ac:dyDescent="0.25">
      <c r="D3035" s="559" t="s">
        <v>867</v>
      </c>
      <c r="E3035" s="558" t="s">
        <v>1808</v>
      </c>
      <c r="F3035" s="559">
        <v>500734</v>
      </c>
      <c r="G3035" s="558" t="s">
        <v>1804</v>
      </c>
      <c r="H3035" s="564">
        <v>40015</v>
      </c>
      <c r="I3035" s="563">
        <v>688.35</v>
      </c>
      <c r="J3035" s="563">
        <v>-585</v>
      </c>
      <c r="K3035" s="582">
        <f t="shared" si="138"/>
        <v>103.35000000000002</v>
      </c>
      <c r="L3035" s="563">
        <f t="shared" si="139"/>
        <v>113.68500000000003</v>
      </c>
      <c r="M3035" s="563">
        <f t="shared" si="140"/>
        <v>757.18500000000006</v>
      </c>
      <c r="N3035" s="580"/>
    </row>
    <row r="3036" spans="4:14" x14ac:dyDescent="0.25">
      <c r="D3036" s="559" t="s">
        <v>867</v>
      </c>
      <c r="E3036" s="558" t="s">
        <v>1809</v>
      </c>
      <c r="F3036" s="559">
        <v>500735</v>
      </c>
      <c r="G3036" s="558" t="s">
        <v>1810</v>
      </c>
      <c r="H3036" s="564">
        <v>40015</v>
      </c>
      <c r="I3036" s="563">
        <v>64.349999999999994</v>
      </c>
      <c r="J3036" s="563">
        <v>-64.349999999999994</v>
      </c>
      <c r="K3036" s="582">
        <f t="shared" si="138"/>
        <v>0</v>
      </c>
      <c r="L3036" s="563">
        <f t="shared" si="139"/>
        <v>0</v>
      </c>
      <c r="M3036" s="563">
        <f t="shared" si="140"/>
        <v>70.784999999999997</v>
      </c>
      <c r="N3036" s="580"/>
    </row>
    <row r="3037" spans="4:14" x14ac:dyDescent="0.25">
      <c r="D3037" s="559" t="s">
        <v>867</v>
      </c>
      <c r="E3037" s="558" t="s">
        <v>1811</v>
      </c>
      <c r="F3037" s="559">
        <v>500736</v>
      </c>
      <c r="G3037" s="558" t="s">
        <v>1810</v>
      </c>
      <c r="H3037" s="564">
        <v>40015</v>
      </c>
      <c r="I3037" s="563">
        <v>64.349999999999994</v>
      </c>
      <c r="J3037" s="563">
        <v>-64.349999999999994</v>
      </c>
      <c r="K3037" s="582">
        <f t="shared" si="138"/>
        <v>0</v>
      </c>
      <c r="L3037" s="563">
        <f t="shared" si="139"/>
        <v>0</v>
      </c>
      <c r="M3037" s="563">
        <f t="shared" si="140"/>
        <v>70.784999999999997</v>
      </c>
      <c r="N3037" s="580"/>
    </row>
    <row r="3038" spans="4:14" x14ac:dyDescent="0.25">
      <c r="D3038" s="559" t="s">
        <v>867</v>
      </c>
      <c r="E3038" s="558" t="s">
        <v>1812</v>
      </c>
      <c r="F3038" s="559">
        <v>500737</v>
      </c>
      <c r="G3038" s="558" t="s">
        <v>1810</v>
      </c>
      <c r="H3038" s="564">
        <v>40015</v>
      </c>
      <c r="I3038" s="563">
        <v>688.35</v>
      </c>
      <c r="J3038" s="563">
        <v>-585</v>
      </c>
      <c r="K3038" s="582">
        <f t="shared" si="138"/>
        <v>103.35000000000002</v>
      </c>
      <c r="L3038" s="563">
        <f t="shared" si="139"/>
        <v>113.68500000000003</v>
      </c>
      <c r="M3038" s="563">
        <f t="shared" si="140"/>
        <v>757.18500000000006</v>
      </c>
      <c r="N3038" s="580"/>
    </row>
    <row r="3039" spans="4:14" x14ac:dyDescent="0.25">
      <c r="D3039" s="559" t="s">
        <v>867</v>
      </c>
      <c r="E3039" s="558" t="s">
        <v>1813</v>
      </c>
      <c r="F3039" s="559">
        <v>500738</v>
      </c>
      <c r="G3039" s="558" t="s">
        <v>1810</v>
      </c>
      <c r="H3039" s="564">
        <v>40015</v>
      </c>
      <c r="I3039" s="563">
        <v>64.349999999999994</v>
      </c>
      <c r="J3039" s="563">
        <v>-64.349999999999994</v>
      </c>
      <c r="K3039" s="582">
        <f t="shared" si="138"/>
        <v>0</v>
      </c>
      <c r="L3039" s="563">
        <f t="shared" si="139"/>
        <v>0</v>
      </c>
      <c r="M3039" s="563">
        <f t="shared" si="140"/>
        <v>70.784999999999997</v>
      </c>
      <c r="N3039" s="580"/>
    </row>
    <row r="3040" spans="4:14" x14ac:dyDescent="0.25">
      <c r="D3040" s="559" t="s">
        <v>867</v>
      </c>
      <c r="E3040" s="558" t="s">
        <v>1814</v>
      </c>
      <c r="F3040" s="559">
        <v>500739</v>
      </c>
      <c r="G3040" s="558" t="s">
        <v>1810</v>
      </c>
      <c r="H3040" s="564">
        <v>40015</v>
      </c>
      <c r="I3040" s="563">
        <v>64.349999999999994</v>
      </c>
      <c r="J3040" s="563">
        <v>-64.349999999999994</v>
      </c>
      <c r="K3040" s="582">
        <f t="shared" si="138"/>
        <v>0</v>
      </c>
      <c r="L3040" s="563">
        <f t="shared" si="139"/>
        <v>0</v>
      </c>
      <c r="M3040" s="563">
        <f t="shared" si="140"/>
        <v>70.784999999999997</v>
      </c>
      <c r="N3040" s="580"/>
    </row>
    <row r="3041" spans="4:14" x14ac:dyDescent="0.25">
      <c r="D3041" s="559" t="s">
        <v>867</v>
      </c>
      <c r="E3041" s="558" t="s">
        <v>1815</v>
      </c>
      <c r="F3041" s="559">
        <v>500740</v>
      </c>
      <c r="G3041" s="558" t="s">
        <v>1816</v>
      </c>
      <c r="H3041" s="564">
        <v>40015</v>
      </c>
      <c r="I3041" s="563">
        <v>25.35</v>
      </c>
      <c r="J3041" s="563">
        <v>-25.35</v>
      </c>
      <c r="K3041" s="582">
        <f t="shared" si="138"/>
        <v>0</v>
      </c>
      <c r="L3041" s="563">
        <f t="shared" si="139"/>
        <v>0</v>
      </c>
      <c r="M3041" s="563">
        <f t="shared" si="140"/>
        <v>27.885000000000005</v>
      </c>
      <c r="N3041" s="580"/>
    </row>
    <row r="3042" spans="4:14" x14ac:dyDescent="0.25">
      <c r="D3042" s="559" t="s">
        <v>867</v>
      </c>
      <c r="E3042" s="558" t="s">
        <v>1817</v>
      </c>
      <c r="F3042" s="559">
        <v>500741</v>
      </c>
      <c r="G3042" s="558" t="s">
        <v>1816</v>
      </c>
      <c r="H3042" s="564">
        <v>40015</v>
      </c>
      <c r="I3042" s="563">
        <v>610.35</v>
      </c>
      <c r="J3042" s="563">
        <v>-585</v>
      </c>
      <c r="K3042" s="582">
        <f t="shared" si="138"/>
        <v>25.350000000000023</v>
      </c>
      <c r="L3042" s="563">
        <f t="shared" si="139"/>
        <v>27.885000000000026</v>
      </c>
      <c r="M3042" s="563">
        <f t="shared" si="140"/>
        <v>671.3850000000001</v>
      </c>
      <c r="N3042" s="580"/>
    </row>
    <row r="3043" spans="4:14" x14ac:dyDescent="0.25">
      <c r="D3043" s="559" t="s">
        <v>867</v>
      </c>
      <c r="E3043" s="558" t="s">
        <v>1818</v>
      </c>
      <c r="F3043" s="559">
        <v>500742</v>
      </c>
      <c r="G3043" s="558" t="s">
        <v>1816</v>
      </c>
      <c r="H3043" s="564">
        <v>40015</v>
      </c>
      <c r="I3043" s="563">
        <v>688.35</v>
      </c>
      <c r="J3043" s="563">
        <v>-585</v>
      </c>
      <c r="K3043" s="582">
        <f t="shared" si="138"/>
        <v>103.35000000000002</v>
      </c>
      <c r="L3043" s="563">
        <f t="shared" si="139"/>
        <v>113.68500000000003</v>
      </c>
      <c r="M3043" s="563">
        <f t="shared" si="140"/>
        <v>757.18500000000006</v>
      </c>
      <c r="N3043" s="580"/>
    </row>
    <row r="3044" spans="4:14" x14ac:dyDescent="0.25">
      <c r="D3044" s="559" t="s">
        <v>867</v>
      </c>
      <c r="E3044" s="558" t="s">
        <v>1819</v>
      </c>
      <c r="F3044" s="559">
        <v>500743</v>
      </c>
      <c r="G3044" s="558" t="s">
        <v>1816</v>
      </c>
      <c r="H3044" s="564">
        <v>40015</v>
      </c>
      <c r="I3044" s="563">
        <v>688.35</v>
      </c>
      <c r="J3044" s="563">
        <v>-585</v>
      </c>
      <c r="K3044" s="582">
        <f t="shared" si="138"/>
        <v>103.35000000000002</v>
      </c>
      <c r="L3044" s="563">
        <f t="shared" si="139"/>
        <v>113.68500000000003</v>
      </c>
      <c r="M3044" s="563">
        <f t="shared" si="140"/>
        <v>757.18500000000006</v>
      </c>
      <c r="N3044" s="580"/>
    </row>
    <row r="3045" spans="4:14" x14ac:dyDescent="0.25">
      <c r="D3045" s="559" t="s">
        <v>867</v>
      </c>
      <c r="E3045" s="558" t="s">
        <v>1820</v>
      </c>
      <c r="F3045" s="559">
        <v>500744</v>
      </c>
      <c r="G3045" s="558" t="s">
        <v>1816</v>
      </c>
      <c r="H3045" s="564">
        <v>40015</v>
      </c>
      <c r="I3045" s="563">
        <v>688.35</v>
      </c>
      <c r="J3045" s="563">
        <v>-585</v>
      </c>
      <c r="K3045" s="582">
        <f t="shared" si="138"/>
        <v>103.35000000000002</v>
      </c>
      <c r="L3045" s="563">
        <f t="shared" si="139"/>
        <v>113.68500000000003</v>
      </c>
      <c r="M3045" s="563">
        <f t="shared" si="140"/>
        <v>757.18500000000006</v>
      </c>
      <c r="N3045" s="580"/>
    </row>
    <row r="3046" spans="4:14" x14ac:dyDescent="0.25">
      <c r="D3046" s="559" t="s">
        <v>867</v>
      </c>
      <c r="E3046" s="558" t="s">
        <v>1821</v>
      </c>
      <c r="F3046" s="559">
        <v>500745</v>
      </c>
      <c r="G3046" s="558" t="s">
        <v>1822</v>
      </c>
      <c r="H3046" s="564">
        <v>40015</v>
      </c>
      <c r="I3046" s="563">
        <v>64.349999999999994</v>
      </c>
      <c r="J3046" s="563">
        <v>-64.349999999999994</v>
      </c>
      <c r="K3046" s="582">
        <f t="shared" si="138"/>
        <v>0</v>
      </c>
      <c r="L3046" s="563">
        <f t="shared" si="139"/>
        <v>0</v>
      </c>
      <c r="M3046" s="563">
        <f t="shared" si="140"/>
        <v>70.784999999999997</v>
      </c>
      <c r="N3046" s="580"/>
    </row>
    <row r="3047" spans="4:14" x14ac:dyDescent="0.25">
      <c r="D3047" s="559" t="s">
        <v>867</v>
      </c>
      <c r="E3047" s="558" t="s">
        <v>1823</v>
      </c>
      <c r="F3047" s="559">
        <v>500746</v>
      </c>
      <c r="G3047" s="558" t="s">
        <v>1822</v>
      </c>
      <c r="H3047" s="564">
        <v>40015</v>
      </c>
      <c r="I3047" s="563">
        <v>688.35</v>
      </c>
      <c r="J3047" s="563">
        <v>-585</v>
      </c>
      <c r="K3047" s="582">
        <f t="shared" si="138"/>
        <v>103.35000000000002</v>
      </c>
      <c r="L3047" s="563">
        <f t="shared" si="139"/>
        <v>113.68500000000003</v>
      </c>
      <c r="M3047" s="563">
        <f t="shared" si="140"/>
        <v>757.18500000000006</v>
      </c>
      <c r="N3047" s="580"/>
    </row>
    <row r="3048" spans="4:14" x14ac:dyDescent="0.25">
      <c r="D3048" s="559" t="s">
        <v>867</v>
      </c>
      <c r="E3048" s="558" t="s">
        <v>4563</v>
      </c>
      <c r="F3048" s="559">
        <v>500747</v>
      </c>
      <c r="G3048" s="558" t="s">
        <v>1822</v>
      </c>
      <c r="H3048" s="564">
        <v>40015</v>
      </c>
      <c r="I3048" s="563">
        <v>64.349999999999994</v>
      </c>
      <c r="J3048" s="563">
        <v>-64.349999999999994</v>
      </c>
      <c r="K3048" s="582">
        <f t="shared" si="138"/>
        <v>0</v>
      </c>
      <c r="L3048" s="563">
        <f t="shared" si="139"/>
        <v>0</v>
      </c>
      <c r="M3048" s="563">
        <f t="shared" si="140"/>
        <v>70.784999999999997</v>
      </c>
      <c r="N3048" s="580"/>
    </row>
    <row r="3049" spans="4:14" x14ac:dyDescent="0.25">
      <c r="D3049" s="559" t="s">
        <v>867</v>
      </c>
      <c r="E3049" s="558" t="s">
        <v>4564</v>
      </c>
      <c r="F3049" s="559">
        <v>500748</v>
      </c>
      <c r="G3049" s="558" t="s">
        <v>1822</v>
      </c>
      <c r="H3049" s="564">
        <v>40015</v>
      </c>
      <c r="I3049" s="563">
        <v>64.349999999999994</v>
      </c>
      <c r="J3049" s="563">
        <v>-64.349999999999994</v>
      </c>
      <c r="K3049" s="582">
        <f t="shared" ref="K3049:K3112" si="141">+I3049+J3049</f>
        <v>0</v>
      </c>
      <c r="L3049" s="563">
        <f t="shared" ref="L3049:L3112" si="142">+K3049*1.1</f>
        <v>0</v>
      </c>
      <c r="M3049" s="563">
        <f t="shared" ref="M3049:M3112" si="143">+I3049*1.1</f>
        <v>70.784999999999997</v>
      </c>
      <c r="N3049" s="580"/>
    </row>
    <row r="3050" spans="4:14" x14ac:dyDescent="0.25">
      <c r="D3050" s="559" t="s">
        <v>867</v>
      </c>
      <c r="E3050" s="558" t="s">
        <v>4565</v>
      </c>
      <c r="F3050" s="559">
        <v>500749</v>
      </c>
      <c r="G3050" s="558" t="s">
        <v>1822</v>
      </c>
      <c r="H3050" s="564">
        <v>40015</v>
      </c>
      <c r="I3050" s="563">
        <v>688.35</v>
      </c>
      <c r="J3050" s="563">
        <v>-585</v>
      </c>
      <c r="K3050" s="582">
        <f t="shared" si="141"/>
        <v>103.35000000000002</v>
      </c>
      <c r="L3050" s="563">
        <f t="shared" si="142"/>
        <v>113.68500000000003</v>
      </c>
      <c r="M3050" s="563">
        <f t="shared" si="143"/>
        <v>757.18500000000006</v>
      </c>
      <c r="N3050" s="580"/>
    </row>
    <row r="3051" spans="4:14" x14ac:dyDescent="0.25">
      <c r="D3051" s="559" t="s">
        <v>867</v>
      </c>
      <c r="E3051" s="558" t="s">
        <v>4566</v>
      </c>
      <c r="F3051" s="559">
        <v>500750</v>
      </c>
      <c r="G3051" s="558" t="s">
        <v>4567</v>
      </c>
      <c r="H3051" s="564">
        <v>40015</v>
      </c>
      <c r="I3051" s="563">
        <v>25.35</v>
      </c>
      <c r="J3051" s="563">
        <v>-25.35</v>
      </c>
      <c r="K3051" s="582">
        <f t="shared" si="141"/>
        <v>0</v>
      </c>
      <c r="L3051" s="563">
        <f t="shared" si="142"/>
        <v>0</v>
      </c>
      <c r="M3051" s="563">
        <f t="shared" si="143"/>
        <v>27.885000000000005</v>
      </c>
      <c r="N3051" s="580"/>
    </row>
    <row r="3052" spans="4:14" x14ac:dyDescent="0.25">
      <c r="D3052" s="559" t="s">
        <v>867</v>
      </c>
      <c r="E3052" s="558" t="s">
        <v>4568</v>
      </c>
      <c r="F3052" s="559">
        <v>500751</v>
      </c>
      <c r="G3052" s="558" t="s">
        <v>4567</v>
      </c>
      <c r="H3052" s="564">
        <v>40015</v>
      </c>
      <c r="I3052" s="563">
        <v>25.35</v>
      </c>
      <c r="J3052" s="563">
        <v>-25.35</v>
      </c>
      <c r="K3052" s="582">
        <f t="shared" si="141"/>
        <v>0</v>
      </c>
      <c r="L3052" s="563">
        <f t="shared" si="142"/>
        <v>0</v>
      </c>
      <c r="M3052" s="563">
        <f t="shared" si="143"/>
        <v>27.885000000000005</v>
      </c>
      <c r="N3052" s="580"/>
    </row>
    <row r="3053" spans="4:14" x14ac:dyDescent="0.25">
      <c r="D3053" s="559" t="s">
        <v>867</v>
      </c>
      <c r="E3053" s="558" t="s">
        <v>4569</v>
      </c>
      <c r="F3053" s="559">
        <v>500752</v>
      </c>
      <c r="G3053" s="558" t="s">
        <v>4567</v>
      </c>
      <c r="H3053" s="564">
        <v>40015</v>
      </c>
      <c r="I3053" s="563">
        <v>688.35</v>
      </c>
      <c r="J3053" s="563">
        <v>-585</v>
      </c>
      <c r="K3053" s="582">
        <f t="shared" si="141"/>
        <v>103.35000000000002</v>
      </c>
      <c r="L3053" s="563">
        <f t="shared" si="142"/>
        <v>113.68500000000003</v>
      </c>
      <c r="M3053" s="563">
        <f t="shared" si="143"/>
        <v>757.18500000000006</v>
      </c>
      <c r="N3053" s="580"/>
    </row>
    <row r="3054" spans="4:14" x14ac:dyDescent="0.25">
      <c r="D3054" s="559" t="s">
        <v>867</v>
      </c>
      <c r="E3054" s="558" t="s">
        <v>4570</v>
      </c>
      <c r="F3054" s="559">
        <v>500753</v>
      </c>
      <c r="G3054" s="558" t="s">
        <v>4567</v>
      </c>
      <c r="H3054" s="564">
        <v>40015</v>
      </c>
      <c r="I3054" s="563">
        <v>688.35</v>
      </c>
      <c r="J3054" s="563">
        <v>-585</v>
      </c>
      <c r="K3054" s="582">
        <f t="shared" si="141"/>
        <v>103.35000000000002</v>
      </c>
      <c r="L3054" s="563">
        <f t="shared" si="142"/>
        <v>113.68500000000003</v>
      </c>
      <c r="M3054" s="563">
        <f t="shared" si="143"/>
        <v>757.18500000000006</v>
      </c>
      <c r="N3054" s="580"/>
    </row>
    <row r="3055" spans="4:14" x14ac:dyDescent="0.25">
      <c r="D3055" s="559" t="s">
        <v>867</v>
      </c>
      <c r="E3055" s="558" t="s">
        <v>4571</v>
      </c>
      <c r="F3055" s="559">
        <v>500754</v>
      </c>
      <c r="G3055" s="558" t="s">
        <v>4567</v>
      </c>
      <c r="H3055" s="564">
        <v>40015</v>
      </c>
      <c r="I3055" s="563">
        <v>688.35</v>
      </c>
      <c r="J3055" s="563">
        <v>-585</v>
      </c>
      <c r="K3055" s="582">
        <f t="shared" si="141"/>
        <v>103.35000000000002</v>
      </c>
      <c r="L3055" s="563">
        <f t="shared" si="142"/>
        <v>113.68500000000003</v>
      </c>
      <c r="M3055" s="563">
        <f t="shared" si="143"/>
        <v>757.18500000000006</v>
      </c>
      <c r="N3055" s="580"/>
    </row>
    <row r="3056" spans="4:14" x14ac:dyDescent="0.25">
      <c r="D3056" s="559" t="s">
        <v>867</v>
      </c>
      <c r="E3056" s="558" t="s">
        <v>4572</v>
      </c>
      <c r="F3056" s="559">
        <v>500755</v>
      </c>
      <c r="G3056" s="558" t="s">
        <v>4573</v>
      </c>
      <c r="H3056" s="564">
        <v>40015</v>
      </c>
      <c r="I3056" s="563">
        <v>688.35</v>
      </c>
      <c r="J3056" s="563">
        <v>-585</v>
      </c>
      <c r="K3056" s="582">
        <f t="shared" si="141"/>
        <v>103.35000000000002</v>
      </c>
      <c r="L3056" s="563">
        <f t="shared" si="142"/>
        <v>113.68500000000003</v>
      </c>
      <c r="M3056" s="563">
        <f t="shared" si="143"/>
        <v>757.18500000000006</v>
      </c>
      <c r="N3056" s="580"/>
    </row>
    <row r="3057" spans="4:14" x14ac:dyDescent="0.25">
      <c r="D3057" s="559" t="s">
        <v>867</v>
      </c>
      <c r="E3057" s="558" t="s">
        <v>4574</v>
      </c>
      <c r="F3057" s="559">
        <v>500756</v>
      </c>
      <c r="G3057" s="558" t="s">
        <v>4573</v>
      </c>
      <c r="H3057" s="564">
        <v>40015</v>
      </c>
      <c r="I3057" s="563">
        <v>688.35</v>
      </c>
      <c r="J3057" s="563">
        <v>-585</v>
      </c>
      <c r="K3057" s="582">
        <f t="shared" si="141"/>
        <v>103.35000000000002</v>
      </c>
      <c r="L3057" s="563">
        <f t="shared" si="142"/>
        <v>113.68500000000003</v>
      </c>
      <c r="M3057" s="563">
        <f t="shared" si="143"/>
        <v>757.18500000000006</v>
      </c>
      <c r="N3057" s="580"/>
    </row>
    <row r="3058" spans="4:14" x14ac:dyDescent="0.25">
      <c r="D3058" s="559" t="s">
        <v>867</v>
      </c>
      <c r="E3058" s="558" t="s">
        <v>4575</v>
      </c>
      <c r="F3058" s="559">
        <v>500757</v>
      </c>
      <c r="G3058" s="558" t="s">
        <v>4573</v>
      </c>
      <c r="H3058" s="564">
        <v>40015</v>
      </c>
      <c r="I3058" s="563">
        <v>688.35</v>
      </c>
      <c r="J3058" s="563">
        <v>-585</v>
      </c>
      <c r="K3058" s="582">
        <f t="shared" si="141"/>
        <v>103.35000000000002</v>
      </c>
      <c r="L3058" s="563">
        <f t="shared" si="142"/>
        <v>113.68500000000003</v>
      </c>
      <c r="M3058" s="563">
        <f t="shared" si="143"/>
        <v>757.18500000000006</v>
      </c>
      <c r="N3058" s="580"/>
    </row>
    <row r="3059" spans="4:14" x14ac:dyDescent="0.25">
      <c r="D3059" s="559" t="s">
        <v>867</v>
      </c>
      <c r="E3059" s="558" t="s">
        <v>4576</v>
      </c>
      <c r="F3059" s="559">
        <v>500758</v>
      </c>
      <c r="G3059" s="558" t="s">
        <v>4573</v>
      </c>
      <c r="H3059" s="564">
        <v>40015</v>
      </c>
      <c r="I3059" s="563">
        <v>688.35</v>
      </c>
      <c r="J3059" s="563">
        <v>-585</v>
      </c>
      <c r="K3059" s="582">
        <f t="shared" si="141"/>
        <v>103.35000000000002</v>
      </c>
      <c r="L3059" s="563">
        <f t="shared" si="142"/>
        <v>113.68500000000003</v>
      </c>
      <c r="M3059" s="563">
        <f t="shared" si="143"/>
        <v>757.18500000000006</v>
      </c>
      <c r="N3059" s="580"/>
    </row>
    <row r="3060" spans="4:14" x14ac:dyDescent="0.25">
      <c r="D3060" s="559" t="s">
        <v>867</v>
      </c>
      <c r="E3060" s="558" t="s">
        <v>4577</v>
      </c>
      <c r="F3060" s="559">
        <v>500759</v>
      </c>
      <c r="G3060" s="558" t="s">
        <v>4573</v>
      </c>
      <c r="H3060" s="564">
        <v>40015</v>
      </c>
      <c r="I3060" s="563">
        <v>64.349999999999994</v>
      </c>
      <c r="J3060" s="563">
        <v>-64.349999999999994</v>
      </c>
      <c r="K3060" s="582">
        <f t="shared" si="141"/>
        <v>0</v>
      </c>
      <c r="L3060" s="563">
        <f t="shared" si="142"/>
        <v>0</v>
      </c>
      <c r="M3060" s="563">
        <f t="shared" si="143"/>
        <v>70.784999999999997</v>
      </c>
      <c r="N3060" s="580"/>
    </row>
    <row r="3061" spans="4:14" x14ac:dyDescent="0.25">
      <c r="D3061" s="559" t="s">
        <v>867</v>
      </c>
      <c r="E3061" s="558" t="s">
        <v>4578</v>
      </c>
      <c r="F3061" s="559">
        <v>500760</v>
      </c>
      <c r="G3061" s="558" t="s">
        <v>4579</v>
      </c>
      <c r="H3061" s="564">
        <v>40015</v>
      </c>
      <c r="I3061" s="563">
        <v>64.349999999999994</v>
      </c>
      <c r="J3061" s="563">
        <v>-64.349999999999994</v>
      </c>
      <c r="K3061" s="582">
        <f t="shared" si="141"/>
        <v>0</v>
      </c>
      <c r="L3061" s="563">
        <f t="shared" si="142"/>
        <v>0</v>
      </c>
      <c r="M3061" s="563">
        <f t="shared" si="143"/>
        <v>70.784999999999997</v>
      </c>
      <c r="N3061" s="580"/>
    </row>
    <row r="3062" spans="4:14" x14ac:dyDescent="0.25">
      <c r="D3062" s="559" t="s">
        <v>867</v>
      </c>
      <c r="E3062" s="558" t="s">
        <v>4580</v>
      </c>
      <c r="F3062" s="559">
        <v>500761</v>
      </c>
      <c r="G3062" s="558" t="s">
        <v>4579</v>
      </c>
      <c r="H3062" s="564">
        <v>40015</v>
      </c>
      <c r="I3062" s="563">
        <v>64.349999999999994</v>
      </c>
      <c r="J3062" s="563">
        <v>-64.349999999999994</v>
      </c>
      <c r="K3062" s="582">
        <f t="shared" si="141"/>
        <v>0</v>
      </c>
      <c r="L3062" s="563">
        <f t="shared" si="142"/>
        <v>0</v>
      </c>
      <c r="M3062" s="563">
        <f t="shared" si="143"/>
        <v>70.784999999999997</v>
      </c>
      <c r="N3062" s="580"/>
    </row>
    <row r="3063" spans="4:14" x14ac:dyDescent="0.25">
      <c r="D3063" s="559" t="s">
        <v>867</v>
      </c>
      <c r="E3063" s="558" t="s">
        <v>4581</v>
      </c>
      <c r="F3063" s="559">
        <v>500762</v>
      </c>
      <c r="G3063" s="558" t="s">
        <v>4579</v>
      </c>
      <c r="H3063" s="564">
        <v>40015</v>
      </c>
      <c r="I3063" s="563">
        <v>688.35</v>
      </c>
      <c r="J3063" s="563">
        <v>-585</v>
      </c>
      <c r="K3063" s="582">
        <f t="shared" si="141"/>
        <v>103.35000000000002</v>
      </c>
      <c r="L3063" s="563">
        <f t="shared" si="142"/>
        <v>113.68500000000003</v>
      </c>
      <c r="M3063" s="563">
        <f t="shared" si="143"/>
        <v>757.18500000000006</v>
      </c>
      <c r="N3063" s="580"/>
    </row>
    <row r="3064" spans="4:14" x14ac:dyDescent="0.25">
      <c r="D3064" s="559" t="s">
        <v>867</v>
      </c>
      <c r="E3064" s="558" t="s">
        <v>4582</v>
      </c>
      <c r="F3064" s="559">
        <v>500763</v>
      </c>
      <c r="G3064" s="558" t="s">
        <v>4579</v>
      </c>
      <c r="H3064" s="564">
        <v>40015</v>
      </c>
      <c r="I3064" s="563">
        <v>688.35</v>
      </c>
      <c r="J3064" s="563">
        <v>-585</v>
      </c>
      <c r="K3064" s="582">
        <f t="shared" si="141"/>
        <v>103.35000000000002</v>
      </c>
      <c r="L3064" s="563">
        <f t="shared" si="142"/>
        <v>113.68500000000003</v>
      </c>
      <c r="M3064" s="563">
        <f t="shared" si="143"/>
        <v>757.18500000000006</v>
      </c>
      <c r="N3064" s="580"/>
    </row>
    <row r="3065" spans="4:14" x14ac:dyDescent="0.25">
      <c r="D3065" s="559" t="s">
        <v>867</v>
      </c>
      <c r="E3065" s="558" t="s">
        <v>4583</v>
      </c>
      <c r="F3065" s="559">
        <v>500764</v>
      </c>
      <c r="G3065" s="558" t="s">
        <v>4579</v>
      </c>
      <c r="H3065" s="564">
        <v>40015</v>
      </c>
      <c r="I3065" s="563">
        <v>688.35</v>
      </c>
      <c r="J3065" s="563">
        <v>-585</v>
      </c>
      <c r="K3065" s="582">
        <f t="shared" si="141"/>
        <v>103.35000000000002</v>
      </c>
      <c r="L3065" s="563">
        <f t="shared" si="142"/>
        <v>113.68500000000003</v>
      </c>
      <c r="M3065" s="563">
        <f t="shared" si="143"/>
        <v>757.18500000000006</v>
      </c>
      <c r="N3065" s="580"/>
    </row>
    <row r="3066" spans="4:14" x14ac:dyDescent="0.25">
      <c r="D3066" s="559" t="s">
        <v>867</v>
      </c>
      <c r="E3066" s="558" t="s">
        <v>4584</v>
      </c>
      <c r="F3066" s="559">
        <v>500765</v>
      </c>
      <c r="G3066" s="558" t="s">
        <v>4585</v>
      </c>
      <c r="H3066" s="564">
        <v>40015</v>
      </c>
      <c r="I3066" s="563">
        <v>454.35</v>
      </c>
      <c r="J3066" s="563">
        <v>-454.35</v>
      </c>
      <c r="K3066" s="582">
        <f t="shared" si="141"/>
        <v>0</v>
      </c>
      <c r="L3066" s="563">
        <f t="shared" si="142"/>
        <v>0</v>
      </c>
      <c r="M3066" s="563">
        <f t="shared" si="143"/>
        <v>499.78500000000008</v>
      </c>
      <c r="N3066" s="580"/>
    </row>
    <row r="3067" spans="4:14" x14ac:dyDescent="0.25">
      <c r="D3067" s="559" t="s">
        <v>867</v>
      </c>
      <c r="E3067" s="558" t="s">
        <v>4586</v>
      </c>
      <c r="F3067" s="559">
        <v>500766</v>
      </c>
      <c r="G3067" s="558" t="s">
        <v>4585</v>
      </c>
      <c r="H3067" s="564">
        <v>40015</v>
      </c>
      <c r="I3067" s="563">
        <v>688.35</v>
      </c>
      <c r="J3067" s="563">
        <v>-585</v>
      </c>
      <c r="K3067" s="582">
        <f t="shared" si="141"/>
        <v>103.35000000000002</v>
      </c>
      <c r="L3067" s="563">
        <f t="shared" si="142"/>
        <v>113.68500000000003</v>
      </c>
      <c r="M3067" s="563">
        <f t="shared" si="143"/>
        <v>757.18500000000006</v>
      </c>
      <c r="N3067" s="580"/>
    </row>
    <row r="3068" spans="4:14" x14ac:dyDescent="0.25">
      <c r="D3068" s="559" t="s">
        <v>867</v>
      </c>
      <c r="E3068" s="558" t="s">
        <v>4587</v>
      </c>
      <c r="F3068" s="559">
        <v>500767</v>
      </c>
      <c r="G3068" s="558" t="s">
        <v>4585</v>
      </c>
      <c r="H3068" s="564">
        <v>40015</v>
      </c>
      <c r="I3068" s="563">
        <v>25.35</v>
      </c>
      <c r="J3068" s="563">
        <v>-25.35</v>
      </c>
      <c r="K3068" s="582">
        <f t="shared" si="141"/>
        <v>0</v>
      </c>
      <c r="L3068" s="563">
        <f t="shared" si="142"/>
        <v>0</v>
      </c>
      <c r="M3068" s="563">
        <f t="shared" si="143"/>
        <v>27.885000000000005</v>
      </c>
      <c r="N3068" s="580"/>
    </row>
    <row r="3069" spans="4:14" x14ac:dyDescent="0.25">
      <c r="D3069" s="559" t="s">
        <v>867</v>
      </c>
      <c r="E3069" s="558" t="s">
        <v>4588</v>
      </c>
      <c r="F3069" s="559">
        <v>500768</v>
      </c>
      <c r="G3069" s="558" t="s">
        <v>4585</v>
      </c>
      <c r="H3069" s="564">
        <v>40015</v>
      </c>
      <c r="I3069" s="563">
        <v>64.349999999999994</v>
      </c>
      <c r="J3069" s="563">
        <v>-64.349999999999994</v>
      </c>
      <c r="K3069" s="582">
        <f t="shared" si="141"/>
        <v>0</v>
      </c>
      <c r="L3069" s="563">
        <f t="shared" si="142"/>
        <v>0</v>
      </c>
      <c r="M3069" s="563">
        <f t="shared" si="143"/>
        <v>70.784999999999997</v>
      </c>
      <c r="N3069" s="580"/>
    </row>
    <row r="3070" spans="4:14" x14ac:dyDescent="0.25">
      <c r="D3070" s="559" t="s">
        <v>867</v>
      </c>
      <c r="E3070" s="558" t="s">
        <v>4589</v>
      </c>
      <c r="F3070" s="559">
        <v>500769</v>
      </c>
      <c r="G3070" s="558" t="s">
        <v>4585</v>
      </c>
      <c r="H3070" s="564">
        <v>40015</v>
      </c>
      <c r="I3070" s="563">
        <v>64.349999999999994</v>
      </c>
      <c r="J3070" s="563">
        <v>-64.349999999999994</v>
      </c>
      <c r="K3070" s="582">
        <f t="shared" si="141"/>
        <v>0</v>
      </c>
      <c r="L3070" s="563">
        <f t="shared" si="142"/>
        <v>0</v>
      </c>
      <c r="M3070" s="563">
        <f t="shared" si="143"/>
        <v>70.784999999999997</v>
      </c>
      <c r="N3070" s="580"/>
    </row>
    <row r="3071" spans="4:14" x14ac:dyDescent="0.25">
      <c r="D3071" s="559" t="s">
        <v>867</v>
      </c>
      <c r="E3071" s="558" t="s">
        <v>4590</v>
      </c>
      <c r="F3071" s="559">
        <v>500770</v>
      </c>
      <c r="G3071" s="558" t="s">
        <v>4591</v>
      </c>
      <c r="H3071" s="564">
        <v>40015</v>
      </c>
      <c r="I3071" s="563">
        <v>64.349999999999994</v>
      </c>
      <c r="J3071" s="563">
        <v>-64.349999999999994</v>
      </c>
      <c r="K3071" s="582">
        <f t="shared" si="141"/>
        <v>0</v>
      </c>
      <c r="L3071" s="563">
        <f t="shared" si="142"/>
        <v>0</v>
      </c>
      <c r="M3071" s="563">
        <f t="shared" si="143"/>
        <v>70.784999999999997</v>
      </c>
      <c r="N3071" s="580"/>
    </row>
    <row r="3072" spans="4:14" x14ac:dyDescent="0.25">
      <c r="D3072" s="559" t="s">
        <v>867</v>
      </c>
      <c r="E3072" s="558" t="s">
        <v>4592</v>
      </c>
      <c r="F3072" s="559">
        <v>500771</v>
      </c>
      <c r="G3072" s="558" t="s">
        <v>4591</v>
      </c>
      <c r="H3072" s="564">
        <v>40015</v>
      </c>
      <c r="I3072" s="563">
        <v>64.349999999999994</v>
      </c>
      <c r="J3072" s="563">
        <v>-64.349999999999994</v>
      </c>
      <c r="K3072" s="582">
        <f t="shared" si="141"/>
        <v>0</v>
      </c>
      <c r="L3072" s="563">
        <f t="shared" si="142"/>
        <v>0</v>
      </c>
      <c r="M3072" s="563">
        <f t="shared" si="143"/>
        <v>70.784999999999997</v>
      </c>
      <c r="N3072" s="580"/>
    </row>
    <row r="3073" spans="4:14" x14ac:dyDescent="0.25">
      <c r="D3073" s="559" t="s">
        <v>867</v>
      </c>
      <c r="E3073" s="558" t="s">
        <v>4593</v>
      </c>
      <c r="F3073" s="559">
        <v>500772</v>
      </c>
      <c r="G3073" s="558" t="s">
        <v>4591</v>
      </c>
      <c r="H3073" s="564">
        <v>40015</v>
      </c>
      <c r="I3073" s="563">
        <v>64.349999999999994</v>
      </c>
      <c r="J3073" s="563">
        <v>-64.349999999999994</v>
      </c>
      <c r="K3073" s="582">
        <f t="shared" si="141"/>
        <v>0</v>
      </c>
      <c r="L3073" s="563">
        <f t="shared" si="142"/>
        <v>0</v>
      </c>
      <c r="M3073" s="563">
        <f t="shared" si="143"/>
        <v>70.784999999999997</v>
      </c>
      <c r="N3073" s="580"/>
    </row>
    <row r="3074" spans="4:14" x14ac:dyDescent="0.25">
      <c r="D3074" s="559" t="s">
        <v>867</v>
      </c>
      <c r="E3074" s="558" t="s">
        <v>4594</v>
      </c>
      <c r="F3074" s="559">
        <v>500773</v>
      </c>
      <c r="G3074" s="558" t="s">
        <v>4591</v>
      </c>
      <c r="H3074" s="564">
        <v>40015</v>
      </c>
      <c r="I3074" s="563">
        <v>64.349999999999994</v>
      </c>
      <c r="J3074" s="563">
        <v>-64.349999999999994</v>
      </c>
      <c r="K3074" s="582">
        <f t="shared" si="141"/>
        <v>0</v>
      </c>
      <c r="L3074" s="563">
        <f t="shared" si="142"/>
        <v>0</v>
      </c>
      <c r="M3074" s="563">
        <f t="shared" si="143"/>
        <v>70.784999999999997</v>
      </c>
      <c r="N3074" s="580"/>
    </row>
    <row r="3075" spans="4:14" x14ac:dyDescent="0.25">
      <c r="D3075" s="559" t="s">
        <v>867</v>
      </c>
      <c r="E3075" s="558" t="s">
        <v>4595</v>
      </c>
      <c r="F3075" s="559">
        <v>500774</v>
      </c>
      <c r="G3075" s="558" t="s">
        <v>4591</v>
      </c>
      <c r="H3075" s="564">
        <v>40015</v>
      </c>
      <c r="I3075" s="563">
        <v>64.349999999999994</v>
      </c>
      <c r="J3075" s="563">
        <v>-64.349999999999994</v>
      </c>
      <c r="K3075" s="582">
        <f t="shared" si="141"/>
        <v>0</v>
      </c>
      <c r="L3075" s="563">
        <f t="shared" si="142"/>
        <v>0</v>
      </c>
      <c r="M3075" s="563">
        <f t="shared" si="143"/>
        <v>70.784999999999997</v>
      </c>
      <c r="N3075" s="580"/>
    </row>
    <row r="3076" spans="4:14" x14ac:dyDescent="0.25">
      <c r="D3076" s="559" t="s">
        <v>867</v>
      </c>
      <c r="E3076" s="558" t="s">
        <v>4596</v>
      </c>
      <c r="F3076" s="559">
        <v>500775</v>
      </c>
      <c r="G3076" s="558" t="s">
        <v>4597</v>
      </c>
      <c r="H3076" s="564">
        <v>40015</v>
      </c>
      <c r="I3076" s="563">
        <v>688.35</v>
      </c>
      <c r="J3076" s="563">
        <v>-585</v>
      </c>
      <c r="K3076" s="582">
        <f t="shared" si="141"/>
        <v>103.35000000000002</v>
      </c>
      <c r="L3076" s="563">
        <f t="shared" si="142"/>
        <v>113.68500000000003</v>
      </c>
      <c r="M3076" s="563">
        <f t="shared" si="143"/>
        <v>757.18500000000006</v>
      </c>
      <c r="N3076" s="580"/>
    </row>
    <row r="3077" spans="4:14" x14ac:dyDescent="0.25">
      <c r="D3077" s="559" t="s">
        <v>867</v>
      </c>
      <c r="E3077" s="558" t="s">
        <v>4598</v>
      </c>
      <c r="F3077" s="559">
        <v>500776</v>
      </c>
      <c r="G3077" s="558" t="s">
        <v>4597</v>
      </c>
      <c r="H3077" s="564">
        <v>40015</v>
      </c>
      <c r="I3077" s="563">
        <v>64.349999999999994</v>
      </c>
      <c r="J3077" s="563">
        <v>-64.349999999999994</v>
      </c>
      <c r="K3077" s="582">
        <f t="shared" si="141"/>
        <v>0</v>
      </c>
      <c r="L3077" s="563">
        <f t="shared" si="142"/>
        <v>0</v>
      </c>
      <c r="M3077" s="563">
        <f t="shared" si="143"/>
        <v>70.784999999999997</v>
      </c>
      <c r="N3077" s="580"/>
    </row>
    <row r="3078" spans="4:14" x14ac:dyDescent="0.25">
      <c r="D3078" s="559" t="s">
        <v>867</v>
      </c>
      <c r="E3078" s="558" t="s">
        <v>4599</v>
      </c>
      <c r="F3078" s="559">
        <v>500777</v>
      </c>
      <c r="G3078" s="558" t="s">
        <v>4597</v>
      </c>
      <c r="H3078" s="564">
        <v>40015</v>
      </c>
      <c r="I3078" s="563">
        <v>64.349999999999994</v>
      </c>
      <c r="J3078" s="563">
        <v>-64.349999999999994</v>
      </c>
      <c r="K3078" s="582">
        <f t="shared" si="141"/>
        <v>0</v>
      </c>
      <c r="L3078" s="563">
        <f t="shared" si="142"/>
        <v>0</v>
      </c>
      <c r="M3078" s="563">
        <f t="shared" si="143"/>
        <v>70.784999999999997</v>
      </c>
      <c r="N3078" s="580"/>
    </row>
    <row r="3079" spans="4:14" x14ac:dyDescent="0.25">
      <c r="D3079" s="559" t="s">
        <v>867</v>
      </c>
      <c r="E3079" s="558" t="s">
        <v>4600</v>
      </c>
      <c r="F3079" s="559">
        <v>500778</v>
      </c>
      <c r="G3079" s="558" t="s">
        <v>4597</v>
      </c>
      <c r="H3079" s="564">
        <v>40015</v>
      </c>
      <c r="I3079" s="563">
        <v>64.349999999999994</v>
      </c>
      <c r="J3079" s="563">
        <v>-64.349999999999994</v>
      </c>
      <c r="K3079" s="582">
        <f t="shared" si="141"/>
        <v>0</v>
      </c>
      <c r="L3079" s="563">
        <f t="shared" si="142"/>
        <v>0</v>
      </c>
      <c r="M3079" s="563">
        <f t="shared" si="143"/>
        <v>70.784999999999997</v>
      </c>
      <c r="N3079" s="580"/>
    </row>
    <row r="3080" spans="4:14" x14ac:dyDescent="0.25">
      <c r="D3080" s="559" t="s">
        <v>867</v>
      </c>
      <c r="E3080" s="558" t="s">
        <v>4601</v>
      </c>
      <c r="F3080" s="559">
        <v>500779</v>
      </c>
      <c r="G3080" s="558" t="s">
        <v>4597</v>
      </c>
      <c r="H3080" s="564">
        <v>40015</v>
      </c>
      <c r="I3080" s="563">
        <v>64.349999999999994</v>
      </c>
      <c r="J3080" s="563">
        <v>-64.349999999999994</v>
      </c>
      <c r="K3080" s="582">
        <f t="shared" si="141"/>
        <v>0</v>
      </c>
      <c r="L3080" s="563">
        <f t="shared" si="142"/>
        <v>0</v>
      </c>
      <c r="M3080" s="563">
        <f t="shared" si="143"/>
        <v>70.784999999999997</v>
      </c>
      <c r="N3080" s="580"/>
    </row>
    <row r="3081" spans="4:14" x14ac:dyDescent="0.25">
      <c r="D3081" s="559" t="s">
        <v>867</v>
      </c>
      <c r="E3081" s="558" t="s">
        <v>4602</v>
      </c>
      <c r="F3081" s="559">
        <v>500780</v>
      </c>
      <c r="G3081" s="558" t="s">
        <v>4603</v>
      </c>
      <c r="H3081" s="564">
        <v>40015</v>
      </c>
      <c r="I3081" s="563">
        <v>25.35</v>
      </c>
      <c r="J3081" s="563">
        <v>-25.35</v>
      </c>
      <c r="K3081" s="582">
        <f t="shared" si="141"/>
        <v>0</v>
      </c>
      <c r="L3081" s="563">
        <f t="shared" si="142"/>
        <v>0</v>
      </c>
      <c r="M3081" s="563">
        <f t="shared" si="143"/>
        <v>27.885000000000005</v>
      </c>
      <c r="N3081" s="580"/>
    </row>
    <row r="3082" spans="4:14" x14ac:dyDescent="0.25">
      <c r="D3082" s="559" t="s">
        <v>867</v>
      </c>
      <c r="E3082" s="558" t="s">
        <v>4604</v>
      </c>
      <c r="F3082" s="559">
        <v>500781</v>
      </c>
      <c r="G3082" s="558" t="s">
        <v>4603</v>
      </c>
      <c r="H3082" s="564">
        <v>40015</v>
      </c>
      <c r="I3082" s="563">
        <v>688.35</v>
      </c>
      <c r="J3082" s="563">
        <v>-585</v>
      </c>
      <c r="K3082" s="582">
        <f t="shared" si="141"/>
        <v>103.35000000000002</v>
      </c>
      <c r="L3082" s="563">
        <f t="shared" si="142"/>
        <v>113.68500000000003</v>
      </c>
      <c r="M3082" s="563">
        <f t="shared" si="143"/>
        <v>757.18500000000006</v>
      </c>
      <c r="N3082" s="580"/>
    </row>
    <row r="3083" spans="4:14" x14ac:dyDescent="0.25">
      <c r="D3083" s="559" t="s">
        <v>867</v>
      </c>
      <c r="E3083" s="558" t="s">
        <v>4605</v>
      </c>
      <c r="F3083" s="559">
        <v>500782</v>
      </c>
      <c r="G3083" s="558" t="s">
        <v>4603</v>
      </c>
      <c r="H3083" s="564">
        <v>40015</v>
      </c>
      <c r="I3083" s="563">
        <v>64.349999999999994</v>
      </c>
      <c r="J3083" s="563">
        <v>-64.349999999999994</v>
      </c>
      <c r="K3083" s="582">
        <f t="shared" si="141"/>
        <v>0</v>
      </c>
      <c r="L3083" s="563">
        <f t="shared" si="142"/>
        <v>0</v>
      </c>
      <c r="M3083" s="563">
        <f t="shared" si="143"/>
        <v>70.784999999999997</v>
      </c>
      <c r="N3083" s="580"/>
    </row>
    <row r="3084" spans="4:14" x14ac:dyDescent="0.25">
      <c r="D3084" s="559" t="s">
        <v>867</v>
      </c>
      <c r="E3084" s="558" t="s">
        <v>4606</v>
      </c>
      <c r="F3084" s="559">
        <v>500783</v>
      </c>
      <c r="G3084" s="558" t="s">
        <v>4603</v>
      </c>
      <c r="H3084" s="564">
        <v>40015</v>
      </c>
      <c r="I3084" s="563">
        <v>64.349999999999994</v>
      </c>
      <c r="J3084" s="563">
        <v>-64.349999999999994</v>
      </c>
      <c r="K3084" s="582">
        <f t="shared" si="141"/>
        <v>0</v>
      </c>
      <c r="L3084" s="563">
        <f t="shared" si="142"/>
        <v>0</v>
      </c>
      <c r="M3084" s="563">
        <f t="shared" si="143"/>
        <v>70.784999999999997</v>
      </c>
      <c r="N3084" s="580"/>
    </row>
    <row r="3085" spans="4:14" x14ac:dyDescent="0.25">
      <c r="D3085" s="559" t="s">
        <v>867</v>
      </c>
      <c r="E3085" s="558" t="s">
        <v>4607</v>
      </c>
      <c r="F3085" s="559">
        <v>500784</v>
      </c>
      <c r="G3085" s="558" t="s">
        <v>4603</v>
      </c>
      <c r="H3085" s="564">
        <v>40015</v>
      </c>
      <c r="I3085" s="563">
        <v>688.35</v>
      </c>
      <c r="J3085" s="563">
        <v>-585</v>
      </c>
      <c r="K3085" s="582">
        <f t="shared" si="141"/>
        <v>103.35000000000002</v>
      </c>
      <c r="L3085" s="563">
        <f t="shared" si="142"/>
        <v>113.68500000000003</v>
      </c>
      <c r="M3085" s="563">
        <f t="shared" si="143"/>
        <v>757.18500000000006</v>
      </c>
      <c r="N3085" s="580"/>
    </row>
    <row r="3086" spans="4:14" x14ac:dyDescent="0.25">
      <c r="D3086" s="559" t="s">
        <v>867</v>
      </c>
      <c r="E3086" s="558" t="s">
        <v>4608</v>
      </c>
      <c r="F3086" s="559">
        <v>500785</v>
      </c>
      <c r="G3086" s="558" t="s">
        <v>4609</v>
      </c>
      <c r="H3086" s="564">
        <v>40015</v>
      </c>
      <c r="I3086" s="563">
        <v>25.35</v>
      </c>
      <c r="J3086" s="563">
        <v>-25.35</v>
      </c>
      <c r="K3086" s="582">
        <f t="shared" si="141"/>
        <v>0</v>
      </c>
      <c r="L3086" s="563">
        <f t="shared" si="142"/>
        <v>0</v>
      </c>
      <c r="M3086" s="563">
        <f t="shared" si="143"/>
        <v>27.885000000000005</v>
      </c>
      <c r="N3086" s="580"/>
    </row>
    <row r="3087" spans="4:14" x14ac:dyDescent="0.25">
      <c r="D3087" s="559" t="s">
        <v>867</v>
      </c>
      <c r="E3087" s="558" t="s">
        <v>4610</v>
      </c>
      <c r="F3087" s="559">
        <v>500786</v>
      </c>
      <c r="G3087" s="558" t="s">
        <v>4609</v>
      </c>
      <c r="H3087" s="564">
        <v>40015</v>
      </c>
      <c r="I3087" s="563">
        <v>688.35</v>
      </c>
      <c r="J3087" s="563">
        <v>-585</v>
      </c>
      <c r="K3087" s="582">
        <f t="shared" si="141"/>
        <v>103.35000000000002</v>
      </c>
      <c r="L3087" s="563">
        <f t="shared" si="142"/>
        <v>113.68500000000003</v>
      </c>
      <c r="M3087" s="563">
        <f t="shared" si="143"/>
        <v>757.18500000000006</v>
      </c>
      <c r="N3087" s="580"/>
    </row>
    <row r="3088" spans="4:14" x14ac:dyDescent="0.25">
      <c r="D3088" s="559" t="s">
        <v>867</v>
      </c>
      <c r="E3088" s="558" t="s">
        <v>4611</v>
      </c>
      <c r="F3088" s="559">
        <v>500787</v>
      </c>
      <c r="G3088" s="558" t="s">
        <v>4609</v>
      </c>
      <c r="H3088" s="564">
        <v>40015</v>
      </c>
      <c r="I3088" s="563">
        <v>64.349999999999994</v>
      </c>
      <c r="J3088" s="563">
        <v>-64.349999999999994</v>
      </c>
      <c r="K3088" s="582">
        <f t="shared" si="141"/>
        <v>0</v>
      </c>
      <c r="L3088" s="563">
        <f t="shared" si="142"/>
        <v>0</v>
      </c>
      <c r="M3088" s="563">
        <f t="shared" si="143"/>
        <v>70.784999999999997</v>
      </c>
      <c r="N3088" s="580"/>
    </row>
    <row r="3089" spans="4:14" x14ac:dyDescent="0.25">
      <c r="D3089" s="559" t="s">
        <v>867</v>
      </c>
      <c r="E3089" s="558" t="s">
        <v>4612</v>
      </c>
      <c r="F3089" s="559">
        <v>500788</v>
      </c>
      <c r="G3089" s="558" t="s">
        <v>4609</v>
      </c>
      <c r="H3089" s="564">
        <v>40015</v>
      </c>
      <c r="I3089" s="563">
        <v>64.349999999999994</v>
      </c>
      <c r="J3089" s="563">
        <v>-64.349999999999994</v>
      </c>
      <c r="K3089" s="582">
        <f t="shared" si="141"/>
        <v>0</v>
      </c>
      <c r="L3089" s="563">
        <f t="shared" si="142"/>
        <v>0</v>
      </c>
      <c r="M3089" s="563">
        <f t="shared" si="143"/>
        <v>70.784999999999997</v>
      </c>
      <c r="N3089" s="580"/>
    </row>
    <row r="3090" spans="4:14" x14ac:dyDescent="0.25">
      <c r="D3090" s="559" t="s">
        <v>867</v>
      </c>
      <c r="E3090" s="558" t="s">
        <v>4613</v>
      </c>
      <c r="F3090" s="559">
        <v>500789</v>
      </c>
      <c r="G3090" s="558" t="s">
        <v>4609</v>
      </c>
      <c r="H3090" s="564">
        <v>40015</v>
      </c>
      <c r="I3090" s="563">
        <v>64.349999999999994</v>
      </c>
      <c r="J3090" s="563">
        <v>-64.349999999999994</v>
      </c>
      <c r="K3090" s="582">
        <f t="shared" si="141"/>
        <v>0</v>
      </c>
      <c r="L3090" s="563">
        <f t="shared" si="142"/>
        <v>0</v>
      </c>
      <c r="M3090" s="563">
        <f t="shared" si="143"/>
        <v>70.784999999999997</v>
      </c>
      <c r="N3090" s="580"/>
    </row>
    <row r="3091" spans="4:14" x14ac:dyDescent="0.25">
      <c r="D3091" s="559" t="s">
        <v>867</v>
      </c>
      <c r="E3091" s="558" t="s">
        <v>4614</v>
      </c>
      <c r="F3091" s="559">
        <v>500790</v>
      </c>
      <c r="G3091" s="558" t="s">
        <v>4615</v>
      </c>
      <c r="H3091" s="564">
        <v>40015</v>
      </c>
      <c r="I3091" s="563">
        <v>688.35</v>
      </c>
      <c r="J3091" s="563">
        <v>-585</v>
      </c>
      <c r="K3091" s="582">
        <f t="shared" si="141"/>
        <v>103.35000000000002</v>
      </c>
      <c r="L3091" s="563">
        <f t="shared" si="142"/>
        <v>113.68500000000003</v>
      </c>
      <c r="M3091" s="563">
        <f t="shared" si="143"/>
        <v>757.18500000000006</v>
      </c>
      <c r="N3091" s="580"/>
    </row>
    <row r="3092" spans="4:14" x14ac:dyDescent="0.25">
      <c r="D3092" s="559" t="s">
        <v>867</v>
      </c>
      <c r="E3092" s="558" t="s">
        <v>4616</v>
      </c>
      <c r="F3092" s="559">
        <v>500791</v>
      </c>
      <c r="G3092" s="558" t="s">
        <v>4615</v>
      </c>
      <c r="H3092" s="564">
        <v>40015</v>
      </c>
      <c r="I3092" s="563">
        <v>688.35</v>
      </c>
      <c r="J3092" s="563">
        <v>-585</v>
      </c>
      <c r="K3092" s="582">
        <f t="shared" si="141"/>
        <v>103.35000000000002</v>
      </c>
      <c r="L3092" s="563">
        <f t="shared" si="142"/>
        <v>113.68500000000003</v>
      </c>
      <c r="M3092" s="563">
        <f t="shared" si="143"/>
        <v>757.18500000000006</v>
      </c>
      <c r="N3092" s="580"/>
    </row>
    <row r="3093" spans="4:14" x14ac:dyDescent="0.25">
      <c r="D3093" s="559" t="s">
        <v>867</v>
      </c>
      <c r="E3093" s="558" t="s">
        <v>4617</v>
      </c>
      <c r="F3093" s="559">
        <v>500792</v>
      </c>
      <c r="G3093" s="558" t="s">
        <v>4615</v>
      </c>
      <c r="H3093" s="564">
        <v>40015</v>
      </c>
      <c r="I3093" s="563">
        <v>688.35</v>
      </c>
      <c r="J3093" s="563">
        <v>-585</v>
      </c>
      <c r="K3093" s="582">
        <f t="shared" si="141"/>
        <v>103.35000000000002</v>
      </c>
      <c r="L3093" s="563">
        <f t="shared" si="142"/>
        <v>113.68500000000003</v>
      </c>
      <c r="M3093" s="563">
        <f t="shared" si="143"/>
        <v>757.18500000000006</v>
      </c>
      <c r="N3093" s="580"/>
    </row>
    <row r="3094" spans="4:14" x14ac:dyDescent="0.25">
      <c r="D3094" s="559" t="s">
        <v>867</v>
      </c>
      <c r="E3094" s="558" t="s">
        <v>4618</v>
      </c>
      <c r="F3094" s="559">
        <v>500793</v>
      </c>
      <c r="G3094" s="558" t="s">
        <v>4615</v>
      </c>
      <c r="H3094" s="564">
        <v>40015</v>
      </c>
      <c r="I3094" s="563">
        <v>64.349999999999994</v>
      </c>
      <c r="J3094" s="563">
        <v>-64.349999999999994</v>
      </c>
      <c r="K3094" s="582">
        <f t="shared" si="141"/>
        <v>0</v>
      </c>
      <c r="L3094" s="563">
        <f t="shared" si="142"/>
        <v>0</v>
      </c>
      <c r="M3094" s="563">
        <f t="shared" si="143"/>
        <v>70.784999999999997</v>
      </c>
      <c r="N3094" s="580"/>
    </row>
    <row r="3095" spans="4:14" x14ac:dyDescent="0.25">
      <c r="D3095" s="559" t="s">
        <v>867</v>
      </c>
      <c r="E3095" s="558" t="s">
        <v>4619</v>
      </c>
      <c r="F3095" s="559">
        <v>500794</v>
      </c>
      <c r="G3095" s="558" t="s">
        <v>4615</v>
      </c>
      <c r="H3095" s="564">
        <v>40015</v>
      </c>
      <c r="I3095" s="563">
        <v>64.349999999999994</v>
      </c>
      <c r="J3095" s="563">
        <v>-64.349999999999994</v>
      </c>
      <c r="K3095" s="582">
        <f t="shared" si="141"/>
        <v>0</v>
      </c>
      <c r="L3095" s="563">
        <f t="shared" si="142"/>
        <v>0</v>
      </c>
      <c r="M3095" s="563">
        <f t="shared" si="143"/>
        <v>70.784999999999997</v>
      </c>
      <c r="N3095" s="580"/>
    </row>
    <row r="3096" spans="4:14" x14ac:dyDescent="0.25">
      <c r="D3096" s="559" t="s">
        <v>867</v>
      </c>
      <c r="E3096" s="558" t="s">
        <v>4620</v>
      </c>
      <c r="F3096" s="559">
        <v>500795</v>
      </c>
      <c r="G3096" s="558" t="s">
        <v>4621</v>
      </c>
      <c r="H3096" s="564">
        <v>40015</v>
      </c>
      <c r="I3096" s="563">
        <v>25.35</v>
      </c>
      <c r="J3096" s="563">
        <v>-25.35</v>
      </c>
      <c r="K3096" s="582">
        <f t="shared" si="141"/>
        <v>0</v>
      </c>
      <c r="L3096" s="563">
        <f t="shared" si="142"/>
        <v>0</v>
      </c>
      <c r="M3096" s="563">
        <f t="shared" si="143"/>
        <v>27.885000000000005</v>
      </c>
      <c r="N3096" s="580"/>
    </row>
    <row r="3097" spans="4:14" x14ac:dyDescent="0.25">
      <c r="D3097" s="559" t="s">
        <v>867</v>
      </c>
      <c r="E3097" s="558" t="s">
        <v>4622</v>
      </c>
      <c r="F3097" s="559">
        <v>500796</v>
      </c>
      <c r="G3097" s="558" t="s">
        <v>4621</v>
      </c>
      <c r="H3097" s="564">
        <v>40015</v>
      </c>
      <c r="I3097" s="563">
        <v>64.349999999999994</v>
      </c>
      <c r="J3097" s="563">
        <v>-64.349999999999994</v>
      </c>
      <c r="K3097" s="582">
        <f t="shared" si="141"/>
        <v>0</v>
      </c>
      <c r="L3097" s="563">
        <f t="shared" si="142"/>
        <v>0</v>
      </c>
      <c r="M3097" s="563">
        <f t="shared" si="143"/>
        <v>70.784999999999997</v>
      </c>
      <c r="N3097" s="580"/>
    </row>
    <row r="3098" spans="4:14" x14ac:dyDescent="0.25">
      <c r="D3098" s="559" t="s">
        <v>867</v>
      </c>
      <c r="E3098" s="558" t="s">
        <v>4623</v>
      </c>
      <c r="F3098" s="559">
        <v>500797</v>
      </c>
      <c r="G3098" s="558" t="s">
        <v>4621</v>
      </c>
      <c r="H3098" s="564">
        <v>40015</v>
      </c>
      <c r="I3098" s="563">
        <v>64.349999999999994</v>
      </c>
      <c r="J3098" s="563">
        <v>-64.349999999999994</v>
      </c>
      <c r="K3098" s="582">
        <f t="shared" si="141"/>
        <v>0</v>
      </c>
      <c r="L3098" s="563">
        <f t="shared" si="142"/>
        <v>0</v>
      </c>
      <c r="M3098" s="563">
        <f t="shared" si="143"/>
        <v>70.784999999999997</v>
      </c>
      <c r="N3098" s="580"/>
    </row>
    <row r="3099" spans="4:14" x14ac:dyDescent="0.25">
      <c r="D3099" s="559" t="s">
        <v>867</v>
      </c>
      <c r="E3099" s="558" t="s">
        <v>4624</v>
      </c>
      <c r="F3099" s="559">
        <v>500798</v>
      </c>
      <c r="G3099" s="558" t="s">
        <v>4621</v>
      </c>
      <c r="H3099" s="564">
        <v>40015</v>
      </c>
      <c r="I3099" s="563">
        <v>64.349999999999994</v>
      </c>
      <c r="J3099" s="563">
        <v>-64.349999999999994</v>
      </c>
      <c r="K3099" s="582">
        <f t="shared" si="141"/>
        <v>0</v>
      </c>
      <c r="L3099" s="563">
        <f t="shared" si="142"/>
        <v>0</v>
      </c>
      <c r="M3099" s="563">
        <f t="shared" si="143"/>
        <v>70.784999999999997</v>
      </c>
      <c r="N3099" s="580"/>
    </row>
    <row r="3100" spans="4:14" x14ac:dyDescent="0.25">
      <c r="D3100" s="559" t="s">
        <v>867</v>
      </c>
      <c r="E3100" s="558" t="s">
        <v>4625</v>
      </c>
      <c r="F3100" s="559">
        <v>500799</v>
      </c>
      <c r="G3100" s="558" t="s">
        <v>4621</v>
      </c>
      <c r="H3100" s="564">
        <v>40015</v>
      </c>
      <c r="I3100" s="563">
        <v>64.349999999999994</v>
      </c>
      <c r="J3100" s="563">
        <v>-64.349999999999994</v>
      </c>
      <c r="K3100" s="582">
        <f t="shared" si="141"/>
        <v>0</v>
      </c>
      <c r="L3100" s="563">
        <f t="shared" si="142"/>
        <v>0</v>
      </c>
      <c r="M3100" s="563">
        <f t="shared" si="143"/>
        <v>70.784999999999997</v>
      </c>
      <c r="N3100" s="580"/>
    </row>
    <row r="3101" spans="4:14" x14ac:dyDescent="0.25">
      <c r="D3101" s="559" t="s">
        <v>867</v>
      </c>
      <c r="E3101" s="558" t="s">
        <v>4626</v>
      </c>
      <c r="F3101" s="559">
        <v>500800</v>
      </c>
      <c r="G3101" s="558" t="s">
        <v>4627</v>
      </c>
      <c r="H3101" s="564">
        <v>40015</v>
      </c>
      <c r="I3101" s="563">
        <v>688.35</v>
      </c>
      <c r="J3101" s="563">
        <v>-585</v>
      </c>
      <c r="K3101" s="582">
        <f t="shared" si="141"/>
        <v>103.35000000000002</v>
      </c>
      <c r="L3101" s="563">
        <f t="shared" si="142"/>
        <v>113.68500000000003</v>
      </c>
      <c r="M3101" s="563">
        <f t="shared" si="143"/>
        <v>757.18500000000006</v>
      </c>
      <c r="N3101" s="580"/>
    </row>
    <row r="3102" spans="4:14" x14ac:dyDescent="0.25">
      <c r="D3102" s="559" t="s">
        <v>867</v>
      </c>
      <c r="E3102" s="558" t="s">
        <v>4628</v>
      </c>
      <c r="F3102" s="559">
        <v>500801</v>
      </c>
      <c r="G3102" s="558" t="s">
        <v>4627</v>
      </c>
      <c r="H3102" s="564">
        <v>40015</v>
      </c>
      <c r="I3102" s="563">
        <v>688.35</v>
      </c>
      <c r="J3102" s="563">
        <v>-585</v>
      </c>
      <c r="K3102" s="582">
        <f t="shared" si="141"/>
        <v>103.35000000000002</v>
      </c>
      <c r="L3102" s="563">
        <f t="shared" si="142"/>
        <v>113.68500000000003</v>
      </c>
      <c r="M3102" s="563">
        <f t="shared" si="143"/>
        <v>757.18500000000006</v>
      </c>
      <c r="N3102" s="580"/>
    </row>
    <row r="3103" spans="4:14" x14ac:dyDescent="0.25">
      <c r="D3103" s="559" t="s">
        <v>867</v>
      </c>
      <c r="E3103" s="558" t="s">
        <v>4629</v>
      </c>
      <c r="F3103" s="559">
        <v>500802</v>
      </c>
      <c r="G3103" s="558" t="s">
        <v>4627</v>
      </c>
      <c r="H3103" s="564">
        <v>40015</v>
      </c>
      <c r="I3103" s="563">
        <v>688.35</v>
      </c>
      <c r="J3103" s="563">
        <v>-585</v>
      </c>
      <c r="K3103" s="582">
        <f t="shared" si="141"/>
        <v>103.35000000000002</v>
      </c>
      <c r="L3103" s="563">
        <f t="shared" si="142"/>
        <v>113.68500000000003</v>
      </c>
      <c r="M3103" s="563">
        <f t="shared" si="143"/>
        <v>757.18500000000006</v>
      </c>
      <c r="N3103" s="580"/>
    </row>
    <row r="3104" spans="4:14" x14ac:dyDescent="0.25">
      <c r="D3104" s="559" t="s">
        <v>867</v>
      </c>
      <c r="E3104" s="558" t="s">
        <v>4630</v>
      </c>
      <c r="F3104" s="559">
        <v>500803</v>
      </c>
      <c r="G3104" s="558" t="s">
        <v>4627</v>
      </c>
      <c r="H3104" s="564">
        <v>40015</v>
      </c>
      <c r="I3104" s="563">
        <v>64.349999999999994</v>
      </c>
      <c r="J3104" s="563">
        <v>-64.349999999999994</v>
      </c>
      <c r="K3104" s="582">
        <f t="shared" si="141"/>
        <v>0</v>
      </c>
      <c r="L3104" s="563">
        <f t="shared" si="142"/>
        <v>0</v>
      </c>
      <c r="M3104" s="563">
        <f t="shared" si="143"/>
        <v>70.784999999999997</v>
      </c>
      <c r="N3104" s="580"/>
    </row>
    <row r="3105" spans="4:14" x14ac:dyDescent="0.25">
      <c r="D3105" s="559" t="s">
        <v>867</v>
      </c>
      <c r="E3105" s="558" t="s">
        <v>4631</v>
      </c>
      <c r="F3105" s="559">
        <v>500804</v>
      </c>
      <c r="G3105" s="558" t="s">
        <v>4627</v>
      </c>
      <c r="H3105" s="564">
        <v>40015</v>
      </c>
      <c r="I3105" s="563">
        <v>64.349999999999994</v>
      </c>
      <c r="J3105" s="563">
        <v>-64.349999999999994</v>
      </c>
      <c r="K3105" s="582">
        <f t="shared" si="141"/>
        <v>0</v>
      </c>
      <c r="L3105" s="563">
        <f t="shared" si="142"/>
        <v>0</v>
      </c>
      <c r="M3105" s="563">
        <f t="shared" si="143"/>
        <v>70.784999999999997</v>
      </c>
      <c r="N3105" s="580"/>
    </row>
    <row r="3106" spans="4:14" x14ac:dyDescent="0.25">
      <c r="D3106" s="559" t="s">
        <v>867</v>
      </c>
      <c r="E3106" s="558" t="s">
        <v>4632</v>
      </c>
      <c r="F3106" s="559">
        <v>500805</v>
      </c>
      <c r="G3106" s="558" t="s">
        <v>4633</v>
      </c>
      <c r="H3106" s="564">
        <v>40015</v>
      </c>
      <c r="I3106" s="563">
        <v>64.349999999999994</v>
      </c>
      <c r="J3106" s="563">
        <v>-64.349999999999994</v>
      </c>
      <c r="K3106" s="582">
        <f t="shared" si="141"/>
        <v>0</v>
      </c>
      <c r="L3106" s="563">
        <f t="shared" si="142"/>
        <v>0</v>
      </c>
      <c r="M3106" s="563">
        <f t="shared" si="143"/>
        <v>70.784999999999997</v>
      </c>
      <c r="N3106" s="580"/>
    </row>
    <row r="3107" spans="4:14" x14ac:dyDescent="0.25">
      <c r="D3107" s="559" t="s">
        <v>867</v>
      </c>
      <c r="E3107" s="558" t="s">
        <v>4634</v>
      </c>
      <c r="F3107" s="559">
        <v>500806</v>
      </c>
      <c r="G3107" s="558" t="s">
        <v>4633</v>
      </c>
      <c r="H3107" s="564">
        <v>40015</v>
      </c>
      <c r="I3107" s="563">
        <v>64.349999999999994</v>
      </c>
      <c r="J3107" s="563">
        <v>-64.349999999999994</v>
      </c>
      <c r="K3107" s="582">
        <f t="shared" si="141"/>
        <v>0</v>
      </c>
      <c r="L3107" s="563">
        <f t="shared" si="142"/>
        <v>0</v>
      </c>
      <c r="M3107" s="563">
        <f t="shared" si="143"/>
        <v>70.784999999999997</v>
      </c>
      <c r="N3107" s="580"/>
    </row>
    <row r="3108" spans="4:14" x14ac:dyDescent="0.25">
      <c r="D3108" s="559" t="s">
        <v>867</v>
      </c>
      <c r="E3108" s="558" t="s">
        <v>4635</v>
      </c>
      <c r="F3108" s="559">
        <v>500807</v>
      </c>
      <c r="G3108" s="558" t="s">
        <v>4633</v>
      </c>
      <c r="H3108" s="564">
        <v>40015</v>
      </c>
      <c r="I3108" s="563">
        <v>688.35</v>
      </c>
      <c r="J3108" s="563">
        <v>-585</v>
      </c>
      <c r="K3108" s="582">
        <f t="shared" si="141"/>
        <v>103.35000000000002</v>
      </c>
      <c r="L3108" s="563">
        <f t="shared" si="142"/>
        <v>113.68500000000003</v>
      </c>
      <c r="M3108" s="563">
        <f t="shared" si="143"/>
        <v>757.18500000000006</v>
      </c>
      <c r="N3108" s="580"/>
    </row>
    <row r="3109" spans="4:14" x14ac:dyDescent="0.25">
      <c r="D3109" s="559" t="s">
        <v>867</v>
      </c>
      <c r="E3109" s="558" t="s">
        <v>4636</v>
      </c>
      <c r="F3109" s="559">
        <v>500808</v>
      </c>
      <c r="G3109" s="558" t="s">
        <v>4633</v>
      </c>
      <c r="H3109" s="564">
        <v>40015</v>
      </c>
      <c r="I3109" s="563">
        <v>688.35</v>
      </c>
      <c r="J3109" s="563">
        <v>-585</v>
      </c>
      <c r="K3109" s="582">
        <f t="shared" si="141"/>
        <v>103.35000000000002</v>
      </c>
      <c r="L3109" s="563">
        <f t="shared" si="142"/>
        <v>113.68500000000003</v>
      </c>
      <c r="M3109" s="563">
        <f t="shared" si="143"/>
        <v>757.18500000000006</v>
      </c>
      <c r="N3109" s="580"/>
    </row>
    <row r="3110" spans="4:14" x14ac:dyDescent="0.25">
      <c r="D3110" s="559" t="s">
        <v>867</v>
      </c>
      <c r="E3110" s="558" t="s">
        <v>4637</v>
      </c>
      <c r="F3110" s="559">
        <v>500809</v>
      </c>
      <c r="G3110" s="558" t="s">
        <v>4633</v>
      </c>
      <c r="H3110" s="564">
        <v>40015</v>
      </c>
      <c r="I3110" s="563">
        <v>688.35</v>
      </c>
      <c r="J3110" s="563">
        <v>-585</v>
      </c>
      <c r="K3110" s="582">
        <f t="shared" si="141"/>
        <v>103.35000000000002</v>
      </c>
      <c r="L3110" s="563">
        <f t="shared" si="142"/>
        <v>113.68500000000003</v>
      </c>
      <c r="M3110" s="563">
        <f t="shared" si="143"/>
        <v>757.18500000000006</v>
      </c>
      <c r="N3110" s="580"/>
    </row>
    <row r="3111" spans="4:14" x14ac:dyDescent="0.25">
      <c r="D3111" s="559" t="s">
        <v>867</v>
      </c>
      <c r="E3111" s="558" t="s">
        <v>4638</v>
      </c>
      <c r="F3111" s="559">
        <v>500810</v>
      </c>
      <c r="G3111" s="558" t="s">
        <v>4639</v>
      </c>
      <c r="H3111" s="564">
        <v>40015</v>
      </c>
      <c r="I3111" s="563">
        <v>688.35</v>
      </c>
      <c r="J3111" s="563">
        <v>-585</v>
      </c>
      <c r="K3111" s="582">
        <f t="shared" si="141"/>
        <v>103.35000000000002</v>
      </c>
      <c r="L3111" s="563">
        <f t="shared" si="142"/>
        <v>113.68500000000003</v>
      </c>
      <c r="M3111" s="563">
        <f t="shared" si="143"/>
        <v>757.18500000000006</v>
      </c>
      <c r="N3111" s="580"/>
    </row>
    <row r="3112" spans="4:14" x14ac:dyDescent="0.25">
      <c r="D3112" s="559" t="s">
        <v>867</v>
      </c>
      <c r="E3112" s="558" t="s">
        <v>4640</v>
      </c>
      <c r="F3112" s="559">
        <v>500811</v>
      </c>
      <c r="G3112" s="558" t="s">
        <v>4639</v>
      </c>
      <c r="H3112" s="564">
        <v>40015</v>
      </c>
      <c r="I3112" s="563">
        <v>688.35</v>
      </c>
      <c r="J3112" s="563">
        <v>-585</v>
      </c>
      <c r="K3112" s="582">
        <f t="shared" si="141"/>
        <v>103.35000000000002</v>
      </c>
      <c r="L3112" s="563">
        <f t="shared" si="142"/>
        <v>113.68500000000003</v>
      </c>
      <c r="M3112" s="563">
        <f t="shared" si="143"/>
        <v>757.18500000000006</v>
      </c>
      <c r="N3112" s="580"/>
    </row>
    <row r="3113" spans="4:14" x14ac:dyDescent="0.25">
      <c r="D3113" s="559" t="s">
        <v>867</v>
      </c>
      <c r="E3113" s="558" t="s">
        <v>4641</v>
      </c>
      <c r="F3113" s="559">
        <v>500812</v>
      </c>
      <c r="G3113" s="558" t="s">
        <v>4639</v>
      </c>
      <c r="H3113" s="564">
        <v>40015</v>
      </c>
      <c r="I3113" s="563">
        <v>64.349999999999994</v>
      </c>
      <c r="J3113" s="563">
        <v>-64.349999999999994</v>
      </c>
      <c r="K3113" s="582">
        <f t="shared" ref="K3113:K3176" si="144">+I3113+J3113</f>
        <v>0</v>
      </c>
      <c r="L3113" s="563">
        <f t="shared" ref="L3113:L3176" si="145">+K3113*1.1</f>
        <v>0</v>
      </c>
      <c r="M3113" s="563">
        <f t="shared" ref="M3113:M3176" si="146">+I3113*1.1</f>
        <v>70.784999999999997</v>
      </c>
      <c r="N3113" s="580"/>
    </row>
    <row r="3114" spans="4:14" x14ac:dyDescent="0.25">
      <c r="D3114" s="559" t="s">
        <v>867</v>
      </c>
      <c r="E3114" s="558" t="s">
        <v>4642</v>
      </c>
      <c r="F3114" s="559">
        <v>500813</v>
      </c>
      <c r="G3114" s="558" t="s">
        <v>4639</v>
      </c>
      <c r="H3114" s="564">
        <v>40015</v>
      </c>
      <c r="I3114" s="563">
        <v>64.349999999999994</v>
      </c>
      <c r="J3114" s="563">
        <v>-64.349999999999994</v>
      </c>
      <c r="K3114" s="582">
        <f t="shared" si="144"/>
        <v>0</v>
      </c>
      <c r="L3114" s="563">
        <f t="shared" si="145"/>
        <v>0</v>
      </c>
      <c r="M3114" s="563">
        <f t="shared" si="146"/>
        <v>70.784999999999997</v>
      </c>
      <c r="N3114" s="580"/>
    </row>
    <row r="3115" spans="4:14" x14ac:dyDescent="0.25">
      <c r="D3115" s="559" t="s">
        <v>867</v>
      </c>
      <c r="E3115" s="558" t="s">
        <v>4643</v>
      </c>
      <c r="F3115" s="559">
        <v>500814</v>
      </c>
      <c r="G3115" s="558" t="s">
        <v>4639</v>
      </c>
      <c r="H3115" s="564">
        <v>40015</v>
      </c>
      <c r="I3115" s="563">
        <v>688.35</v>
      </c>
      <c r="J3115" s="563">
        <v>-585</v>
      </c>
      <c r="K3115" s="582">
        <f t="shared" si="144"/>
        <v>103.35000000000002</v>
      </c>
      <c r="L3115" s="563">
        <f t="shared" si="145"/>
        <v>113.68500000000003</v>
      </c>
      <c r="M3115" s="563">
        <f t="shared" si="146"/>
        <v>757.18500000000006</v>
      </c>
      <c r="N3115" s="580"/>
    </row>
    <row r="3116" spans="4:14" x14ac:dyDescent="0.25">
      <c r="D3116" s="559" t="s">
        <v>867</v>
      </c>
      <c r="E3116" s="558" t="s">
        <v>4644</v>
      </c>
      <c r="F3116" s="559">
        <v>502181</v>
      </c>
      <c r="G3116" s="558" t="s">
        <v>4645</v>
      </c>
      <c r="H3116" s="564">
        <v>40015</v>
      </c>
      <c r="I3116" s="563">
        <v>25.35</v>
      </c>
      <c r="J3116" s="563">
        <v>-25.35</v>
      </c>
      <c r="K3116" s="582">
        <f t="shared" si="144"/>
        <v>0</v>
      </c>
      <c r="L3116" s="563">
        <f t="shared" si="145"/>
        <v>0</v>
      </c>
      <c r="M3116" s="563">
        <f t="shared" si="146"/>
        <v>27.885000000000005</v>
      </c>
      <c r="N3116" s="580"/>
    </row>
    <row r="3117" spans="4:14" x14ac:dyDescent="0.25">
      <c r="D3117" s="559" t="s">
        <v>867</v>
      </c>
      <c r="E3117" s="558" t="s">
        <v>4646</v>
      </c>
      <c r="F3117" s="559">
        <v>500816</v>
      </c>
      <c r="G3117" s="558" t="s">
        <v>4645</v>
      </c>
      <c r="H3117" s="564">
        <v>40015</v>
      </c>
      <c r="I3117" s="563">
        <v>688.35</v>
      </c>
      <c r="J3117" s="563">
        <v>-585</v>
      </c>
      <c r="K3117" s="582">
        <f t="shared" si="144"/>
        <v>103.35000000000002</v>
      </c>
      <c r="L3117" s="563">
        <f t="shared" si="145"/>
        <v>113.68500000000003</v>
      </c>
      <c r="M3117" s="563">
        <f t="shared" si="146"/>
        <v>757.18500000000006</v>
      </c>
      <c r="N3117" s="580"/>
    </row>
    <row r="3118" spans="4:14" x14ac:dyDescent="0.25">
      <c r="D3118" s="559" t="s">
        <v>867</v>
      </c>
      <c r="E3118" s="558" t="s">
        <v>4647</v>
      </c>
      <c r="F3118" s="559">
        <v>500817</v>
      </c>
      <c r="G3118" s="558" t="s">
        <v>4645</v>
      </c>
      <c r="H3118" s="564">
        <v>40015</v>
      </c>
      <c r="I3118" s="563">
        <v>688.35</v>
      </c>
      <c r="J3118" s="563">
        <v>-585</v>
      </c>
      <c r="K3118" s="582">
        <f t="shared" si="144"/>
        <v>103.35000000000002</v>
      </c>
      <c r="L3118" s="563">
        <f t="shared" si="145"/>
        <v>113.68500000000003</v>
      </c>
      <c r="M3118" s="563">
        <f t="shared" si="146"/>
        <v>757.18500000000006</v>
      </c>
      <c r="N3118" s="580"/>
    </row>
    <row r="3119" spans="4:14" x14ac:dyDescent="0.25">
      <c r="D3119" s="559" t="s">
        <v>867</v>
      </c>
      <c r="E3119" s="558" t="s">
        <v>4648</v>
      </c>
      <c r="F3119" s="559">
        <v>500818</v>
      </c>
      <c r="G3119" s="558" t="s">
        <v>4645</v>
      </c>
      <c r="H3119" s="564">
        <v>40015</v>
      </c>
      <c r="I3119" s="563">
        <v>688.35</v>
      </c>
      <c r="J3119" s="563">
        <v>-585</v>
      </c>
      <c r="K3119" s="582">
        <f t="shared" si="144"/>
        <v>103.35000000000002</v>
      </c>
      <c r="L3119" s="563">
        <f t="shared" si="145"/>
        <v>113.68500000000003</v>
      </c>
      <c r="M3119" s="563">
        <f t="shared" si="146"/>
        <v>757.18500000000006</v>
      </c>
      <c r="N3119" s="580"/>
    </row>
    <row r="3120" spans="4:14" x14ac:dyDescent="0.25">
      <c r="D3120" s="559" t="s">
        <v>867</v>
      </c>
      <c r="E3120" s="558" t="s">
        <v>4649</v>
      </c>
      <c r="F3120" s="559">
        <v>500819</v>
      </c>
      <c r="G3120" s="558" t="s">
        <v>4645</v>
      </c>
      <c r="H3120" s="564">
        <v>40015</v>
      </c>
      <c r="I3120" s="563">
        <v>64.349999999999994</v>
      </c>
      <c r="J3120" s="563">
        <v>-64.349999999999994</v>
      </c>
      <c r="K3120" s="582">
        <f t="shared" si="144"/>
        <v>0</v>
      </c>
      <c r="L3120" s="563">
        <f t="shared" si="145"/>
        <v>0</v>
      </c>
      <c r="M3120" s="563">
        <f t="shared" si="146"/>
        <v>70.784999999999997</v>
      </c>
      <c r="N3120" s="580"/>
    </row>
    <row r="3121" spans="4:14" x14ac:dyDescent="0.25">
      <c r="D3121" s="559" t="s">
        <v>867</v>
      </c>
      <c r="E3121" s="558" t="s">
        <v>4650</v>
      </c>
      <c r="F3121" s="559">
        <v>500820</v>
      </c>
      <c r="G3121" s="558" t="s">
        <v>4651</v>
      </c>
      <c r="H3121" s="564">
        <v>40015</v>
      </c>
      <c r="I3121" s="563">
        <v>64.349999999999994</v>
      </c>
      <c r="J3121" s="563">
        <v>-64.349999999999994</v>
      </c>
      <c r="K3121" s="582">
        <f t="shared" si="144"/>
        <v>0</v>
      </c>
      <c r="L3121" s="563">
        <f t="shared" si="145"/>
        <v>0</v>
      </c>
      <c r="M3121" s="563">
        <f t="shared" si="146"/>
        <v>70.784999999999997</v>
      </c>
      <c r="N3121" s="580"/>
    </row>
    <row r="3122" spans="4:14" x14ac:dyDescent="0.25">
      <c r="D3122" s="559" t="s">
        <v>867</v>
      </c>
      <c r="E3122" s="558" t="s">
        <v>4652</v>
      </c>
      <c r="F3122" s="559">
        <v>500821</v>
      </c>
      <c r="G3122" s="558" t="s">
        <v>4651</v>
      </c>
      <c r="H3122" s="564">
        <v>40015</v>
      </c>
      <c r="I3122" s="563">
        <v>64.349999999999994</v>
      </c>
      <c r="J3122" s="563">
        <v>-64.349999999999994</v>
      </c>
      <c r="K3122" s="582">
        <f t="shared" si="144"/>
        <v>0</v>
      </c>
      <c r="L3122" s="563">
        <f t="shared" si="145"/>
        <v>0</v>
      </c>
      <c r="M3122" s="563">
        <f t="shared" si="146"/>
        <v>70.784999999999997</v>
      </c>
      <c r="N3122" s="580"/>
    </row>
    <row r="3123" spans="4:14" x14ac:dyDescent="0.25">
      <c r="D3123" s="559" t="s">
        <v>867</v>
      </c>
      <c r="E3123" s="558" t="s">
        <v>4653</v>
      </c>
      <c r="F3123" s="559">
        <v>500822</v>
      </c>
      <c r="G3123" s="558" t="s">
        <v>4651</v>
      </c>
      <c r="H3123" s="564">
        <v>40015</v>
      </c>
      <c r="I3123" s="563">
        <v>64.349999999999994</v>
      </c>
      <c r="J3123" s="563">
        <v>-64.349999999999994</v>
      </c>
      <c r="K3123" s="582">
        <f t="shared" si="144"/>
        <v>0</v>
      </c>
      <c r="L3123" s="563">
        <f t="shared" si="145"/>
        <v>0</v>
      </c>
      <c r="M3123" s="563">
        <f t="shared" si="146"/>
        <v>70.784999999999997</v>
      </c>
      <c r="N3123" s="580"/>
    </row>
    <row r="3124" spans="4:14" x14ac:dyDescent="0.25">
      <c r="D3124" s="559" t="s">
        <v>867</v>
      </c>
      <c r="E3124" s="558" t="s">
        <v>4654</v>
      </c>
      <c r="F3124" s="559">
        <v>500823</v>
      </c>
      <c r="G3124" s="558" t="s">
        <v>4651</v>
      </c>
      <c r="H3124" s="564">
        <v>40015</v>
      </c>
      <c r="I3124" s="563">
        <v>688.35</v>
      </c>
      <c r="J3124" s="563">
        <v>-585</v>
      </c>
      <c r="K3124" s="582">
        <f t="shared" si="144"/>
        <v>103.35000000000002</v>
      </c>
      <c r="L3124" s="563">
        <f t="shared" si="145"/>
        <v>113.68500000000003</v>
      </c>
      <c r="M3124" s="563">
        <f t="shared" si="146"/>
        <v>757.18500000000006</v>
      </c>
      <c r="N3124" s="580"/>
    </row>
    <row r="3125" spans="4:14" x14ac:dyDescent="0.25">
      <c r="D3125" s="559" t="s">
        <v>867</v>
      </c>
      <c r="E3125" s="558" t="s">
        <v>4655</v>
      </c>
      <c r="F3125" s="559">
        <v>500824</v>
      </c>
      <c r="G3125" s="558" t="s">
        <v>4651</v>
      </c>
      <c r="H3125" s="564">
        <v>40015</v>
      </c>
      <c r="I3125" s="563">
        <v>688.35</v>
      </c>
      <c r="J3125" s="563">
        <v>-585</v>
      </c>
      <c r="K3125" s="582">
        <f t="shared" si="144"/>
        <v>103.35000000000002</v>
      </c>
      <c r="L3125" s="563">
        <f t="shared" si="145"/>
        <v>113.68500000000003</v>
      </c>
      <c r="M3125" s="563">
        <f t="shared" si="146"/>
        <v>757.18500000000006</v>
      </c>
      <c r="N3125" s="580"/>
    </row>
    <row r="3126" spans="4:14" x14ac:dyDescent="0.25">
      <c r="D3126" s="559" t="s">
        <v>867</v>
      </c>
      <c r="E3126" s="558" t="s">
        <v>4656</v>
      </c>
      <c r="F3126" s="559">
        <v>500825</v>
      </c>
      <c r="G3126" s="558" t="s">
        <v>4657</v>
      </c>
      <c r="H3126" s="564">
        <v>40015</v>
      </c>
      <c r="I3126" s="563">
        <v>688.35</v>
      </c>
      <c r="J3126" s="563">
        <v>-585</v>
      </c>
      <c r="K3126" s="582">
        <f t="shared" si="144"/>
        <v>103.35000000000002</v>
      </c>
      <c r="L3126" s="563">
        <f t="shared" si="145"/>
        <v>113.68500000000003</v>
      </c>
      <c r="M3126" s="563">
        <f t="shared" si="146"/>
        <v>757.18500000000006</v>
      </c>
      <c r="N3126" s="580"/>
    </row>
    <row r="3127" spans="4:14" x14ac:dyDescent="0.25">
      <c r="D3127" s="559" t="s">
        <v>867</v>
      </c>
      <c r="E3127" s="558" t="s">
        <v>4658</v>
      </c>
      <c r="F3127" s="559">
        <v>500826</v>
      </c>
      <c r="G3127" s="558" t="s">
        <v>4657</v>
      </c>
      <c r="H3127" s="564">
        <v>40015</v>
      </c>
      <c r="I3127" s="563">
        <v>688.35</v>
      </c>
      <c r="J3127" s="563">
        <v>-585</v>
      </c>
      <c r="K3127" s="582">
        <f t="shared" si="144"/>
        <v>103.35000000000002</v>
      </c>
      <c r="L3127" s="563">
        <f t="shared" si="145"/>
        <v>113.68500000000003</v>
      </c>
      <c r="M3127" s="563">
        <f t="shared" si="146"/>
        <v>757.18500000000006</v>
      </c>
      <c r="N3127" s="580"/>
    </row>
    <row r="3128" spans="4:14" x14ac:dyDescent="0.25">
      <c r="D3128" s="559" t="s">
        <v>867</v>
      </c>
      <c r="E3128" s="558" t="s">
        <v>4659</v>
      </c>
      <c r="F3128" s="559">
        <v>500827</v>
      </c>
      <c r="G3128" s="558" t="s">
        <v>4657</v>
      </c>
      <c r="H3128" s="564">
        <v>40015</v>
      </c>
      <c r="I3128" s="563">
        <v>64.349999999999994</v>
      </c>
      <c r="J3128" s="563">
        <v>-64.349999999999994</v>
      </c>
      <c r="K3128" s="582">
        <f t="shared" si="144"/>
        <v>0</v>
      </c>
      <c r="L3128" s="563">
        <f t="shared" si="145"/>
        <v>0</v>
      </c>
      <c r="M3128" s="563">
        <f t="shared" si="146"/>
        <v>70.784999999999997</v>
      </c>
      <c r="N3128" s="580"/>
    </row>
    <row r="3129" spans="4:14" x14ac:dyDescent="0.25">
      <c r="D3129" s="559" t="s">
        <v>867</v>
      </c>
      <c r="E3129" s="558" t="s">
        <v>4660</v>
      </c>
      <c r="F3129" s="559">
        <v>500828</v>
      </c>
      <c r="G3129" s="558" t="s">
        <v>4657</v>
      </c>
      <c r="H3129" s="564">
        <v>40015</v>
      </c>
      <c r="I3129" s="563">
        <v>25.35</v>
      </c>
      <c r="J3129" s="563">
        <v>-25.35</v>
      </c>
      <c r="K3129" s="582">
        <f t="shared" si="144"/>
        <v>0</v>
      </c>
      <c r="L3129" s="563">
        <f t="shared" si="145"/>
        <v>0</v>
      </c>
      <c r="M3129" s="563">
        <f t="shared" si="146"/>
        <v>27.885000000000005</v>
      </c>
      <c r="N3129" s="580"/>
    </row>
    <row r="3130" spans="4:14" x14ac:dyDescent="0.25">
      <c r="D3130" s="559" t="s">
        <v>867</v>
      </c>
      <c r="E3130" s="558" t="s">
        <v>4661</v>
      </c>
      <c r="F3130" s="559">
        <v>500829</v>
      </c>
      <c r="G3130" s="558" t="s">
        <v>4657</v>
      </c>
      <c r="H3130" s="564">
        <v>40015</v>
      </c>
      <c r="I3130" s="563">
        <v>25.35</v>
      </c>
      <c r="J3130" s="563">
        <v>-25.35</v>
      </c>
      <c r="K3130" s="582">
        <f t="shared" si="144"/>
        <v>0</v>
      </c>
      <c r="L3130" s="563">
        <f t="shared" si="145"/>
        <v>0</v>
      </c>
      <c r="M3130" s="563">
        <f t="shared" si="146"/>
        <v>27.885000000000005</v>
      </c>
      <c r="N3130" s="580"/>
    </row>
    <row r="3131" spans="4:14" x14ac:dyDescent="0.25">
      <c r="D3131" s="559" t="s">
        <v>867</v>
      </c>
      <c r="E3131" s="558" t="s">
        <v>4662</v>
      </c>
      <c r="F3131" s="559">
        <v>500830</v>
      </c>
      <c r="G3131" s="558" t="s">
        <v>4663</v>
      </c>
      <c r="H3131" s="564">
        <v>40015</v>
      </c>
      <c r="I3131" s="563">
        <v>688.35</v>
      </c>
      <c r="J3131" s="563">
        <v>-585</v>
      </c>
      <c r="K3131" s="582">
        <f t="shared" si="144"/>
        <v>103.35000000000002</v>
      </c>
      <c r="L3131" s="563">
        <f t="shared" si="145"/>
        <v>113.68500000000003</v>
      </c>
      <c r="M3131" s="563">
        <f t="shared" si="146"/>
        <v>757.18500000000006</v>
      </c>
      <c r="N3131" s="580"/>
    </row>
    <row r="3132" spans="4:14" x14ac:dyDescent="0.25">
      <c r="D3132" s="559" t="s">
        <v>867</v>
      </c>
      <c r="E3132" s="558" t="s">
        <v>4664</v>
      </c>
      <c r="F3132" s="559">
        <v>500831</v>
      </c>
      <c r="G3132" s="558" t="s">
        <v>4663</v>
      </c>
      <c r="H3132" s="564">
        <v>40015</v>
      </c>
      <c r="I3132" s="563">
        <v>25.35</v>
      </c>
      <c r="J3132" s="563">
        <v>-25.35</v>
      </c>
      <c r="K3132" s="582">
        <f t="shared" si="144"/>
        <v>0</v>
      </c>
      <c r="L3132" s="563">
        <f t="shared" si="145"/>
        <v>0</v>
      </c>
      <c r="M3132" s="563">
        <f t="shared" si="146"/>
        <v>27.885000000000005</v>
      </c>
      <c r="N3132" s="580"/>
    </row>
    <row r="3133" spans="4:14" x14ac:dyDescent="0.25">
      <c r="D3133" s="559" t="s">
        <v>867</v>
      </c>
      <c r="E3133" s="558" t="s">
        <v>4665</v>
      </c>
      <c r="F3133" s="559">
        <v>500832</v>
      </c>
      <c r="G3133" s="558" t="s">
        <v>4663</v>
      </c>
      <c r="H3133" s="564">
        <v>40015</v>
      </c>
      <c r="I3133" s="563">
        <v>25.35</v>
      </c>
      <c r="J3133" s="563">
        <v>-25.35</v>
      </c>
      <c r="K3133" s="582">
        <f t="shared" si="144"/>
        <v>0</v>
      </c>
      <c r="L3133" s="563">
        <f t="shared" si="145"/>
        <v>0</v>
      </c>
      <c r="M3133" s="563">
        <f t="shared" si="146"/>
        <v>27.885000000000005</v>
      </c>
      <c r="N3133" s="580"/>
    </row>
    <row r="3134" spans="4:14" x14ac:dyDescent="0.25">
      <c r="D3134" s="559" t="s">
        <v>867</v>
      </c>
      <c r="E3134" s="558" t="s">
        <v>4666</v>
      </c>
      <c r="F3134" s="559">
        <v>500833</v>
      </c>
      <c r="G3134" s="558" t="s">
        <v>4663</v>
      </c>
      <c r="H3134" s="564">
        <v>40015</v>
      </c>
      <c r="I3134" s="563">
        <v>25.35</v>
      </c>
      <c r="J3134" s="563">
        <v>-25.35</v>
      </c>
      <c r="K3134" s="582">
        <f t="shared" si="144"/>
        <v>0</v>
      </c>
      <c r="L3134" s="563">
        <f t="shared" si="145"/>
        <v>0</v>
      </c>
      <c r="M3134" s="563">
        <f t="shared" si="146"/>
        <v>27.885000000000005</v>
      </c>
      <c r="N3134" s="580"/>
    </row>
    <row r="3135" spans="4:14" x14ac:dyDescent="0.25">
      <c r="D3135" s="559" t="s">
        <v>867</v>
      </c>
      <c r="E3135" s="558" t="s">
        <v>4667</v>
      </c>
      <c r="F3135" s="559">
        <v>501074</v>
      </c>
      <c r="G3135" s="558" t="s">
        <v>4663</v>
      </c>
      <c r="H3135" s="564">
        <v>40015</v>
      </c>
      <c r="I3135" s="563">
        <v>25.35</v>
      </c>
      <c r="J3135" s="563">
        <v>-25.35</v>
      </c>
      <c r="K3135" s="582">
        <f t="shared" si="144"/>
        <v>0</v>
      </c>
      <c r="L3135" s="563">
        <f t="shared" si="145"/>
        <v>0</v>
      </c>
      <c r="M3135" s="563">
        <f t="shared" si="146"/>
        <v>27.885000000000005</v>
      </c>
      <c r="N3135" s="580"/>
    </row>
    <row r="3136" spans="4:14" x14ac:dyDescent="0.25">
      <c r="D3136" s="559" t="s">
        <v>867</v>
      </c>
      <c r="E3136" s="558" t="s">
        <v>2674</v>
      </c>
      <c r="F3136" s="559">
        <v>501075</v>
      </c>
      <c r="G3136" s="558" t="s">
        <v>2675</v>
      </c>
      <c r="H3136" s="564">
        <v>40015</v>
      </c>
      <c r="I3136" s="563">
        <v>25.35</v>
      </c>
      <c r="J3136" s="563">
        <v>-25.35</v>
      </c>
      <c r="K3136" s="582">
        <f t="shared" si="144"/>
        <v>0</v>
      </c>
      <c r="L3136" s="563">
        <f t="shared" si="145"/>
        <v>0</v>
      </c>
      <c r="M3136" s="563">
        <f t="shared" si="146"/>
        <v>27.885000000000005</v>
      </c>
      <c r="N3136" s="580"/>
    </row>
    <row r="3137" spans="4:14" x14ac:dyDescent="0.25">
      <c r="D3137" s="559" t="s">
        <v>867</v>
      </c>
      <c r="E3137" s="558" t="s">
        <v>2676</v>
      </c>
      <c r="F3137" s="559">
        <v>501076</v>
      </c>
      <c r="G3137" s="558" t="s">
        <v>2675</v>
      </c>
      <c r="H3137" s="564">
        <v>40015</v>
      </c>
      <c r="I3137" s="563">
        <v>688.35</v>
      </c>
      <c r="J3137" s="563">
        <v>-585</v>
      </c>
      <c r="K3137" s="582">
        <f t="shared" si="144"/>
        <v>103.35000000000002</v>
      </c>
      <c r="L3137" s="563">
        <f t="shared" si="145"/>
        <v>113.68500000000003</v>
      </c>
      <c r="M3137" s="563">
        <f t="shared" si="146"/>
        <v>757.18500000000006</v>
      </c>
      <c r="N3137" s="580"/>
    </row>
    <row r="3138" spans="4:14" x14ac:dyDescent="0.25">
      <c r="D3138" s="559" t="s">
        <v>867</v>
      </c>
      <c r="E3138" s="558" t="s">
        <v>2677</v>
      </c>
      <c r="F3138" s="559">
        <v>500834</v>
      </c>
      <c r="G3138" s="558" t="s">
        <v>2675</v>
      </c>
      <c r="H3138" s="564">
        <v>40015</v>
      </c>
      <c r="I3138" s="563">
        <v>25.35</v>
      </c>
      <c r="J3138" s="563">
        <v>-25.35</v>
      </c>
      <c r="K3138" s="582">
        <f t="shared" si="144"/>
        <v>0</v>
      </c>
      <c r="L3138" s="563">
        <f t="shared" si="145"/>
        <v>0</v>
      </c>
      <c r="M3138" s="563">
        <f t="shared" si="146"/>
        <v>27.885000000000005</v>
      </c>
      <c r="N3138" s="580"/>
    </row>
    <row r="3139" spans="4:14" x14ac:dyDescent="0.25">
      <c r="D3139" s="559" t="s">
        <v>867</v>
      </c>
      <c r="E3139" s="558" t="s">
        <v>2678</v>
      </c>
      <c r="F3139" s="559">
        <v>500835</v>
      </c>
      <c r="G3139" s="558" t="s">
        <v>2675</v>
      </c>
      <c r="H3139" s="564">
        <v>40015</v>
      </c>
      <c r="I3139" s="563">
        <v>688.35</v>
      </c>
      <c r="J3139" s="563">
        <v>-585</v>
      </c>
      <c r="K3139" s="582">
        <f t="shared" si="144"/>
        <v>103.35000000000002</v>
      </c>
      <c r="L3139" s="563">
        <f t="shared" si="145"/>
        <v>113.68500000000003</v>
      </c>
      <c r="M3139" s="563">
        <f t="shared" si="146"/>
        <v>757.18500000000006</v>
      </c>
      <c r="N3139" s="580"/>
    </row>
    <row r="3140" spans="4:14" x14ac:dyDescent="0.25">
      <c r="D3140" s="559" t="s">
        <v>867</v>
      </c>
      <c r="E3140" s="558" t="s">
        <v>2679</v>
      </c>
      <c r="F3140" s="559">
        <v>500836</v>
      </c>
      <c r="G3140" s="558" t="s">
        <v>2675</v>
      </c>
      <c r="H3140" s="564">
        <v>40015</v>
      </c>
      <c r="I3140" s="563">
        <v>688.35</v>
      </c>
      <c r="J3140" s="563">
        <v>-585</v>
      </c>
      <c r="K3140" s="582">
        <f t="shared" si="144"/>
        <v>103.35000000000002</v>
      </c>
      <c r="L3140" s="563">
        <f t="shared" si="145"/>
        <v>113.68500000000003</v>
      </c>
      <c r="M3140" s="563">
        <f t="shared" si="146"/>
        <v>757.18500000000006</v>
      </c>
      <c r="N3140" s="580"/>
    </row>
    <row r="3141" spans="4:14" x14ac:dyDescent="0.25">
      <c r="D3141" s="559" t="s">
        <v>867</v>
      </c>
      <c r="E3141" s="558" t="s">
        <v>2680</v>
      </c>
      <c r="F3141" s="559">
        <v>500837</v>
      </c>
      <c r="G3141" s="558" t="s">
        <v>2681</v>
      </c>
      <c r="H3141" s="564">
        <v>40015</v>
      </c>
      <c r="I3141" s="563">
        <v>64.349999999999994</v>
      </c>
      <c r="J3141" s="563">
        <v>-64.349999999999994</v>
      </c>
      <c r="K3141" s="582">
        <f t="shared" si="144"/>
        <v>0</v>
      </c>
      <c r="L3141" s="563">
        <f t="shared" si="145"/>
        <v>0</v>
      </c>
      <c r="M3141" s="563">
        <f t="shared" si="146"/>
        <v>70.784999999999997</v>
      </c>
      <c r="N3141" s="580"/>
    </row>
    <row r="3142" spans="4:14" x14ac:dyDescent="0.25">
      <c r="D3142" s="559" t="s">
        <v>867</v>
      </c>
      <c r="E3142" s="558" t="s">
        <v>2682</v>
      </c>
      <c r="F3142" s="559">
        <v>500838</v>
      </c>
      <c r="G3142" s="558" t="s">
        <v>2681</v>
      </c>
      <c r="H3142" s="564">
        <v>40015</v>
      </c>
      <c r="I3142" s="563">
        <v>64.349999999999994</v>
      </c>
      <c r="J3142" s="563">
        <v>-64.349999999999994</v>
      </c>
      <c r="K3142" s="582">
        <f t="shared" si="144"/>
        <v>0</v>
      </c>
      <c r="L3142" s="563">
        <f t="shared" si="145"/>
        <v>0</v>
      </c>
      <c r="M3142" s="563">
        <f t="shared" si="146"/>
        <v>70.784999999999997</v>
      </c>
      <c r="N3142" s="580"/>
    </row>
    <row r="3143" spans="4:14" x14ac:dyDescent="0.25">
      <c r="D3143" s="559" t="s">
        <v>867</v>
      </c>
      <c r="E3143" s="558" t="s">
        <v>2683</v>
      </c>
      <c r="F3143" s="559">
        <v>500839</v>
      </c>
      <c r="G3143" s="558" t="s">
        <v>2681</v>
      </c>
      <c r="H3143" s="564">
        <v>40015</v>
      </c>
      <c r="I3143" s="563">
        <v>64.349999999999994</v>
      </c>
      <c r="J3143" s="563">
        <v>-64.349999999999994</v>
      </c>
      <c r="K3143" s="582">
        <f t="shared" si="144"/>
        <v>0</v>
      </c>
      <c r="L3143" s="563">
        <f t="shared" si="145"/>
        <v>0</v>
      </c>
      <c r="M3143" s="563">
        <f t="shared" si="146"/>
        <v>70.784999999999997</v>
      </c>
      <c r="N3143" s="580"/>
    </row>
    <row r="3144" spans="4:14" x14ac:dyDescent="0.25">
      <c r="D3144" s="559" t="s">
        <v>867</v>
      </c>
      <c r="E3144" s="558" t="s">
        <v>2684</v>
      </c>
      <c r="F3144" s="559">
        <v>500840</v>
      </c>
      <c r="G3144" s="558" t="s">
        <v>2681</v>
      </c>
      <c r="H3144" s="564">
        <v>40015</v>
      </c>
      <c r="I3144" s="563">
        <v>64.349999999999994</v>
      </c>
      <c r="J3144" s="563">
        <v>-64.349999999999994</v>
      </c>
      <c r="K3144" s="582">
        <f t="shared" si="144"/>
        <v>0</v>
      </c>
      <c r="L3144" s="563">
        <f t="shared" si="145"/>
        <v>0</v>
      </c>
      <c r="M3144" s="563">
        <f t="shared" si="146"/>
        <v>70.784999999999997</v>
      </c>
      <c r="N3144" s="580"/>
    </row>
    <row r="3145" spans="4:14" x14ac:dyDescent="0.25">
      <c r="D3145" s="559" t="s">
        <v>867</v>
      </c>
      <c r="E3145" s="558" t="s">
        <v>2685</v>
      </c>
      <c r="F3145" s="559">
        <v>500841</v>
      </c>
      <c r="G3145" s="558" t="s">
        <v>2681</v>
      </c>
      <c r="H3145" s="564">
        <v>40015</v>
      </c>
      <c r="I3145" s="563">
        <v>25.35</v>
      </c>
      <c r="J3145" s="563">
        <v>-25.35</v>
      </c>
      <c r="K3145" s="582">
        <f t="shared" si="144"/>
        <v>0</v>
      </c>
      <c r="L3145" s="563">
        <f t="shared" si="145"/>
        <v>0</v>
      </c>
      <c r="M3145" s="563">
        <f t="shared" si="146"/>
        <v>27.885000000000005</v>
      </c>
      <c r="N3145" s="580"/>
    </row>
    <row r="3146" spans="4:14" x14ac:dyDescent="0.25">
      <c r="D3146" s="559" t="s">
        <v>867</v>
      </c>
      <c r="E3146" s="558" t="s">
        <v>2686</v>
      </c>
      <c r="F3146" s="559">
        <v>500842</v>
      </c>
      <c r="G3146" s="558" t="s">
        <v>2687</v>
      </c>
      <c r="H3146" s="564">
        <v>40015</v>
      </c>
      <c r="I3146" s="563">
        <v>688.35</v>
      </c>
      <c r="J3146" s="563">
        <v>-585</v>
      </c>
      <c r="K3146" s="582">
        <f t="shared" si="144"/>
        <v>103.35000000000002</v>
      </c>
      <c r="L3146" s="563">
        <f t="shared" si="145"/>
        <v>113.68500000000003</v>
      </c>
      <c r="M3146" s="563">
        <f t="shared" si="146"/>
        <v>757.18500000000006</v>
      </c>
      <c r="N3146" s="580"/>
    </row>
    <row r="3147" spans="4:14" x14ac:dyDescent="0.25">
      <c r="D3147" s="559" t="s">
        <v>867</v>
      </c>
      <c r="E3147" s="558" t="s">
        <v>2688</v>
      </c>
      <c r="F3147" s="559">
        <v>500843</v>
      </c>
      <c r="G3147" s="558" t="s">
        <v>2687</v>
      </c>
      <c r="H3147" s="564">
        <v>40015</v>
      </c>
      <c r="I3147" s="563">
        <v>25.35</v>
      </c>
      <c r="J3147" s="563">
        <v>-25.35</v>
      </c>
      <c r="K3147" s="582">
        <f t="shared" si="144"/>
        <v>0</v>
      </c>
      <c r="L3147" s="563">
        <f t="shared" si="145"/>
        <v>0</v>
      </c>
      <c r="M3147" s="563">
        <f t="shared" si="146"/>
        <v>27.885000000000005</v>
      </c>
      <c r="N3147" s="580"/>
    </row>
    <row r="3148" spans="4:14" x14ac:dyDescent="0.25">
      <c r="D3148" s="559" t="s">
        <v>867</v>
      </c>
      <c r="E3148" s="558" t="s">
        <v>2689</v>
      </c>
      <c r="F3148" s="559">
        <v>500844</v>
      </c>
      <c r="G3148" s="558" t="s">
        <v>2687</v>
      </c>
      <c r="H3148" s="564">
        <v>40015</v>
      </c>
      <c r="I3148" s="563">
        <v>688.35</v>
      </c>
      <c r="J3148" s="563">
        <v>-585</v>
      </c>
      <c r="K3148" s="582">
        <f t="shared" si="144"/>
        <v>103.35000000000002</v>
      </c>
      <c r="L3148" s="563">
        <f t="shared" si="145"/>
        <v>113.68500000000003</v>
      </c>
      <c r="M3148" s="563">
        <f t="shared" si="146"/>
        <v>757.18500000000006</v>
      </c>
      <c r="N3148" s="580"/>
    </row>
    <row r="3149" spans="4:14" x14ac:dyDescent="0.25">
      <c r="D3149" s="559" t="s">
        <v>867</v>
      </c>
      <c r="E3149" s="558" t="s">
        <v>2690</v>
      </c>
      <c r="F3149" s="559">
        <v>500845</v>
      </c>
      <c r="G3149" s="558" t="s">
        <v>2687</v>
      </c>
      <c r="H3149" s="564">
        <v>40015</v>
      </c>
      <c r="I3149" s="563">
        <v>688.35</v>
      </c>
      <c r="J3149" s="563">
        <v>-585</v>
      </c>
      <c r="K3149" s="582">
        <f t="shared" si="144"/>
        <v>103.35000000000002</v>
      </c>
      <c r="L3149" s="563">
        <f t="shared" si="145"/>
        <v>113.68500000000003</v>
      </c>
      <c r="M3149" s="563">
        <f t="shared" si="146"/>
        <v>757.18500000000006</v>
      </c>
      <c r="N3149" s="580"/>
    </row>
    <row r="3150" spans="4:14" x14ac:dyDescent="0.25">
      <c r="D3150" s="559" t="s">
        <v>867</v>
      </c>
      <c r="E3150" s="558" t="s">
        <v>2691</v>
      </c>
      <c r="F3150" s="559">
        <v>500846</v>
      </c>
      <c r="G3150" s="558" t="s">
        <v>2687</v>
      </c>
      <c r="H3150" s="564">
        <v>40015</v>
      </c>
      <c r="I3150" s="563">
        <v>64.349999999999994</v>
      </c>
      <c r="J3150" s="563">
        <v>-64.349999999999994</v>
      </c>
      <c r="K3150" s="582">
        <f t="shared" si="144"/>
        <v>0</v>
      </c>
      <c r="L3150" s="563">
        <f t="shared" si="145"/>
        <v>0</v>
      </c>
      <c r="M3150" s="563">
        <f t="shared" si="146"/>
        <v>70.784999999999997</v>
      </c>
      <c r="N3150" s="580"/>
    </row>
    <row r="3151" spans="4:14" x14ac:dyDescent="0.25">
      <c r="D3151" s="559" t="s">
        <v>867</v>
      </c>
      <c r="E3151" s="558" t="s">
        <v>2692</v>
      </c>
      <c r="F3151" s="559">
        <v>500847</v>
      </c>
      <c r="G3151" s="558" t="s">
        <v>2693</v>
      </c>
      <c r="H3151" s="564">
        <v>40015</v>
      </c>
      <c r="I3151" s="563">
        <v>688.35</v>
      </c>
      <c r="J3151" s="563">
        <v>-585</v>
      </c>
      <c r="K3151" s="582">
        <f t="shared" si="144"/>
        <v>103.35000000000002</v>
      </c>
      <c r="L3151" s="563">
        <f t="shared" si="145"/>
        <v>113.68500000000003</v>
      </c>
      <c r="M3151" s="563">
        <f t="shared" si="146"/>
        <v>757.18500000000006</v>
      </c>
      <c r="N3151" s="580"/>
    </row>
    <row r="3152" spans="4:14" x14ac:dyDescent="0.25">
      <c r="D3152" s="559" t="s">
        <v>867</v>
      </c>
      <c r="E3152" s="558" t="s">
        <v>2336</v>
      </c>
      <c r="F3152" s="559">
        <v>500848</v>
      </c>
      <c r="G3152" s="558" t="s">
        <v>2693</v>
      </c>
      <c r="H3152" s="564">
        <v>40015</v>
      </c>
      <c r="I3152" s="563">
        <v>64.349999999999994</v>
      </c>
      <c r="J3152" s="563">
        <v>-64.349999999999994</v>
      </c>
      <c r="K3152" s="582">
        <f t="shared" si="144"/>
        <v>0</v>
      </c>
      <c r="L3152" s="563">
        <f t="shared" si="145"/>
        <v>0</v>
      </c>
      <c r="M3152" s="563">
        <f t="shared" si="146"/>
        <v>70.784999999999997</v>
      </c>
      <c r="N3152" s="580"/>
    </row>
    <row r="3153" spans="4:14" x14ac:dyDescent="0.25">
      <c r="D3153" s="559" t="s">
        <v>867</v>
      </c>
      <c r="E3153" s="558" t="s">
        <v>2337</v>
      </c>
      <c r="F3153" s="559">
        <v>500849</v>
      </c>
      <c r="G3153" s="558" t="s">
        <v>2693</v>
      </c>
      <c r="H3153" s="564">
        <v>40015</v>
      </c>
      <c r="I3153" s="563">
        <v>64.349999999999994</v>
      </c>
      <c r="J3153" s="563">
        <v>-64.349999999999994</v>
      </c>
      <c r="K3153" s="582">
        <f t="shared" si="144"/>
        <v>0</v>
      </c>
      <c r="L3153" s="563">
        <f t="shared" si="145"/>
        <v>0</v>
      </c>
      <c r="M3153" s="563">
        <f t="shared" si="146"/>
        <v>70.784999999999997</v>
      </c>
      <c r="N3153" s="580"/>
    </row>
    <row r="3154" spans="4:14" x14ac:dyDescent="0.25">
      <c r="D3154" s="559" t="s">
        <v>867</v>
      </c>
      <c r="E3154" s="558" t="s">
        <v>2338</v>
      </c>
      <c r="F3154" s="559">
        <v>500851</v>
      </c>
      <c r="G3154" s="558" t="s">
        <v>2693</v>
      </c>
      <c r="H3154" s="564">
        <v>40015</v>
      </c>
      <c r="I3154" s="563">
        <v>688.35</v>
      </c>
      <c r="J3154" s="563">
        <v>-585</v>
      </c>
      <c r="K3154" s="582">
        <f t="shared" si="144"/>
        <v>103.35000000000002</v>
      </c>
      <c r="L3154" s="563">
        <f t="shared" si="145"/>
        <v>113.68500000000003</v>
      </c>
      <c r="M3154" s="563">
        <f t="shared" si="146"/>
        <v>757.18500000000006</v>
      </c>
      <c r="N3154" s="580"/>
    </row>
    <row r="3155" spans="4:14" x14ac:dyDescent="0.25">
      <c r="D3155" s="559" t="s">
        <v>867</v>
      </c>
      <c r="E3155" s="558" t="s">
        <v>2339</v>
      </c>
      <c r="F3155" s="559">
        <v>500850</v>
      </c>
      <c r="G3155" s="558" t="s">
        <v>2693</v>
      </c>
      <c r="H3155" s="564">
        <v>40015</v>
      </c>
      <c r="I3155" s="563">
        <v>688.35</v>
      </c>
      <c r="J3155" s="563">
        <v>-585</v>
      </c>
      <c r="K3155" s="582">
        <f t="shared" si="144"/>
        <v>103.35000000000002</v>
      </c>
      <c r="L3155" s="563">
        <f t="shared" si="145"/>
        <v>113.68500000000003</v>
      </c>
      <c r="M3155" s="563">
        <f t="shared" si="146"/>
        <v>757.18500000000006</v>
      </c>
      <c r="N3155" s="580"/>
    </row>
    <row r="3156" spans="4:14" x14ac:dyDescent="0.25">
      <c r="D3156" s="559" t="s">
        <v>867</v>
      </c>
      <c r="E3156" s="558" t="s">
        <v>2340</v>
      </c>
      <c r="F3156" s="559">
        <v>500852</v>
      </c>
      <c r="G3156" s="558" t="s">
        <v>1181</v>
      </c>
      <c r="H3156" s="564">
        <v>40015</v>
      </c>
      <c r="I3156" s="563">
        <v>766.35</v>
      </c>
      <c r="J3156" s="563">
        <v>-585</v>
      </c>
      <c r="K3156" s="582">
        <f t="shared" si="144"/>
        <v>181.35000000000002</v>
      </c>
      <c r="L3156" s="563">
        <f t="shared" si="145"/>
        <v>199.48500000000004</v>
      </c>
      <c r="M3156" s="563">
        <f t="shared" si="146"/>
        <v>842.98500000000013</v>
      </c>
      <c r="N3156" s="580"/>
    </row>
    <row r="3157" spans="4:14" x14ac:dyDescent="0.25">
      <c r="D3157" s="559" t="s">
        <v>867</v>
      </c>
      <c r="E3157" s="558" t="s">
        <v>1182</v>
      </c>
      <c r="F3157" s="559">
        <v>500853</v>
      </c>
      <c r="G3157" s="558" t="s">
        <v>1181</v>
      </c>
      <c r="H3157" s="564">
        <v>40015</v>
      </c>
      <c r="I3157" s="563">
        <v>64.349999999999994</v>
      </c>
      <c r="J3157" s="563">
        <v>-64.349999999999994</v>
      </c>
      <c r="K3157" s="582">
        <f t="shared" si="144"/>
        <v>0</v>
      </c>
      <c r="L3157" s="563">
        <f t="shared" si="145"/>
        <v>0</v>
      </c>
      <c r="M3157" s="563">
        <f t="shared" si="146"/>
        <v>70.784999999999997</v>
      </c>
      <c r="N3157" s="580"/>
    </row>
    <row r="3158" spans="4:14" x14ac:dyDescent="0.25">
      <c r="D3158" s="559" t="s">
        <v>867</v>
      </c>
      <c r="E3158" s="558" t="s">
        <v>1183</v>
      </c>
      <c r="F3158" s="559">
        <v>500854</v>
      </c>
      <c r="G3158" s="558" t="s">
        <v>1181</v>
      </c>
      <c r="H3158" s="564">
        <v>40015</v>
      </c>
      <c r="I3158" s="563">
        <v>688.35</v>
      </c>
      <c r="J3158" s="563">
        <v>-585</v>
      </c>
      <c r="K3158" s="582">
        <f t="shared" si="144"/>
        <v>103.35000000000002</v>
      </c>
      <c r="L3158" s="563">
        <f t="shared" si="145"/>
        <v>113.68500000000003</v>
      </c>
      <c r="M3158" s="563">
        <f t="shared" si="146"/>
        <v>757.18500000000006</v>
      </c>
      <c r="N3158" s="580"/>
    </row>
    <row r="3159" spans="4:14" x14ac:dyDescent="0.25">
      <c r="D3159" s="559" t="s">
        <v>867</v>
      </c>
      <c r="E3159" s="558" t="s">
        <v>1184</v>
      </c>
      <c r="F3159" s="559">
        <v>500855</v>
      </c>
      <c r="G3159" s="558" t="s">
        <v>1181</v>
      </c>
      <c r="H3159" s="564">
        <v>40015</v>
      </c>
      <c r="I3159" s="563">
        <v>25.35</v>
      </c>
      <c r="J3159" s="563">
        <v>-25.35</v>
      </c>
      <c r="K3159" s="582">
        <f t="shared" si="144"/>
        <v>0</v>
      </c>
      <c r="L3159" s="563">
        <f t="shared" si="145"/>
        <v>0</v>
      </c>
      <c r="M3159" s="563">
        <f t="shared" si="146"/>
        <v>27.885000000000005</v>
      </c>
      <c r="N3159" s="580"/>
    </row>
    <row r="3160" spans="4:14" x14ac:dyDescent="0.25">
      <c r="D3160" s="559" t="s">
        <v>867</v>
      </c>
      <c r="E3160" s="558" t="s">
        <v>1185</v>
      </c>
      <c r="F3160" s="559">
        <v>500856</v>
      </c>
      <c r="G3160" s="558" t="s">
        <v>1181</v>
      </c>
      <c r="H3160" s="564">
        <v>40015</v>
      </c>
      <c r="I3160" s="563">
        <v>688.35</v>
      </c>
      <c r="J3160" s="563">
        <v>-585</v>
      </c>
      <c r="K3160" s="582">
        <f t="shared" si="144"/>
        <v>103.35000000000002</v>
      </c>
      <c r="L3160" s="563">
        <f t="shared" si="145"/>
        <v>113.68500000000003</v>
      </c>
      <c r="M3160" s="563">
        <f t="shared" si="146"/>
        <v>757.18500000000006</v>
      </c>
      <c r="N3160" s="580"/>
    </row>
    <row r="3161" spans="4:14" x14ac:dyDescent="0.25">
      <c r="D3161" s="559" t="s">
        <v>867</v>
      </c>
      <c r="E3161" s="558" t="s">
        <v>1186</v>
      </c>
      <c r="F3161" s="559">
        <v>500857</v>
      </c>
      <c r="G3161" s="558" t="s">
        <v>1187</v>
      </c>
      <c r="H3161" s="564">
        <v>40015</v>
      </c>
      <c r="I3161" s="563">
        <v>64.349999999999994</v>
      </c>
      <c r="J3161" s="563">
        <v>-64.349999999999994</v>
      </c>
      <c r="K3161" s="582">
        <f t="shared" si="144"/>
        <v>0</v>
      </c>
      <c r="L3161" s="563">
        <f t="shared" si="145"/>
        <v>0</v>
      </c>
      <c r="M3161" s="563">
        <f t="shared" si="146"/>
        <v>70.784999999999997</v>
      </c>
      <c r="N3161" s="580"/>
    </row>
    <row r="3162" spans="4:14" x14ac:dyDescent="0.25">
      <c r="D3162" s="559" t="s">
        <v>867</v>
      </c>
      <c r="E3162" s="558" t="s">
        <v>1188</v>
      </c>
      <c r="F3162" s="559">
        <v>500858</v>
      </c>
      <c r="G3162" s="558" t="s">
        <v>1187</v>
      </c>
      <c r="H3162" s="564">
        <v>40015</v>
      </c>
      <c r="I3162" s="563">
        <v>688.35</v>
      </c>
      <c r="J3162" s="563">
        <v>-585</v>
      </c>
      <c r="K3162" s="582">
        <f t="shared" si="144"/>
        <v>103.35000000000002</v>
      </c>
      <c r="L3162" s="563">
        <f t="shared" si="145"/>
        <v>113.68500000000003</v>
      </c>
      <c r="M3162" s="563">
        <f t="shared" si="146"/>
        <v>757.18500000000006</v>
      </c>
      <c r="N3162" s="580"/>
    </row>
    <row r="3163" spans="4:14" x14ac:dyDescent="0.25">
      <c r="D3163" s="559" t="s">
        <v>867</v>
      </c>
      <c r="E3163" s="558" t="s">
        <v>1189</v>
      </c>
      <c r="F3163" s="559">
        <v>500859</v>
      </c>
      <c r="G3163" s="558" t="s">
        <v>1187</v>
      </c>
      <c r="H3163" s="564">
        <v>40015</v>
      </c>
      <c r="I3163" s="563">
        <v>688.35</v>
      </c>
      <c r="J3163" s="563">
        <v>-585</v>
      </c>
      <c r="K3163" s="582">
        <f t="shared" si="144"/>
        <v>103.35000000000002</v>
      </c>
      <c r="L3163" s="563">
        <f t="shared" si="145"/>
        <v>113.68500000000003</v>
      </c>
      <c r="M3163" s="563">
        <f t="shared" si="146"/>
        <v>757.18500000000006</v>
      </c>
      <c r="N3163" s="580"/>
    </row>
    <row r="3164" spans="4:14" x14ac:dyDescent="0.25">
      <c r="D3164" s="559" t="s">
        <v>867</v>
      </c>
      <c r="E3164" s="558" t="s">
        <v>1190</v>
      </c>
      <c r="F3164" s="559">
        <v>500860</v>
      </c>
      <c r="G3164" s="558" t="s">
        <v>1187</v>
      </c>
      <c r="H3164" s="564">
        <v>40015</v>
      </c>
      <c r="I3164" s="563">
        <v>64.349999999999994</v>
      </c>
      <c r="J3164" s="563">
        <v>-64.349999999999994</v>
      </c>
      <c r="K3164" s="582">
        <f t="shared" si="144"/>
        <v>0</v>
      </c>
      <c r="L3164" s="563">
        <f t="shared" si="145"/>
        <v>0</v>
      </c>
      <c r="M3164" s="563">
        <f t="shared" si="146"/>
        <v>70.784999999999997</v>
      </c>
      <c r="N3164" s="580"/>
    </row>
    <row r="3165" spans="4:14" x14ac:dyDescent="0.25">
      <c r="D3165" s="559" t="s">
        <v>867</v>
      </c>
      <c r="E3165" s="558" t="s">
        <v>1191</v>
      </c>
      <c r="F3165" s="559">
        <v>500861</v>
      </c>
      <c r="G3165" s="558" t="s">
        <v>1187</v>
      </c>
      <c r="H3165" s="564">
        <v>40015</v>
      </c>
      <c r="I3165" s="563">
        <v>64.349999999999994</v>
      </c>
      <c r="J3165" s="563">
        <v>-64.349999999999994</v>
      </c>
      <c r="K3165" s="582">
        <f t="shared" si="144"/>
        <v>0</v>
      </c>
      <c r="L3165" s="563">
        <f t="shared" si="145"/>
        <v>0</v>
      </c>
      <c r="M3165" s="563">
        <f t="shared" si="146"/>
        <v>70.784999999999997</v>
      </c>
      <c r="N3165" s="580"/>
    </row>
    <row r="3166" spans="4:14" x14ac:dyDescent="0.25">
      <c r="D3166" s="559" t="s">
        <v>867</v>
      </c>
      <c r="E3166" s="558" t="s">
        <v>1192</v>
      </c>
      <c r="F3166" s="559">
        <v>500862</v>
      </c>
      <c r="G3166" s="558" t="s">
        <v>1193</v>
      </c>
      <c r="H3166" s="564">
        <v>40015</v>
      </c>
      <c r="I3166" s="563">
        <v>64.349999999999994</v>
      </c>
      <c r="J3166" s="563">
        <v>-64.349999999999994</v>
      </c>
      <c r="K3166" s="582">
        <f t="shared" si="144"/>
        <v>0</v>
      </c>
      <c r="L3166" s="563">
        <f t="shared" si="145"/>
        <v>0</v>
      </c>
      <c r="M3166" s="563">
        <f t="shared" si="146"/>
        <v>70.784999999999997</v>
      </c>
      <c r="N3166" s="580"/>
    </row>
    <row r="3167" spans="4:14" x14ac:dyDescent="0.25">
      <c r="D3167" s="559" t="s">
        <v>867</v>
      </c>
      <c r="E3167" s="558" t="s">
        <v>1194</v>
      </c>
      <c r="F3167" s="559">
        <v>500863</v>
      </c>
      <c r="G3167" s="558" t="s">
        <v>1193</v>
      </c>
      <c r="H3167" s="564">
        <v>40015</v>
      </c>
      <c r="I3167" s="563">
        <v>64.349999999999994</v>
      </c>
      <c r="J3167" s="563">
        <v>-64.349999999999994</v>
      </c>
      <c r="K3167" s="582">
        <f t="shared" si="144"/>
        <v>0</v>
      </c>
      <c r="L3167" s="563">
        <f t="shared" si="145"/>
        <v>0</v>
      </c>
      <c r="M3167" s="563">
        <f t="shared" si="146"/>
        <v>70.784999999999997</v>
      </c>
      <c r="N3167" s="580"/>
    </row>
    <row r="3168" spans="4:14" x14ac:dyDescent="0.25">
      <c r="D3168" s="559" t="s">
        <v>867</v>
      </c>
      <c r="E3168" s="558" t="s">
        <v>1195</v>
      </c>
      <c r="F3168" s="559">
        <v>500864</v>
      </c>
      <c r="G3168" s="558" t="s">
        <v>1193</v>
      </c>
      <c r="H3168" s="564">
        <v>40015</v>
      </c>
      <c r="I3168" s="563">
        <v>64.349999999999994</v>
      </c>
      <c r="J3168" s="563">
        <v>-64.349999999999994</v>
      </c>
      <c r="K3168" s="582">
        <f t="shared" si="144"/>
        <v>0</v>
      </c>
      <c r="L3168" s="563">
        <f t="shared" si="145"/>
        <v>0</v>
      </c>
      <c r="M3168" s="563">
        <f t="shared" si="146"/>
        <v>70.784999999999997</v>
      </c>
      <c r="N3168" s="580"/>
    </row>
    <row r="3169" spans="4:14" x14ac:dyDescent="0.25">
      <c r="D3169" s="559" t="s">
        <v>867</v>
      </c>
      <c r="E3169" s="558" t="s">
        <v>1196</v>
      </c>
      <c r="F3169" s="559">
        <v>500865</v>
      </c>
      <c r="G3169" s="558" t="s">
        <v>1193</v>
      </c>
      <c r="H3169" s="564">
        <v>40015</v>
      </c>
      <c r="I3169" s="563">
        <v>64.349999999999994</v>
      </c>
      <c r="J3169" s="563">
        <v>-64.349999999999994</v>
      </c>
      <c r="K3169" s="582">
        <f t="shared" si="144"/>
        <v>0</v>
      </c>
      <c r="L3169" s="563">
        <f t="shared" si="145"/>
        <v>0</v>
      </c>
      <c r="M3169" s="563">
        <f t="shared" si="146"/>
        <v>70.784999999999997</v>
      </c>
      <c r="N3169" s="580"/>
    </row>
    <row r="3170" spans="4:14" x14ac:dyDescent="0.25">
      <c r="D3170" s="559" t="s">
        <v>867</v>
      </c>
      <c r="E3170" s="558" t="s">
        <v>1197</v>
      </c>
      <c r="F3170" s="559">
        <v>500866</v>
      </c>
      <c r="G3170" s="558" t="s">
        <v>1193</v>
      </c>
      <c r="H3170" s="564">
        <v>40015</v>
      </c>
      <c r="I3170" s="563">
        <v>64.349999999999994</v>
      </c>
      <c r="J3170" s="563">
        <v>-64.349999999999994</v>
      </c>
      <c r="K3170" s="582">
        <f t="shared" si="144"/>
        <v>0</v>
      </c>
      <c r="L3170" s="563">
        <f t="shared" si="145"/>
        <v>0</v>
      </c>
      <c r="M3170" s="563">
        <f t="shared" si="146"/>
        <v>70.784999999999997</v>
      </c>
      <c r="N3170" s="580"/>
    </row>
    <row r="3171" spans="4:14" x14ac:dyDescent="0.25">
      <c r="D3171" s="559" t="s">
        <v>867</v>
      </c>
      <c r="E3171" s="558" t="s">
        <v>1198</v>
      </c>
      <c r="F3171" s="559">
        <v>500867</v>
      </c>
      <c r="G3171" s="558" t="s">
        <v>1199</v>
      </c>
      <c r="H3171" s="564">
        <v>40015</v>
      </c>
      <c r="I3171" s="563">
        <v>64.349999999999994</v>
      </c>
      <c r="J3171" s="563">
        <v>-64.349999999999994</v>
      </c>
      <c r="K3171" s="582">
        <f t="shared" si="144"/>
        <v>0</v>
      </c>
      <c r="L3171" s="563">
        <f t="shared" si="145"/>
        <v>0</v>
      </c>
      <c r="M3171" s="563">
        <f t="shared" si="146"/>
        <v>70.784999999999997</v>
      </c>
      <c r="N3171" s="580"/>
    </row>
    <row r="3172" spans="4:14" x14ac:dyDescent="0.25">
      <c r="D3172" s="559" t="s">
        <v>867</v>
      </c>
      <c r="E3172" s="558" t="s">
        <v>1200</v>
      </c>
      <c r="F3172" s="559">
        <v>500868</v>
      </c>
      <c r="G3172" s="558" t="s">
        <v>1199</v>
      </c>
      <c r="H3172" s="564">
        <v>40015</v>
      </c>
      <c r="I3172" s="563">
        <v>64.349999999999994</v>
      </c>
      <c r="J3172" s="563">
        <v>-64.349999999999994</v>
      </c>
      <c r="K3172" s="582">
        <f t="shared" si="144"/>
        <v>0</v>
      </c>
      <c r="L3172" s="563">
        <f t="shared" si="145"/>
        <v>0</v>
      </c>
      <c r="M3172" s="563">
        <f t="shared" si="146"/>
        <v>70.784999999999997</v>
      </c>
      <c r="N3172" s="580"/>
    </row>
    <row r="3173" spans="4:14" x14ac:dyDescent="0.25">
      <c r="D3173" s="559" t="s">
        <v>867</v>
      </c>
      <c r="E3173" s="558" t="s">
        <v>1201</v>
      </c>
      <c r="F3173" s="559">
        <v>500869</v>
      </c>
      <c r="G3173" s="558" t="s">
        <v>1199</v>
      </c>
      <c r="H3173" s="564">
        <v>40015</v>
      </c>
      <c r="I3173" s="563">
        <v>64.349999999999994</v>
      </c>
      <c r="J3173" s="563">
        <v>-64.349999999999994</v>
      </c>
      <c r="K3173" s="582">
        <f t="shared" si="144"/>
        <v>0</v>
      </c>
      <c r="L3173" s="563">
        <f t="shared" si="145"/>
        <v>0</v>
      </c>
      <c r="M3173" s="563">
        <f t="shared" si="146"/>
        <v>70.784999999999997</v>
      </c>
      <c r="N3173" s="580"/>
    </row>
    <row r="3174" spans="4:14" x14ac:dyDescent="0.25">
      <c r="D3174" s="559" t="s">
        <v>867</v>
      </c>
      <c r="E3174" s="558" t="s">
        <v>1202</v>
      </c>
      <c r="F3174" s="559">
        <v>500870</v>
      </c>
      <c r="G3174" s="558" t="s">
        <v>1199</v>
      </c>
      <c r="H3174" s="564">
        <v>40015</v>
      </c>
      <c r="I3174" s="563">
        <v>64.349999999999994</v>
      </c>
      <c r="J3174" s="563">
        <v>-64.349999999999994</v>
      </c>
      <c r="K3174" s="582">
        <f t="shared" si="144"/>
        <v>0</v>
      </c>
      <c r="L3174" s="563">
        <f t="shared" si="145"/>
        <v>0</v>
      </c>
      <c r="M3174" s="563">
        <f t="shared" si="146"/>
        <v>70.784999999999997</v>
      </c>
      <c r="N3174" s="580"/>
    </row>
    <row r="3175" spans="4:14" x14ac:dyDescent="0.25">
      <c r="D3175" s="559" t="s">
        <v>867</v>
      </c>
      <c r="E3175" s="558" t="s">
        <v>1203</v>
      </c>
      <c r="F3175" s="559">
        <v>500871</v>
      </c>
      <c r="G3175" s="558" t="s">
        <v>1199</v>
      </c>
      <c r="H3175" s="564">
        <v>40015</v>
      </c>
      <c r="I3175" s="563">
        <v>64.349999999999994</v>
      </c>
      <c r="J3175" s="563">
        <v>-64.349999999999994</v>
      </c>
      <c r="K3175" s="582">
        <f t="shared" si="144"/>
        <v>0</v>
      </c>
      <c r="L3175" s="563">
        <f t="shared" si="145"/>
        <v>0</v>
      </c>
      <c r="M3175" s="563">
        <f t="shared" si="146"/>
        <v>70.784999999999997</v>
      </c>
      <c r="N3175" s="580"/>
    </row>
    <row r="3176" spans="4:14" x14ac:dyDescent="0.25">
      <c r="D3176" s="559" t="s">
        <v>867</v>
      </c>
      <c r="E3176" s="558" t="s">
        <v>1204</v>
      </c>
      <c r="F3176" s="559">
        <v>500872</v>
      </c>
      <c r="G3176" s="558" t="s">
        <v>1205</v>
      </c>
      <c r="H3176" s="564">
        <v>40015</v>
      </c>
      <c r="I3176" s="563">
        <v>25.35</v>
      </c>
      <c r="J3176" s="563">
        <v>-25.35</v>
      </c>
      <c r="K3176" s="582">
        <f t="shared" si="144"/>
        <v>0</v>
      </c>
      <c r="L3176" s="563">
        <f t="shared" si="145"/>
        <v>0</v>
      </c>
      <c r="M3176" s="563">
        <f t="shared" si="146"/>
        <v>27.885000000000005</v>
      </c>
      <c r="N3176" s="580"/>
    </row>
    <row r="3177" spans="4:14" x14ac:dyDescent="0.25">
      <c r="D3177" s="559" t="s">
        <v>867</v>
      </c>
      <c r="E3177" s="558" t="s">
        <v>1206</v>
      </c>
      <c r="F3177" s="559">
        <v>500873</v>
      </c>
      <c r="G3177" s="558" t="s">
        <v>1205</v>
      </c>
      <c r="H3177" s="564">
        <v>40015</v>
      </c>
      <c r="I3177" s="563">
        <v>64.349999999999994</v>
      </c>
      <c r="J3177" s="563">
        <v>-64.349999999999994</v>
      </c>
      <c r="K3177" s="582">
        <f t="shared" ref="K3177:K3240" si="147">+I3177+J3177</f>
        <v>0</v>
      </c>
      <c r="L3177" s="563">
        <f t="shared" ref="L3177:L3240" si="148">+K3177*1.1</f>
        <v>0</v>
      </c>
      <c r="M3177" s="563">
        <f t="shared" ref="M3177:M3240" si="149">+I3177*1.1</f>
        <v>70.784999999999997</v>
      </c>
      <c r="N3177" s="580"/>
    </row>
    <row r="3178" spans="4:14" x14ac:dyDescent="0.25">
      <c r="D3178" s="559" t="s">
        <v>867</v>
      </c>
      <c r="E3178" s="558" t="s">
        <v>1207</v>
      </c>
      <c r="F3178" s="559">
        <v>500874</v>
      </c>
      <c r="G3178" s="558" t="s">
        <v>1205</v>
      </c>
      <c r="H3178" s="564">
        <v>40015</v>
      </c>
      <c r="I3178" s="563">
        <v>64.349999999999994</v>
      </c>
      <c r="J3178" s="563">
        <v>-64.349999999999994</v>
      </c>
      <c r="K3178" s="582">
        <f t="shared" si="147"/>
        <v>0</v>
      </c>
      <c r="L3178" s="563">
        <f t="shared" si="148"/>
        <v>0</v>
      </c>
      <c r="M3178" s="563">
        <f t="shared" si="149"/>
        <v>70.784999999999997</v>
      </c>
      <c r="N3178" s="580"/>
    </row>
    <row r="3179" spans="4:14" x14ac:dyDescent="0.25">
      <c r="D3179" s="559" t="s">
        <v>867</v>
      </c>
      <c r="E3179" s="558" t="s">
        <v>1208</v>
      </c>
      <c r="F3179" s="559">
        <v>500875</v>
      </c>
      <c r="G3179" s="558" t="s">
        <v>1205</v>
      </c>
      <c r="H3179" s="564">
        <v>40015</v>
      </c>
      <c r="I3179" s="563">
        <v>688.35</v>
      </c>
      <c r="J3179" s="563">
        <v>-585</v>
      </c>
      <c r="K3179" s="582">
        <f t="shared" si="147"/>
        <v>103.35000000000002</v>
      </c>
      <c r="L3179" s="563">
        <f t="shared" si="148"/>
        <v>113.68500000000003</v>
      </c>
      <c r="M3179" s="563">
        <f t="shared" si="149"/>
        <v>757.18500000000006</v>
      </c>
      <c r="N3179" s="580"/>
    </row>
    <row r="3180" spans="4:14" x14ac:dyDescent="0.25">
      <c r="D3180" s="559" t="s">
        <v>867</v>
      </c>
      <c r="E3180" s="558" t="s">
        <v>1209</v>
      </c>
      <c r="F3180" s="559">
        <v>500876</v>
      </c>
      <c r="G3180" s="558" t="s">
        <v>1205</v>
      </c>
      <c r="H3180" s="564">
        <v>40015</v>
      </c>
      <c r="I3180" s="563">
        <v>25.35</v>
      </c>
      <c r="J3180" s="563">
        <v>-25.35</v>
      </c>
      <c r="K3180" s="582">
        <f t="shared" si="147"/>
        <v>0</v>
      </c>
      <c r="L3180" s="563">
        <f t="shared" si="148"/>
        <v>0</v>
      </c>
      <c r="M3180" s="563">
        <f t="shared" si="149"/>
        <v>27.885000000000005</v>
      </c>
      <c r="N3180" s="580"/>
    </row>
    <row r="3181" spans="4:14" x14ac:dyDescent="0.25">
      <c r="D3181" s="559" t="s">
        <v>867</v>
      </c>
      <c r="E3181" s="558" t="s">
        <v>1210</v>
      </c>
      <c r="F3181" s="559">
        <v>500877</v>
      </c>
      <c r="G3181" s="558" t="s">
        <v>1211</v>
      </c>
      <c r="H3181" s="564">
        <v>40015</v>
      </c>
      <c r="I3181" s="563">
        <v>688.35</v>
      </c>
      <c r="J3181" s="563">
        <v>-585</v>
      </c>
      <c r="K3181" s="582">
        <f t="shared" si="147"/>
        <v>103.35000000000002</v>
      </c>
      <c r="L3181" s="563">
        <f t="shared" si="148"/>
        <v>113.68500000000003</v>
      </c>
      <c r="M3181" s="563">
        <f t="shared" si="149"/>
        <v>757.18500000000006</v>
      </c>
      <c r="N3181" s="580"/>
    </row>
    <row r="3182" spans="4:14" x14ac:dyDescent="0.25">
      <c r="D3182" s="559" t="s">
        <v>867</v>
      </c>
      <c r="E3182" s="558" t="s">
        <v>1212</v>
      </c>
      <c r="F3182" s="559">
        <v>500878</v>
      </c>
      <c r="G3182" s="558" t="s">
        <v>1211</v>
      </c>
      <c r="H3182" s="564">
        <v>40015</v>
      </c>
      <c r="I3182" s="563">
        <v>25.35</v>
      </c>
      <c r="J3182" s="563">
        <v>-25.35</v>
      </c>
      <c r="K3182" s="582">
        <f t="shared" si="147"/>
        <v>0</v>
      </c>
      <c r="L3182" s="563">
        <f t="shared" si="148"/>
        <v>0</v>
      </c>
      <c r="M3182" s="563">
        <f t="shared" si="149"/>
        <v>27.885000000000005</v>
      </c>
      <c r="N3182" s="580"/>
    </row>
    <row r="3183" spans="4:14" x14ac:dyDescent="0.25">
      <c r="D3183" s="559" t="s">
        <v>867</v>
      </c>
      <c r="E3183" s="558" t="s">
        <v>1213</v>
      </c>
      <c r="F3183" s="559">
        <v>500879</v>
      </c>
      <c r="G3183" s="558" t="s">
        <v>1211</v>
      </c>
      <c r="H3183" s="564">
        <v>40015</v>
      </c>
      <c r="I3183" s="563">
        <v>25.35</v>
      </c>
      <c r="J3183" s="563">
        <v>-25.35</v>
      </c>
      <c r="K3183" s="582">
        <f t="shared" si="147"/>
        <v>0</v>
      </c>
      <c r="L3183" s="563">
        <f t="shared" si="148"/>
        <v>0</v>
      </c>
      <c r="M3183" s="563">
        <f t="shared" si="149"/>
        <v>27.885000000000005</v>
      </c>
      <c r="N3183" s="580"/>
    </row>
    <row r="3184" spans="4:14" x14ac:dyDescent="0.25">
      <c r="D3184" s="559" t="s">
        <v>867</v>
      </c>
      <c r="E3184" s="558" t="s">
        <v>1214</v>
      </c>
      <c r="F3184" s="559">
        <v>500880</v>
      </c>
      <c r="G3184" s="558" t="s">
        <v>1211</v>
      </c>
      <c r="H3184" s="564">
        <v>40015</v>
      </c>
      <c r="I3184" s="563">
        <v>25.35</v>
      </c>
      <c r="J3184" s="563">
        <v>-25.35</v>
      </c>
      <c r="K3184" s="582">
        <f t="shared" si="147"/>
        <v>0</v>
      </c>
      <c r="L3184" s="563">
        <f t="shared" si="148"/>
        <v>0</v>
      </c>
      <c r="M3184" s="563">
        <f t="shared" si="149"/>
        <v>27.885000000000005</v>
      </c>
      <c r="N3184" s="580"/>
    </row>
    <row r="3185" spans="4:14" x14ac:dyDescent="0.25">
      <c r="D3185" s="559" t="s">
        <v>867</v>
      </c>
      <c r="E3185" s="558" t="s">
        <v>1215</v>
      </c>
      <c r="F3185" s="559">
        <v>500881</v>
      </c>
      <c r="G3185" s="558" t="s">
        <v>1211</v>
      </c>
      <c r="H3185" s="564">
        <v>40015</v>
      </c>
      <c r="I3185" s="563">
        <v>688.35</v>
      </c>
      <c r="J3185" s="563">
        <v>-585</v>
      </c>
      <c r="K3185" s="582">
        <f t="shared" si="147"/>
        <v>103.35000000000002</v>
      </c>
      <c r="L3185" s="563">
        <f t="shared" si="148"/>
        <v>113.68500000000003</v>
      </c>
      <c r="M3185" s="563">
        <f t="shared" si="149"/>
        <v>757.18500000000006</v>
      </c>
      <c r="N3185" s="580"/>
    </row>
    <row r="3186" spans="4:14" x14ac:dyDescent="0.25">
      <c r="D3186" s="559" t="s">
        <v>867</v>
      </c>
      <c r="E3186" s="558" t="s">
        <v>1216</v>
      </c>
      <c r="F3186" s="559">
        <v>500882</v>
      </c>
      <c r="G3186" s="558" t="s">
        <v>1217</v>
      </c>
      <c r="H3186" s="564">
        <v>40015</v>
      </c>
      <c r="I3186" s="563">
        <v>688.35</v>
      </c>
      <c r="J3186" s="563">
        <v>-585</v>
      </c>
      <c r="K3186" s="582">
        <f t="shared" si="147"/>
        <v>103.35000000000002</v>
      </c>
      <c r="L3186" s="563">
        <f t="shared" si="148"/>
        <v>113.68500000000003</v>
      </c>
      <c r="M3186" s="563">
        <f t="shared" si="149"/>
        <v>757.18500000000006</v>
      </c>
      <c r="N3186" s="580"/>
    </row>
    <row r="3187" spans="4:14" x14ac:dyDescent="0.25">
      <c r="D3187" s="559" t="s">
        <v>867</v>
      </c>
      <c r="E3187" s="558" t="s">
        <v>1218</v>
      </c>
      <c r="F3187" s="559">
        <v>500883</v>
      </c>
      <c r="G3187" s="558" t="s">
        <v>1217</v>
      </c>
      <c r="H3187" s="564">
        <v>40015</v>
      </c>
      <c r="I3187" s="563">
        <v>688.35</v>
      </c>
      <c r="J3187" s="563">
        <v>-585</v>
      </c>
      <c r="K3187" s="582">
        <f t="shared" si="147"/>
        <v>103.35000000000002</v>
      </c>
      <c r="L3187" s="563">
        <f t="shared" si="148"/>
        <v>113.68500000000003</v>
      </c>
      <c r="M3187" s="563">
        <f t="shared" si="149"/>
        <v>757.18500000000006</v>
      </c>
      <c r="N3187" s="580"/>
    </row>
    <row r="3188" spans="4:14" x14ac:dyDescent="0.25">
      <c r="D3188" s="559" t="s">
        <v>867</v>
      </c>
      <c r="E3188" s="558" t="s">
        <v>1219</v>
      </c>
      <c r="F3188" s="559">
        <v>500884</v>
      </c>
      <c r="G3188" s="558" t="s">
        <v>1217</v>
      </c>
      <c r="H3188" s="564">
        <v>40015</v>
      </c>
      <c r="I3188" s="563">
        <v>688.35</v>
      </c>
      <c r="J3188" s="563">
        <v>-585</v>
      </c>
      <c r="K3188" s="582">
        <f t="shared" si="147"/>
        <v>103.35000000000002</v>
      </c>
      <c r="L3188" s="563">
        <f t="shared" si="148"/>
        <v>113.68500000000003</v>
      </c>
      <c r="M3188" s="563">
        <f t="shared" si="149"/>
        <v>757.18500000000006</v>
      </c>
      <c r="N3188" s="580"/>
    </row>
    <row r="3189" spans="4:14" x14ac:dyDescent="0.25">
      <c r="D3189" s="559" t="s">
        <v>867</v>
      </c>
      <c r="E3189" s="558" t="s">
        <v>1220</v>
      </c>
      <c r="F3189" s="559">
        <v>500885</v>
      </c>
      <c r="G3189" s="558" t="s">
        <v>1217</v>
      </c>
      <c r="H3189" s="564">
        <v>40015</v>
      </c>
      <c r="I3189" s="563">
        <v>64.349999999999994</v>
      </c>
      <c r="J3189" s="563">
        <v>-64.349999999999994</v>
      </c>
      <c r="K3189" s="582">
        <f t="shared" si="147"/>
        <v>0</v>
      </c>
      <c r="L3189" s="563">
        <f t="shared" si="148"/>
        <v>0</v>
      </c>
      <c r="M3189" s="563">
        <f t="shared" si="149"/>
        <v>70.784999999999997</v>
      </c>
      <c r="N3189" s="580"/>
    </row>
    <row r="3190" spans="4:14" x14ac:dyDescent="0.25">
      <c r="D3190" s="559" t="s">
        <v>867</v>
      </c>
      <c r="E3190" s="558" t="s">
        <v>1221</v>
      </c>
      <c r="F3190" s="559">
        <v>500886</v>
      </c>
      <c r="G3190" s="558" t="s">
        <v>1217</v>
      </c>
      <c r="H3190" s="564">
        <v>40015</v>
      </c>
      <c r="I3190" s="563">
        <v>64.349999999999994</v>
      </c>
      <c r="J3190" s="563">
        <v>-64.349999999999994</v>
      </c>
      <c r="K3190" s="582">
        <f t="shared" si="147"/>
        <v>0</v>
      </c>
      <c r="L3190" s="563">
        <f t="shared" si="148"/>
        <v>0</v>
      </c>
      <c r="M3190" s="563">
        <f t="shared" si="149"/>
        <v>70.784999999999997</v>
      </c>
      <c r="N3190" s="580"/>
    </row>
    <row r="3191" spans="4:14" x14ac:dyDescent="0.25">
      <c r="D3191" s="559" t="s">
        <v>867</v>
      </c>
      <c r="E3191" s="558" t="s">
        <v>1222</v>
      </c>
      <c r="F3191" s="559">
        <v>500887</v>
      </c>
      <c r="G3191" s="558" t="s">
        <v>1223</v>
      </c>
      <c r="H3191" s="564">
        <v>40015</v>
      </c>
      <c r="I3191" s="563">
        <v>64.349999999999994</v>
      </c>
      <c r="J3191" s="563">
        <v>-64.349999999999994</v>
      </c>
      <c r="K3191" s="582">
        <f t="shared" si="147"/>
        <v>0</v>
      </c>
      <c r="L3191" s="563">
        <f t="shared" si="148"/>
        <v>0</v>
      </c>
      <c r="M3191" s="563">
        <f t="shared" si="149"/>
        <v>70.784999999999997</v>
      </c>
      <c r="N3191" s="580"/>
    </row>
    <row r="3192" spans="4:14" x14ac:dyDescent="0.25">
      <c r="D3192" s="559" t="s">
        <v>867</v>
      </c>
      <c r="E3192" s="558" t="s">
        <v>1224</v>
      </c>
      <c r="F3192" s="559">
        <v>500888</v>
      </c>
      <c r="G3192" s="558" t="s">
        <v>1223</v>
      </c>
      <c r="H3192" s="564">
        <v>40015</v>
      </c>
      <c r="I3192" s="563">
        <v>64.349999999999994</v>
      </c>
      <c r="J3192" s="563">
        <v>-64.349999999999994</v>
      </c>
      <c r="K3192" s="582">
        <f t="shared" si="147"/>
        <v>0</v>
      </c>
      <c r="L3192" s="563">
        <f t="shared" si="148"/>
        <v>0</v>
      </c>
      <c r="M3192" s="563">
        <f t="shared" si="149"/>
        <v>70.784999999999997</v>
      </c>
      <c r="N3192" s="580"/>
    </row>
    <row r="3193" spans="4:14" x14ac:dyDescent="0.25">
      <c r="D3193" s="559" t="s">
        <v>867</v>
      </c>
      <c r="E3193" s="558" t="s">
        <v>1225</v>
      </c>
      <c r="F3193" s="559">
        <v>500889</v>
      </c>
      <c r="G3193" s="558" t="s">
        <v>1223</v>
      </c>
      <c r="H3193" s="564">
        <v>40015</v>
      </c>
      <c r="I3193" s="563">
        <v>25.35</v>
      </c>
      <c r="J3193" s="563">
        <v>-25.35</v>
      </c>
      <c r="K3193" s="582">
        <f t="shared" si="147"/>
        <v>0</v>
      </c>
      <c r="L3193" s="563">
        <f t="shared" si="148"/>
        <v>0</v>
      </c>
      <c r="M3193" s="563">
        <f t="shared" si="149"/>
        <v>27.885000000000005</v>
      </c>
      <c r="N3193" s="580"/>
    </row>
    <row r="3194" spans="4:14" x14ac:dyDescent="0.25">
      <c r="D3194" s="559" t="s">
        <v>867</v>
      </c>
      <c r="E3194" s="558" t="s">
        <v>1226</v>
      </c>
      <c r="F3194" s="559">
        <v>500890</v>
      </c>
      <c r="G3194" s="558" t="s">
        <v>1223</v>
      </c>
      <c r="H3194" s="564">
        <v>40015</v>
      </c>
      <c r="I3194" s="563">
        <v>25.35</v>
      </c>
      <c r="J3194" s="563">
        <v>-25.35</v>
      </c>
      <c r="K3194" s="582">
        <f t="shared" si="147"/>
        <v>0</v>
      </c>
      <c r="L3194" s="563">
        <f t="shared" si="148"/>
        <v>0</v>
      </c>
      <c r="M3194" s="563">
        <f t="shared" si="149"/>
        <v>27.885000000000005</v>
      </c>
      <c r="N3194" s="580"/>
    </row>
    <row r="3195" spans="4:14" x14ac:dyDescent="0.25">
      <c r="D3195" s="559" t="s">
        <v>867</v>
      </c>
      <c r="E3195" s="558" t="s">
        <v>1227</v>
      </c>
      <c r="F3195" s="559">
        <v>500891</v>
      </c>
      <c r="G3195" s="558" t="s">
        <v>1223</v>
      </c>
      <c r="H3195" s="564">
        <v>40015</v>
      </c>
      <c r="I3195" s="563">
        <v>25.35</v>
      </c>
      <c r="J3195" s="563">
        <v>-25.35</v>
      </c>
      <c r="K3195" s="582">
        <f t="shared" si="147"/>
        <v>0</v>
      </c>
      <c r="L3195" s="563">
        <f t="shared" si="148"/>
        <v>0</v>
      </c>
      <c r="M3195" s="563">
        <f t="shared" si="149"/>
        <v>27.885000000000005</v>
      </c>
      <c r="N3195" s="580"/>
    </row>
    <row r="3196" spans="4:14" x14ac:dyDescent="0.25">
      <c r="D3196" s="559" t="s">
        <v>867</v>
      </c>
      <c r="E3196" s="558" t="s">
        <v>1228</v>
      </c>
      <c r="F3196" s="559">
        <v>500892</v>
      </c>
      <c r="G3196" s="558" t="s">
        <v>1229</v>
      </c>
      <c r="H3196" s="564">
        <v>40015</v>
      </c>
      <c r="I3196" s="563">
        <v>64.349999999999994</v>
      </c>
      <c r="J3196" s="563">
        <v>-64.349999999999994</v>
      </c>
      <c r="K3196" s="582">
        <f t="shared" si="147"/>
        <v>0</v>
      </c>
      <c r="L3196" s="563">
        <f t="shared" si="148"/>
        <v>0</v>
      </c>
      <c r="M3196" s="563">
        <f t="shared" si="149"/>
        <v>70.784999999999997</v>
      </c>
      <c r="N3196" s="580"/>
    </row>
    <row r="3197" spans="4:14" x14ac:dyDescent="0.25">
      <c r="D3197" s="559" t="s">
        <v>867</v>
      </c>
      <c r="E3197" s="558" t="s">
        <v>1230</v>
      </c>
      <c r="F3197" s="559">
        <v>500893</v>
      </c>
      <c r="G3197" s="558" t="s">
        <v>1229</v>
      </c>
      <c r="H3197" s="564">
        <v>40015</v>
      </c>
      <c r="I3197" s="563">
        <v>64.349999999999994</v>
      </c>
      <c r="J3197" s="563">
        <v>-64.349999999999994</v>
      </c>
      <c r="K3197" s="582">
        <f t="shared" si="147"/>
        <v>0</v>
      </c>
      <c r="L3197" s="563">
        <f t="shared" si="148"/>
        <v>0</v>
      </c>
      <c r="M3197" s="563">
        <f t="shared" si="149"/>
        <v>70.784999999999997</v>
      </c>
      <c r="N3197" s="580"/>
    </row>
    <row r="3198" spans="4:14" x14ac:dyDescent="0.25">
      <c r="D3198" s="559" t="s">
        <v>867</v>
      </c>
      <c r="E3198" s="558" t="s">
        <v>1231</v>
      </c>
      <c r="F3198" s="559">
        <v>500894</v>
      </c>
      <c r="G3198" s="558" t="s">
        <v>1229</v>
      </c>
      <c r="H3198" s="564">
        <v>40015</v>
      </c>
      <c r="I3198" s="563">
        <v>64.349999999999994</v>
      </c>
      <c r="J3198" s="563">
        <v>-64.349999999999994</v>
      </c>
      <c r="K3198" s="582">
        <f t="shared" si="147"/>
        <v>0</v>
      </c>
      <c r="L3198" s="563">
        <f t="shared" si="148"/>
        <v>0</v>
      </c>
      <c r="M3198" s="563">
        <f t="shared" si="149"/>
        <v>70.784999999999997</v>
      </c>
      <c r="N3198" s="580"/>
    </row>
    <row r="3199" spans="4:14" x14ac:dyDescent="0.25">
      <c r="D3199" s="559" t="s">
        <v>867</v>
      </c>
      <c r="E3199" s="558" t="s">
        <v>1232</v>
      </c>
      <c r="F3199" s="559">
        <v>500895</v>
      </c>
      <c r="G3199" s="558" t="s">
        <v>1229</v>
      </c>
      <c r="H3199" s="564">
        <v>40015</v>
      </c>
      <c r="I3199" s="563">
        <v>64.349999999999994</v>
      </c>
      <c r="J3199" s="563">
        <v>-64.349999999999994</v>
      </c>
      <c r="K3199" s="582">
        <f t="shared" si="147"/>
        <v>0</v>
      </c>
      <c r="L3199" s="563">
        <f t="shared" si="148"/>
        <v>0</v>
      </c>
      <c r="M3199" s="563">
        <f t="shared" si="149"/>
        <v>70.784999999999997</v>
      </c>
      <c r="N3199" s="580"/>
    </row>
    <row r="3200" spans="4:14" x14ac:dyDescent="0.25">
      <c r="D3200" s="559" t="s">
        <v>867</v>
      </c>
      <c r="E3200" s="558" t="s">
        <v>1233</v>
      </c>
      <c r="F3200" s="559">
        <v>500896</v>
      </c>
      <c r="G3200" s="558" t="s">
        <v>1229</v>
      </c>
      <c r="H3200" s="564">
        <v>40015</v>
      </c>
      <c r="I3200" s="563">
        <v>64.349999999999994</v>
      </c>
      <c r="J3200" s="563">
        <v>-64.349999999999994</v>
      </c>
      <c r="K3200" s="582">
        <f t="shared" si="147"/>
        <v>0</v>
      </c>
      <c r="L3200" s="563">
        <f t="shared" si="148"/>
        <v>0</v>
      </c>
      <c r="M3200" s="563">
        <f t="shared" si="149"/>
        <v>70.784999999999997</v>
      </c>
      <c r="N3200" s="580"/>
    </row>
    <row r="3201" spans="4:14" x14ac:dyDescent="0.25">
      <c r="D3201" s="559" t="s">
        <v>867</v>
      </c>
      <c r="E3201" s="558" t="s">
        <v>1234</v>
      </c>
      <c r="F3201" s="559">
        <v>500897</v>
      </c>
      <c r="G3201" s="558" t="s">
        <v>1235</v>
      </c>
      <c r="H3201" s="564">
        <v>40015</v>
      </c>
      <c r="I3201" s="563">
        <v>64.349999999999994</v>
      </c>
      <c r="J3201" s="563">
        <v>-64.349999999999994</v>
      </c>
      <c r="K3201" s="582">
        <f t="shared" si="147"/>
        <v>0</v>
      </c>
      <c r="L3201" s="563">
        <f t="shared" si="148"/>
        <v>0</v>
      </c>
      <c r="M3201" s="563">
        <f t="shared" si="149"/>
        <v>70.784999999999997</v>
      </c>
      <c r="N3201" s="580"/>
    </row>
    <row r="3202" spans="4:14" x14ac:dyDescent="0.25">
      <c r="D3202" s="559" t="s">
        <v>867</v>
      </c>
      <c r="E3202" s="558" t="s">
        <v>1236</v>
      </c>
      <c r="F3202" s="559">
        <v>500898</v>
      </c>
      <c r="G3202" s="558" t="s">
        <v>1235</v>
      </c>
      <c r="H3202" s="564">
        <v>40015</v>
      </c>
      <c r="I3202" s="563">
        <v>64.349999999999994</v>
      </c>
      <c r="J3202" s="563">
        <v>-64.349999999999994</v>
      </c>
      <c r="K3202" s="582">
        <f t="shared" si="147"/>
        <v>0</v>
      </c>
      <c r="L3202" s="563">
        <f t="shared" si="148"/>
        <v>0</v>
      </c>
      <c r="M3202" s="563">
        <f t="shared" si="149"/>
        <v>70.784999999999997</v>
      </c>
      <c r="N3202" s="580"/>
    </row>
    <row r="3203" spans="4:14" x14ac:dyDescent="0.25">
      <c r="D3203" s="559" t="s">
        <v>867</v>
      </c>
      <c r="E3203" s="558" t="s">
        <v>1237</v>
      </c>
      <c r="F3203" s="559">
        <v>500899</v>
      </c>
      <c r="G3203" s="558" t="s">
        <v>1235</v>
      </c>
      <c r="H3203" s="564">
        <v>40015</v>
      </c>
      <c r="I3203" s="563">
        <v>64.349999999999994</v>
      </c>
      <c r="J3203" s="563">
        <v>-64.349999999999994</v>
      </c>
      <c r="K3203" s="582">
        <f t="shared" si="147"/>
        <v>0</v>
      </c>
      <c r="L3203" s="563">
        <f t="shared" si="148"/>
        <v>0</v>
      </c>
      <c r="M3203" s="563">
        <f t="shared" si="149"/>
        <v>70.784999999999997</v>
      </c>
      <c r="N3203" s="580"/>
    </row>
    <row r="3204" spans="4:14" x14ac:dyDescent="0.25">
      <c r="D3204" s="559" t="s">
        <v>867</v>
      </c>
      <c r="E3204" s="558" t="s">
        <v>1238</v>
      </c>
      <c r="F3204" s="559">
        <v>500900</v>
      </c>
      <c r="G3204" s="558" t="s">
        <v>1235</v>
      </c>
      <c r="H3204" s="564">
        <v>40015</v>
      </c>
      <c r="I3204" s="563">
        <v>64.349999999999994</v>
      </c>
      <c r="J3204" s="563">
        <v>-64.349999999999994</v>
      </c>
      <c r="K3204" s="582">
        <f t="shared" si="147"/>
        <v>0</v>
      </c>
      <c r="L3204" s="563">
        <f t="shared" si="148"/>
        <v>0</v>
      </c>
      <c r="M3204" s="563">
        <f t="shared" si="149"/>
        <v>70.784999999999997</v>
      </c>
      <c r="N3204" s="580"/>
    </row>
    <row r="3205" spans="4:14" x14ac:dyDescent="0.25">
      <c r="D3205" s="559" t="s">
        <v>867</v>
      </c>
      <c r="E3205" s="558" t="s">
        <v>1239</v>
      </c>
      <c r="F3205" s="559">
        <v>500901</v>
      </c>
      <c r="G3205" s="558" t="s">
        <v>1235</v>
      </c>
      <c r="H3205" s="564">
        <v>40015</v>
      </c>
      <c r="I3205" s="563">
        <v>688.35</v>
      </c>
      <c r="J3205" s="563">
        <v>-585</v>
      </c>
      <c r="K3205" s="582">
        <f t="shared" si="147"/>
        <v>103.35000000000002</v>
      </c>
      <c r="L3205" s="563">
        <f t="shared" si="148"/>
        <v>113.68500000000003</v>
      </c>
      <c r="M3205" s="563">
        <f t="shared" si="149"/>
        <v>757.18500000000006</v>
      </c>
      <c r="N3205" s="580"/>
    </row>
    <row r="3206" spans="4:14" x14ac:dyDescent="0.25">
      <c r="D3206" s="559" t="s">
        <v>867</v>
      </c>
      <c r="E3206" s="558" t="s">
        <v>1240</v>
      </c>
      <c r="F3206" s="559">
        <v>500902</v>
      </c>
      <c r="G3206" s="558" t="s">
        <v>1241</v>
      </c>
      <c r="H3206" s="564">
        <v>40015</v>
      </c>
      <c r="I3206" s="563">
        <v>688.35</v>
      </c>
      <c r="J3206" s="563">
        <v>-585</v>
      </c>
      <c r="K3206" s="582">
        <f t="shared" si="147"/>
        <v>103.35000000000002</v>
      </c>
      <c r="L3206" s="563">
        <f t="shared" si="148"/>
        <v>113.68500000000003</v>
      </c>
      <c r="M3206" s="563">
        <f t="shared" si="149"/>
        <v>757.18500000000006</v>
      </c>
      <c r="N3206" s="580"/>
    </row>
    <row r="3207" spans="4:14" x14ac:dyDescent="0.25">
      <c r="D3207" s="559" t="s">
        <v>867</v>
      </c>
      <c r="E3207" s="558" t="s">
        <v>1242</v>
      </c>
      <c r="F3207" s="559">
        <v>500903</v>
      </c>
      <c r="G3207" s="558" t="s">
        <v>1241</v>
      </c>
      <c r="H3207" s="564">
        <v>40015</v>
      </c>
      <c r="I3207" s="563">
        <v>64.349999999999994</v>
      </c>
      <c r="J3207" s="563">
        <v>-64.349999999999994</v>
      </c>
      <c r="K3207" s="582">
        <f t="shared" si="147"/>
        <v>0</v>
      </c>
      <c r="L3207" s="563">
        <f t="shared" si="148"/>
        <v>0</v>
      </c>
      <c r="M3207" s="563">
        <f t="shared" si="149"/>
        <v>70.784999999999997</v>
      </c>
      <c r="N3207" s="580"/>
    </row>
    <row r="3208" spans="4:14" x14ac:dyDescent="0.25">
      <c r="D3208" s="559" t="s">
        <v>867</v>
      </c>
      <c r="E3208" s="558" t="s">
        <v>1243</v>
      </c>
      <c r="F3208" s="559">
        <v>500904</v>
      </c>
      <c r="G3208" s="558" t="s">
        <v>1241</v>
      </c>
      <c r="H3208" s="564">
        <v>40015</v>
      </c>
      <c r="I3208" s="563">
        <v>25.35</v>
      </c>
      <c r="J3208" s="563">
        <v>-25.35</v>
      </c>
      <c r="K3208" s="582">
        <f t="shared" si="147"/>
        <v>0</v>
      </c>
      <c r="L3208" s="563">
        <f t="shared" si="148"/>
        <v>0</v>
      </c>
      <c r="M3208" s="563">
        <f t="shared" si="149"/>
        <v>27.885000000000005</v>
      </c>
      <c r="N3208" s="580"/>
    </row>
    <row r="3209" spans="4:14" x14ac:dyDescent="0.25">
      <c r="D3209" s="559" t="s">
        <v>867</v>
      </c>
      <c r="E3209" s="558" t="s">
        <v>1244</v>
      </c>
      <c r="F3209" s="559">
        <v>500905</v>
      </c>
      <c r="G3209" s="558" t="s">
        <v>1241</v>
      </c>
      <c r="H3209" s="564">
        <v>40015</v>
      </c>
      <c r="I3209" s="563">
        <v>64.349999999999994</v>
      </c>
      <c r="J3209" s="563">
        <v>-64.349999999999994</v>
      </c>
      <c r="K3209" s="582">
        <f t="shared" si="147"/>
        <v>0</v>
      </c>
      <c r="L3209" s="563">
        <f t="shared" si="148"/>
        <v>0</v>
      </c>
      <c r="M3209" s="563">
        <f t="shared" si="149"/>
        <v>70.784999999999997</v>
      </c>
      <c r="N3209" s="580"/>
    </row>
    <row r="3210" spans="4:14" x14ac:dyDescent="0.25">
      <c r="D3210" s="559" t="s">
        <v>867</v>
      </c>
      <c r="E3210" s="558" t="s">
        <v>1245</v>
      </c>
      <c r="F3210" s="559">
        <v>500906</v>
      </c>
      <c r="G3210" s="558" t="s">
        <v>1241</v>
      </c>
      <c r="H3210" s="564">
        <v>40015</v>
      </c>
      <c r="I3210" s="563">
        <v>688.35</v>
      </c>
      <c r="J3210" s="563">
        <v>-585</v>
      </c>
      <c r="K3210" s="582">
        <f t="shared" si="147"/>
        <v>103.35000000000002</v>
      </c>
      <c r="L3210" s="563">
        <f t="shared" si="148"/>
        <v>113.68500000000003</v>
      </c>
      <c r="M3210" s="563">
        <f t="shared" si="149"/>
        <v>757.18500000000006</v>
      </c>
      <c r="N3210" s="580"/>
    </row>
    <row r="3211" spans="4:14" x14ac:dyDescent="0.25">
      <c r="D3211" s="559" t="s">
        <v>867</v>
      </c>
      <c r="E3211" s="558" t="s">
        <v>1246</v>
      </c>
      <c r="F3211" s="559">
        <v>500907</v>
      </c>
      <c r="G3211" s="558" t="s">
        <v>1247</v>
      </c>
      <c r="H3211" s="564">
        <v>40015</v>
      </c>
      <c r="I3211" s="563">
        <v>25.35</v>
      </c>
      <c r="J3211" s="563">
        <v>-25.35</v>
      </c>
      <c r="K3211" s="582">
        <f t="shared" si="147"/>
        <v>0</v>
      </c>
      <c r="L3211" s="563">
        <f t="shared" si="148"/>
        <v>0</v>
      </c>
      <c r="M3211" s="563">
        <f t="shared" si="149"/>
        <v>27.885000000000005</v>
      </c>
      <c r="N3211" s="580"/>
    </row>
    <row r="3212" spans="4:14" x14ac:dyDescent="0.25">
      <c r="D3212" s="559" t="s">
        <v>867</v>
      </c>
      <c r="E3212" s="558" t="s">
        <v>1248</v>
      </c>
      <c r="F3212" s="559">
        <v>500908</v>
      </c>
      <c r="G3212" s="558" t="s">
        <v>1247</v>
      </c>
      <c r="H3212" s="564">
        <v>40015</v>
      </c>
      <c r="I3212" s="563">
        <v>64.349999999999994</v>
      </c>
      <c r="J3212" s="563">
        <v>-64.349999999999994</v>
      </c>
      <c r="K3212" s="582">
        <f t="shared" si="147"/>
        <v>0</v>
      </c>
      <c r="L3212" s="563">
        <f t="shared" si="148"/>
        <v>0</v>
      </c>
      <c r="M3212" s="563">
        <f t="shared" si="149"/>
        <v>70.784999999999997</v>
      </c>
      <c r="N3212" s="580"/>
    </row>
    <row r="3213" spans="4:14" x14ac:dyDescent="0.25">
      <c r="D3213" s="559" t="s">
        <v>867</v>
      </c>
      <c r="E3213" s="558" t="s">
        <v>1249</v>
      </c>
      <c r="F3213" s="559">
        <v>500909</v>
      </c>
      <c r="G3213" s="558" t="s">
        <v>1247</v>
      </c>
      <c r="H3213" s="564">
        <v>40015</v>
      </c>
      <c r="I3213" s="563">
        <v>64.349999999999994</v>
      </c>
      <c r="J3213" s="563">
        <v>-64.349999999999994</v>
      </c>
      <c r="K3213" s="582">
        <f t="shared" si="147"/>
        <v>0</v>
      </c>
      <c r="L3213" s="563">
        <f t="shared" si="148"/>
        <v>0</v>
      </c>
      <c r="M3213" s="563">
        <f t="shared" si="149"/>
        <v>70.784999999999997</v>
      </c>
      <c r="N3213" s="580"/>
    </row>
    <row r="3214" spans="4:14" x14ac:dyDescent="0.25">
      <c r="D3214" s="559" t="s">
        <v>867</v>
      </c>
      <c r="E3214" s="558" t="s">
        <v>1250</v>
      </c>
      <c r="F3214" s="559">
        <v>500910</v>
      </c>
      <c r="G3214" s="558" t="s">
        <v>1247</v>
      </c>
      <c r="H3214" s="564">
        <v>40015</v>
      </c>
      <c r="I3214" s="563">
        <v>64.349999999999994</v>
      </c>
      <c r="J3214" s="563">
        <v>-64.349999999999994</v>
      </c>
      <c r="K3214" s="582">
        <f t="shared" si="147"/>
        <v>0</v>
      </c>
      <c r="L3214" s="563">
        <f t="shared" si="148"/>
        <v>0</v>
      </c>
      <c r="M3214" s="563">
        <f t="shared" si="149"/>
        <v>70.784999999999997</v>
      </c>
      <c r="N3214" s="580"/>
    </row>
    <row r="3215" spans="4:14" x14ac:dyDescent="0.25">
      <c r="D3215" s="559" t="s">
        <v>867</v>
      </c>
      <c r="E3215" s="558" t="s">
        <v>1251</v>
      </c>
      <c r="F3215" s="559">
        <v>500911</v>
      </c>
      <c r="G3215" s="558" t="s">
        <v>1247</v>
      </c>
      <c r="H3215" s="564">
        <v>40015</v>
      </c>
      <c r="I3215" s="563">
        <v>64.349999999999994</v>
      </c>
      <c r="J3215" s="563">
        <v>-64.349999999999994</v>
      </c>
      <c r="K3215" s="582">
        <f t="shared" si="147"/>
        <v>0</v>
      </c>
      <c r="L3215" s="563">
        <f t="shared" si="148"/>
        <v>0</v>
      </c>
      <c r="M3215" s="563">
        <f t="shared" si="149"/>
        <v>70.784999999999997</v>
      </c>
      <c r="N3215" s="580"/>
    </row>
    <row r="3216" spans="4:14" x14ac:dyDescent="0.25">
      <c r="D3216" s="559" t="s">
        <v>867</v>
      </c>
      <c r="E3216" s="558" t="s">
        <v>1252</v>
      </c>
      <c r="F3216" s="559">
        <v>500912</v>
      </c>
      <c r="G3216" s="558" t="s">
        <v>1253</v>
      </c>
      <c r="H3216" s="564">
        <v>40015</v>
      </c>
      <c r="I3216" s="563">
        <v>64.349999999999994</v>
      </c>
      <c r="J3216" s="563">
        <v>-64.349999999999994</v>
      </c>
      <c r="K3216" s="582">
        <f t="shared" si="147"/>
        <v>0</v>
      </c>
      <c r="L3216" s="563">
        <f t="shared" si="148"/>
        <v>0</v>
      </c>
      <c r="M3216" s="563">
        <f t="shared" si="149"/>
        <v>70.784999999999997</v>
      </c>
      <c r="N3216" s="580"/>
    </row>
    <row r="3217" spans="4:14" x14ac:dyDescent="0.25">
      <c r="D3217" s="559" t="s">
        <v>867</v>
      </c>
      <c r="E3217" s="558" t="s">
        <v>1254</v>
      </c>
      <c r="F3217" s="559">
        <v>500913</v>
      </c>
      <c r="G3217" s="558" t="s">
        <v>1253</v>
      </c>
      <c r="H3217" s="564">
        <v>40015</v>
      </c>
      <c r="I3217" s="563">
        <v>64.349999999999994</v>
      </c>
      <c r="J3217" s="563">
        <v>-64.349999999999994</v>
      </c>
      <c r="K3217" s="582">
        <f t="shared" si="147"/>
        <v>0</v>
      </c>
      <c r="L3217" s="563">
        <f t="shared" si="148"/>
        <v>0</v>
      </c>
      <c r="M3217" s="563">
        <f t="shared" si="149"/>
        <v>70.784999999999997</v>
      </c>
      <c r="N3217" s="580"/>
    </row>
    <row r="3218" spans="4:14" x14ac:dyDescent="0.25">
      <c r="D3218" s="559" t="s">
        <v>867</v>
      </c>
      <c r="E3218" s="558" t="s">
        <v>1255</v>
      </c>
      <c r="F3218" s="559">
        <v>500914</v>
      </c>
      <c r="G3218" s="558" t="s">
        <v>1253</v>
      </c>
      <c r="H3218" s="564">
        <v>40015</v>
      </c>
      <c r="I3218" s="563">
        <v>64.349999999999994</v>
      </c>
      <c r="J3218" s="563">
        <v>-64.349999999999994</v>
      </c>
      <c r="K3218" s="582">
        <f t="shared" si="147"/>
        <v>0</v>
      </c>
      <c r="L3218" s="563">
        <f t="shared" si="148"/>
        <v>0</v>
      </c>
      <c r="M3218" s="563">
        <f t="shared" si="149"/>
        <v>70.784999999999997</v>
      </c>
      <c r="N3218" s="580"/>
    </row>
    <row r="3219" spans="4:14" x14ac:dyDescent="0.25">
      <c r="D3219" s="559" t="s">
        <v>867</v>
      </c>
      <c r="E3219" s="558" t="s">
        <v>1256</v>
      </c>
      <c r="F3219" s="559">
        <v>500915</v>
      </c>
      <c r="G3219" s="558" t="s">
        <v>1253</v>
      </c>
      <c r="H3219" s="564">
        <v>40015</v>
      </c>
      <c r="I3219" s="563">
        <v>688.35</v>
      </c>
      <c r="J3219" s="563">
        <v>-585</v>
      </c>
      <c r="K3219" s="582">
        <f t="shared" si="147"/>
        <v>103.35000000000002</v>
      </c>
      <c r="L3219" s="563">
        <f t="shared" si="148"/>
        <v>113.68500000000003</v>
      </c>
      <c r="M3219" s="563">
        <f t="shared" si="149"/>
        <v>757.18500000000006</v>
      </c>
      <c r="N3219" s="580"/>
    </row>
    <row r="3220" spans="4:14" x14ac:dyDescent="0.25">
      <c r="D3220" s="559" t="s">
        <v>867</v>
      </c>
      <c r="E3220" s="558" t="s">
        <v>1257</v>
      </c>
      <c r="F3220" s="559">
        <v>500916</v>
      </c>
      <c r="G3220" s="558" t="s">
        <v>1253</v>
      </c>
      <c r="H3220" s="564">
        <v>40015</v>
      </c>
      <c r="I3220" s="563">
        <v>688.35</v>
      </c>
      <c r="J3220" s="563">
        <v>-585</v>
      </c>
      <c r="K3220" s="582">
        <f t="shared" si="147"/>
        <v>103.35000000000002</v>
      </c>
      <c r="L3220" s="563">
        <f t="shared" si="148"/>
        <v>113.68500000000003</v>
      </c>
      <c r="M3220" s="563">
        <f t="shared" si="149"/>
        <v>757.18500000000006</v>
      </c>
      <c r="N3220" s="580"/>
    </row>
    <row r="3221" spans="4:14" x14ac:dyDescent="0.25">
      <c r="D3221" s="559" t="s">
        <v>867</v>
      </c>
      <c r="E3221" s="558" t="s">
        <v>1258</v>
      </c>
      <c r="F3221" s="559">
        <v>500917</v>
      </c>
      <c r="G3221" s="558" t="s">
        <v>1259</v>
      </c>
      <c r="H3221" s="564">
        <v>40015</v>
      </c>
      <c r="I3221" s="563">
        <v>688.35</v>
      </c>
      <c r="J3221" s="563">
        <v>-585</v>
      </c>
      <c r="K3221" s="582">
        <f t="shared" si="147"/>
        <v>103.35000000000002</v>
      </c>
      <c r="L3221" s="563">
        <f t="shared" si="148"/>
        <v>113.68500000000003</v>
      </c>
      <c r="M3221" s="563">
        <f t="shared" si="149"/>
        <v>757.18500000000006</v>
      </c>
      <c r="N3221" s="580"/>
    </row>
    <row r="3222" spans="4:14" x14ac:dyDescent="0.25">
      <c r="D3222" s="559" t="s">
        <v>867</v>
      </c>
      <c r="E3222" s="558" t="s">
        <v>1260</v>
      </c>
      <c r="F3222" s="559">
        <v>500918</v>
      </c>
      <c r="G3222" s="558" t="s">
        <v>1259</v>
      </c>
      <c r="H3222" s="564">
        <v>40015</v>
      </c>
      <c r="I3222" s="563">
        <v>688.35</v>
      </c>
      <c r="J3222" s="563">
        <v>-585</v>
      </c>
      <c r="K3222" s="582">
        <f t="shared" si="147"/>
        <v>103.35000000000002</v>
      </c>
      <c r="L3222" s="563">
        <f t="shared" si="148"/>
        <v>113.68500000000003</v>
      </c>
      <c r="M3222" s="563">
        <f t="shared" si="149"/>
        <v>757.18500000000006</v>
      </c>
      <c r="N3222" s="580"/>
    </row>
    <row r="3223" spans="4:14" x14ac:dyDescent="0.25">
      <c r="D3223" s="559" t="s">
        <v>867</v>
      </c>
      <c r="E3223" s="558" t="s">
        <v>1261</v>
      </c>
      <c r="F3223" s="559">
        <v>500919</v>
      </c>
      <c r="G3223" s="558" t="s">
        <v>1259</v>
      </c>
      <c r="H3223" s="564">
        <v>40015</v>
      </c>
      <c r="I3223" s="563">
        <v>64.349999999999994</v>
      </c>
      <c r="J3223" s="563">
        <v>-64.349999999999994</v>
      </c>
      <c r="K3223" s="582">
        <f t="shared" si="147"/>
        <v>0</v>
      </c>
      <c r="L3223" s="563">
        <f t="shared" si="148"/>
        <v>0</v>
      </c>
      <c r="M3223" s="563">
        <f t="shared" si="149"/>
        <v>70.784999999999997</v>
      </c>
      <c r="N3223" s="580"/>
    </row>
    <row r="3224" spans="4:14" x14ac:dyDescent="0.25">
      <c r="D3224" s="559" t="s">
        <v>867</v>
      </c>
      <c r="E3224" s="558" t="s">
        <v>1262</v>
      </c>
      <c r="F3224" s="559">
        <v>500920</v>
      </c>
      <c r="G3224" s="558" t="s">
        <v>1259</v>
      </c>
      <c r="H3224" s="564">
        <v>40015</v>
      </c>
      <c r="I3224" s="563">
        <v>64.349999999999994</v>
      </c>
      <c r="J3224" s="563">
        <v>-64.349999999999994</v>
      </c>
      <c r="K3224" s="582">
        <f t="shared" si="147"/>
        <v>0</v>
      </c>
      <c r="L3224" s="563">
        <f t="shared" si="148"/>
        <v>0</v>
      </c>
      <c r="M3224" s="563">
        <f t="shared" si="149"/>
        <v>70.784999999999997</v>
      </c>
      <c r="N3224" s="580"/>
    </row>
    <row r="3225" spans="4:14" x14ac:dyDescent="0.25">
      <c r="D3225" s="559" t="s">
        <v>867</v>
      </c>
      <c r="E3225" s="558" t="s">
        <v>1263</v>
      </c>
      <c r="F3225" s="559">
        <v>500921</v>
      </c>
      <c r="G3225" s="558" t="s">
        <v>1259</v>
      </c>
      <c r="H3225" s="564">
        <v>40015</v>
      </c>
      <c r="I3225" s="563">
        <v>64.349999999999994</v>
      </c>
      <c r="J3225" s="563">
        <v>-64.349999999999994</v>
      </c>
      <c r="K3225" s="582">
        <f t="shared" si="147"/>
        <v>0</v>
      </c>
      <c r="L3225" s="563">
        <f t="shared" si="148"/>
        <v>0</v>
      </c>
      <c r="M3225" s="563">
        <f t="shared" si="149"/>
        <v>70.784999999999997</v>
      </c>
      <c r="N3225" s="580"/>
    </row>
    <row r="3226" spans="4:14" x14ac:dyDescent="0.25">
      <c r="D3226" s="559" t="s">
        <v>867</v>
      </c>
      <c r="E3226" s="558" t="s">
        <v>1264</v>
      </c>
      <c r="F3226" s="559">
        <v>500922</v>
      </c>
      <c r="G3226" s="558" t="s">
        <v>1265</v>
      </c>
      <c r="H3226" s="564">
        <v>40015</v>
      </c>
      <c r="I3226" s="563">
        <v>64.349999999999994</v>
      </c>
      <c r="J3226" s="563">
        <v>-64.349999999999994</v>
      </c>
      <c r="K3226" s="582">
        <f t="shared" si="147"/>
        <v>0</v>
      </c>
      <c r="L3226" s="563">
        <f t="shared" si="148"/>
        <v>0</v>
      </c>
      <c r="M3226" s="563">
        <f t="shared" si="149"/>
        <v>70.784999999999997</v>
      </c>
      <c r="N3226" s="580"/>
    </row>
    <row r="3227" spans="4:14" x14ac:dyDescent="0.25">
      <c r="D3227" s="559" t="s">
        <v>867</v>
      </c>
      <c r="E3227" s="558" t="s">
        <v>1266</v>
      </c>
      <c r="F3227" s="559">
        <v>500923</v>
      </c>
      <c r="G3227" s="558" t="s">
        <v>1265</v>
      </c>
      <c r="H3227" s="564">
        <v>40015</v>
      </c>
      <c r="I3227" s="563">
        <v>64.349999999999994</v>
      </c>
      <c r="J3227" s="563">
        <v>-64.349999999999994</v>
      </c>
      <c r="K3227" s="582">
        <f t="shared" si="147"/>
        <v>0</v>
      </c>
      <c r="L3227" s="563">
        <f t="shared" si="148"/>
        <v>0</v>
      </c>
      <c r="M3227" s="563">
        <f t="shared" si="149"/>
        <v>70.784999999999997</v>
      </c>
      <c r="N3227" s="580"/>
    </row>
    <row r="3228" spans="4:14" x14ac:dyDescent="0.25">
      <c r="D3228" s="559" t="s">
        <v>867</v>
      </c>
      <c r="E3228" s="558" t="s">
        <v>1267</v>
      </c>
      <c r="F3228" s="559">
        <v>500924</v>
      </c>
      <c r="G3228" s="558" t="s">
        <v>1265</v>
      </c>
      <c r="H3228" s="564">
        <v>40015</v>
      </c>
      <c r="I3228" s="563">
        <v>64.349999999999994</v>
      </c>
      <c r="J3228" s="563">
        <v>-64.349999999999994</v>
      </c>
      <c r="K3228" s="582">
        <f t="shared" si="147"/>
        <v>0</v>
      </c>
      <c r="L3228" s="563">
        <f t="shared" si="148"/>
        <v>0</v>
      </c>
      <c r="M3228" s="563">
        <f t="shared" si="149"/>
        <v>70.784999999999997</v>
      </c>
      <c r="N3228" s="580"/>
    </row>
    <row r="3229" spans="4:14" x14ac:dyDescent="0.25">
      <c r="D3229" s="559" t="s">
        <v>867</v>
      </c>
      <c r="E3229" s="558" t="s">
        <v>1268</v>
      </c>
      <c r="F3229" s="559">
        <v>500925</v>
      </c>
      <c r="G3229" s="558" t="s">
        <v>1265</v>
      </c>
      <c r="H3229" s="564">
        <v>40015</v>
      </c>
      <c r="I3229" s="563">
        <v>64.349999999999994</v>
      </c>
      <c r="J3229" s="563">
        <v>-64.349999999999994</v>
      </c>
      <c r="K3229" s="582">
        <f t="shared" si="147"/>
        <v>0</v>
      </c>
      <c r="L3229" s="563">
        <f t="shared" si="148"/>
        <v>0</v>
      </c>
      <c r="M3229" s="563">
        <f t="shared" si="149"/>
        <v>70.784999999999997</v>
      </c>
      <c r="N3229" s="580"/>
    </row>
    <row r="3230" spans="4:14" x14ac:dyDescent="0.25">
      <c r="D3230" s="559" t="s">
        <v>867</v>
      </c>
      <c r="E3230" s="558" t="s">
        <v>1269</v>
      </c>
      <c r="F3230" s="559">
        <v>500926</v>
      </c>
      <c r="G3230" s="558" t="s">
        <v>1265</v>
      </c>
      <c r="H3230" s="564">
        <v>40015</v>
      </c>
      <c r="I3230" s="563">
        <v>64.349999999999994</v>
      </c>
      <c r="J3230" s="563">
        <v>-64.349999999999994</v>
      </c>
      <c r="K3230" s="582">
        <f t="shared" si="147"/>
        <v>0</v>
      </c>
      <c r="L3230" s="563">
        <f t="shared" si="148"/>
        <v>0</v>
      </c>
      <c r="M3230" s="563">
        <f t="shared" si="149"/>
        <v>70.784999999999997</v>
      </c>
      <c r="N3230" s="580"/>
    </row>
    <row r="3231" spans="4:14" x14ac:dyDescent="0.25">
      <c r="D3231" s="559" t="s">
        <v>867</v>
      </c>
      <c r="E3231" s="558" t="s">
        <v>1270</v>
      </c>
      <c r="F3231" s="559">
        <v>500927</v>
      </c>
      <c r="G3231" s="558" t="s">
        <v>1271</v>
      </c>
      <c r="H3231" s="564">
        <v>40015</v>
      </c>
      <c r="I3231" s="563">
        <v>64.349999999999994</v>
      </c>
      <c r="J3231" s="563">
        <v>-64.349999999999994</v>
      </c>
      <c r="K3231" s="582">
        <f t="shared" si="147"/>
        <v>0</v>
      </c>
      <c r="L3231" s="563">
        <f t="shared" si="148"/>
        <v>0</v>
      </c>
      <c r="M3231" s="563">
        <f t="shared" si="149"/>
        <v>70.784999999999997</v>
      </c>
      <c r="N3231" s="580"/>
    </row>
    <row r="3232" spans="4:14" x14ac:dyDescent="0.25">
      <c r="D3232" s="559" t="s">
        <v>867</v>
      </c>
      <c r="E3232" s="558" t="s">
        <v>1272</v>
      </c>
      <c r="F3232" s="559">
        <v>500928</v>
      </c>
      <c r="G3232" s="558" t="s">
        <v>1271</v>
      </c>
      <c r="H3232" s="564">
        <v>40015</v>
      </c>
      <c r="I3232" s="563">
        <v>688.35</v>
      </c>
      <c r="J3232" s="563">
        <v>-585</v>
      </c>
      <c r="K3232" s="582">
        <f t="shared" si="147"/>
        <v>103.35000000000002</v>
      </c>
      <c r="L3232" s="563">
        <f t="shared" si="148"/>
        <v>113.68500000000003</v>
      </c>
      <c r="M3232" s="563">
        <f t="shared" si="149"/>
        <v>757.18500000000006</v>
      </c>
      <c r="N3232" s="580"/>
    </row>
    <row r="3233" spans="4:14" x14ac:dyDescent="0.25">
      <c r="D3233" s="559" t="s">
        <v>867</v>
      </c>
      <c r="E3233" s="558" t="s">
        <v>1273</v>
      </c>
      <c r="F3233" s="559">
        <v>500929</v>
      </c>
      <c r="G3233" s="558" t="s">
        <v>1271</v>
      </c>
      <c r="H3233" s="564">
        <v>40015</v>
      </c>
      <c r="I3233" s="563">
        <v>64.349999999999994</v>
      </c>
      <c r="J3233" s="563">
        <v>-64.349999999999994</v>
      </c>
      <c r="K3233" s="582">
        <f t="shared" si="147"/>
        <v>0</v>
      </c>
      <c r="L3233" s="563">
        <f t="shared" si="148"/>
        <v>0</v>
      </c>
      <c r="M3233" s="563">
        <f t="shared" si="149"/>
        <v>70.784999999999997</v>
      </c>
      <c r="N3233" s="580"/>
    </row>
    <row r="3234" spans="4:14" x14ac:dyDescent="0.25">
      <c r="D3234" s="559" t="s">
        <v>867</v>
      </c>
      <c r="E3234" s="558" t="s">
        <v>1274</v>
      </c>
      <c r="F3234" s="559">
        <v>500930</v>
      </c>
      <c r="G3234" s="558" t="s">
        <v>1271</v>
      </c>
      <c r="H3234" s="564">
        <v>40015</v>
      </c>
      <c r="I3234" s="563">
        <v>64.349999999999994</v>
      </c>
      <c r="J3234" s="563">
        <v>-64.349999999999994</v>
      </c>
      <c r="K3234" s="582">
        <f t="shared" si="147"/>
        <v>0</v>
      </c>
      <c r="L3234" s="563">
        <f t="shared" si="148"/>
        <v>0</v>
      </c>
      <c r="M3234" s="563">
        <f t="shared" si="149"/>
        <v>70.784999999999997</v>
      </c>
      <c r="N3234" s="580"/>
    </row>
    <row r="3235" spans="4:14" x14ac:dyDescent="0.25">
      <c r="D3235" s="559" t="s">
        <v>867</v>
      </c>
      <c r="E3235" s="558" t="s">
        <v>1275</v>
      </c>
      <c r="F3235" s="559">
        <v>500931</v>
      </c>
      <c r="G3235" s="558" t="s">
        <v>1271</v>
      </c>
      <c r="H3235" s="564">
        <v>40015</v>
      </c>
      <c r="I3235" s="563">
        <v>64.349999999999994</v>
      </c>
      <c r="J3235" s="563">
        <v>-64.349999999999994</v>
      </c>
      <c r="K3235" s="582">
        <f t="shared" si="147"/>
        <v>0</v>
      </c>
      <c r="L3235" s="563">
        <f t="shared" si="148"/>
        <v>0</v>
      </c>
      <c r="M3235" s="563">
        <f t="shared" si="149"/>
        <v>70.784999999999997</v>
      </c>
      <c r="N3235" s="580"/>
    </row>
    <row r="3236" spans="4:14" x14ac:dyDescent="0.25">
      <c r="D3236" s="559" t="s">
        <v>867</v>
      </c>
      <c r="E3236" s="558" t="s">
        <v>1276</v>
      </c>
      <c r="F3236" s="559">
        <v>500932</v>
      </c>
      <c r="G3236" s="558" t="s">
        <v>1277</v>
      </c>
      <c r="H3236" s="564">
        <v>40015</v>
      </c>
      <c r="I3236" s="563">
        <v>64.349999999999994</v>
      </c>
      <c r="J3236" s="563">
        <v>-64.349999999999994</v>
      </c>
      <c r="K3236" s="582">
        <f t="shared" si="147"/>
        <v>0</v>
      </c>
      <c r="L3236" s="563">
        <f t="shared" si="148"/>
        <v>0</v>
      </c>
      <c r="M3236" s="563">
        <f t="shared" si="149"/>
        <v>70.784999999999997</v>
      </c>
      <c r="N3236" s="580"/>
    </row>
    <row r="3237" spans="4:14" x14ac:dyDescent="0.25">
      <c r="D3237" s="559" t="s">
        <v>867</v>
      </c>
      <c r="E3237" s="558" t="s">
        <v>1278</v>
      </c>
      <c r="F3237" s="559">
        <v>500933</v>
      </c>
      <c r="G3237" s="558" t="s">
        <v>1277</v>
      </c>
      <c r="H3237" s="564">
        <v>40015</v>
      </c>
      <c r="I3237" s="563">
        <v>64.349999999999994</v>
      </c>
      <c r="J3237" s="563">
        <v>-64.349999999999994</v>
      </c>
      <c r="K3237" s="582">
        <f t="shared" si="147"/>
        <v>0</v>
      </c>
      <c r="L3237" s="563">
        <f t="shared" si="148"/>
        <v>0</v>
      </c>
      <c r="M3237" s="563">
        <f t="shared" si="149"/>
        <v>70.784999999999997</v>
      </c>
      <c r="N3237" s="580"/>
    </row>
    <row r="3238" spans="4:14" x14ac:dyDescent="0.25">
      <c r="D3238" s="559" t="s">
        <v>867</v>
      </c>
      <c r="E3238" s="558" t="s">
        <v>1279</v>
      </c>
      <c r="F3238" s="559">
        <v>500934</v>
      </c>
      <c r="G3238" s="558" t="s">
        <v>1277</v>
      </c>
      <c r="H3238" s="564">
        <v>40015</v>
      </c>
      <c r="I3238" s="563">
        <v>64.349999999999994</v>
      </c>
      <c r="J3238" s="563">
        <v>-64.349999999999994</v>
      </c>
      <c r="K3238" s="582">
        <f t="shared" si="147"/>
        <v>0</v>
      </c>
      <c r="L3238" s="563">
        <f t="shared" si="148"/>
        <v>0</v>
      </c>
      <c r="M3238" s="563">
        <f t="shared" si="149"/>
        <v>70.784999999999997</v>
      </c>
      <c r="N3238" s="580"/>
    </row>
    <row r="3239" spans="4:14" x14ac:dyDescent="0.25">
      <c r="D3239" s="559" t="s">
        <v>867</v>
      </c>
      <c r="E3239" s="558" t="s">
        <v>1280</v>
      </c>
      <c r="F3239" s="559">
        <v>500935</v>
      </c>
      <c r="G3239" s="558" t="s">
        <v>1277</v>
      </c>
      <c r="H3239" s="564">
        <v>40015</v>
      </c>
      <c r="I3239" s="563">
        <v>64.349999999999994</v>
      </c>
      <c r="J3239" s="563">
        <v>-64.349999999999994</v>
      </c>
      <c r="K3239" s="582">
        <f t="shared" si="147"/>
        <v>0</v>
      </c>
      <c r="L3239" s="563">
        <f t="shared" si="148"/>
        <v>0</v>
      </c>
      <c r="M3239" s="563">
        <f t="shared" si="149"/>
        <v>70.784999999999997</v>
      </c>
      <c r="N3239" s="580"/>
    </row>
    <row r="3240" spans="4:14" x14ac:dyDescent="0.25">
      <c r="D3240" s="559" t="s">
        <v>867</v>
      </c>
      <c r="E3240" s="558" t="s">
        <v>1281</v>
      </c>
      <c r="F3240" s="559">
        <v>500936</v>
      </c>
      <c r="G3240" s="558" t="s">
        <v>1277</v>
      </c>
      <c r="H3240" s="564">
        <v>40015</v>
      </c>
      <c r="I3240" s="563">
        <v>688.35</v>
      </c>
      <c r="J3240" s="563">
        <v>-585</v>
      </c>
      <c r="K3240" s="582">
        <f t="shared" si="147"/>
        <v>103.35000000000002</v>
      </c>
      <c r="L3240" s="563">
        <f t="shared" si="148"/>
        <v>113.68500000000003</v>
      </c>
      <c r="M3240" s="563">
        <f t="shared" si="149"/>
        <v>757.18500000000006</v>
      </c>
      <c r="N3240" s="580"/>
    </row>
    <row r="3241" spans="4:14" x14ac:dyDescent="0.25">
      <c r="D3241" s="559" t="s">
        <v>867</v>
      </c>
      <c r="E3241" s="558" t="s">
        <v>1282</v>
      </c>
      <c r="F3241" s="559">
        <v>500937</v>
      </c>
      <c r="G3241" s="558" t="s">
        <v>1283</v>
      </c>
      <c r="H3241" s="564">
        <v>40015</v>
      </c>
      <c r="I3241" s="563">
        <v>64.349999999999994</v>
      </c>
      <c r="J3241" s="563">
        <v>-64.349999999999994</v>
      </c>
      <c r="K3241" s="582">
        <f t="shared" ref="K3241:K3304" si="150">+I3241+J3241</f>
        <v>0</v>
      </c>
      <c r="L3241" s="563">
        <f t="shared" ref="L3241:L3304" si="151">+K3241*1.1</f>
        <v>0</v>
      </c>
      <c r="M3241" s="563">
        <f t="shared" ref="M3241:M3304" si="152">+I3241*1.1</f>
        <v>70.784999999999997</v>
      </c>
      <c r="N3241" s="580"/>
    </row>
    <row r="3242" spans="4:14" x14ac:dyDescent="0.25">
      <c r="D3242" s="559" t="s">
        <v>867</v>
      </c>
      <c r="E3242" s="558" t="s">
        <v>1284</v>
      </c>
      <c r="F3242" s="559">
        <v>500938</v>
      </c>
      <c r="G3242" s="558" t="s">
        <v>1283</v>
      </c>
      <c r="H3242" s="564">
        <v>40015</v>
      </c>
      <c r="I3242" s="563">
        <v>64.349999999999994</v>
      </c>
      <c r="J3242" s="563">
        <v>-64.349999999999994</v>
      </c>
      <c r="K3242" s="582">
        <f t="shared" si="150"/>
        <v>0</v>
      </c>
      <c r="L3242" s="563">
        <f t="shared" si="151"/>
        <v>0</v>
      </c>
      <c r="M3242" s="563">
        <f t="shared" si="152"/>
        <v>70.784999999999997</v>
      </c>
      <c r="N3242" s="580"/>
    </row>
    <row r="3243" spans="4:14" x14ac:dyDescent="0.25">
      <c r="D3243" s="559" t="s">
        <v>867</v>
      </c>
      <c r="E3243" s="558" t="s">
        <v>1285</v>
      </c>
      <c r="F3243" s="559">
        <v>500939</v>
      </c>
      <c r="G3243" s="558" t="s">
        <v>1283</v>
      </c>
      <c r="H3243" s="564">
        <v>40015</v>
      </c>
      <c r="I3243" s="563">
        <v>64.349999999999994</v>
      </c>
      <c r="J3243" s="563">
        <v>-64.349999999999994</v>
      </c>
      <c r="K3243" s="582">
        <f t="shared" si="150"/>
        <v>0</v>
      </c>
      <c r="L3243" s="563">
        <f t="shared" si="151"/>
        <v>0</v>
      </c>
      <c r="M3243" s="563">
        <f t="shared" si="152"/>
        <v>70.784999999999997</v>
      </c>
      <c r="N3243" s="580"/>
    </row>
    <row r="3244" spans="4:14" x14ac:dyDescent="0.25">
      <c r="D3244" s="559" t="s">
        <v>867</v>
      </c>
      <c r="E3244" s="558" t="s">
        <v>1286</v>
      </c>
      <c r="F3244" s="559">
        <v>500940</v>
      </c>
      <c r="G3244" s="558" t="s">
        <v>1283</v>
      </c>
      <c r="H3244" s="564">
        <v>40015</v>
      </c>
      <c r="I3244" s="563">
        <v>64.349999999999994</v>
      </c>
      <c r="J3244" s="563">
        <v>-64.349999999999994</v>
      </c>
      <c r="K3244" s="582">
        <f t="shared" si="150"/>
        <v>0</v>
      </c>
      <c r="L3244" s="563">
        <f t="shared" si="151"/>
        <v>0</v>
      </c>
      <c r="M3244" s="563">
        <f t="shared" si="152"/>
        <v>70.784999999999997</v>
      </c>
      <c r="N3244" s="580"/>
    </row>
    <row r="3245" spans="4:14" x14ac:dyDescent="0.25">
      <c r="D3245" s="559" t="s">
        <v>867</v>
      </c>
      <c r="E3245" s="558" t="s">
        <v>1287</v>
      </c>
      <c r="F3245" s="559">
        <v>500941</v>
      </c>
      <c r="G3245" s="558" t="s">
        <v>1283</v>
      </c>
      <c r="H3245" s="564">
        <v>40015</v>
      </c>
      <c r="I3245" s="563">
        <v>25.35</v>
      </c>
      <c r="J3245" s="563">
        <v>-25.35</v>
      </c>
      <c r="K3245" s="582">
        <f t="shared" si="150"/>
        <v>0</v>
      </c>
      <c r="L3245" s="563">
        <f t="shared" si="151"/>
        <v>0</v>
      </c>
      <c r="M3245" s="563">
        <f t="shared" si="152"/>
        <v>27.885000000000005</v>
      </c>
      <c r="N3245" s="580"/>
    </row>
    <row r="3246" spans="4:14" x14ac:dyDescent="0.25">
      <c r="D3246" s="559" t="s">
        <v>867</v>
      </c>
      <c r="E3246" s="558" t="s">
        <v>1288</v>
      </c>
      <c r="F3246" s="559">
        <v>500942</v>
      </c>
      <c r="G3246" s="558" t="s">
        <v>1289</v>
      </c>
      <c r="H3246" s="564">
        <v>40015</v>
      </c>
      <c r="I3246" s="563">
        <v>64.349999999999994</v>
      </c>
      <c r="J3246" s="563">
        <v>-64.349999999999994</v>
      </c>
      <c r="K3246" s="582">
        <f t="shared" si="150"/>
        <v>0</v>
      </c>
      <c r="L3246" s="563">
        <f t="shared" si="151"/>
        <v>0</v>
      </c>
      <c r="M3246" s="563">
        <f t="shared" si="152"/>
        <v>70.784999999999997</v>
      </c>
      <c r="N3246" s="580"/>
    </row>
    <row r="3247" spans="4:14" x14ac:dyDescent="0.25">
      <c r="D3247" s="559" t="s">
        <v>867</v>
      </c>
      <c r="E3247" s="558" t="s">
        <v>1290</v>
      </c>
      <c r="F3247" s="559">
        <v>500943</v>
      </c>
      <c r="G3247" s="558" t="s">
        <v>1289</v>
      </c>
      <c r="H3247" s="564">
        <v>40015</v>
      </c>
      <c r="I3247" s="563">
        <v>64.349999999999994</v>
      </c>
      <c r="J3247" s="563">
        <v>-64.349999999999994</v>
      </c>
      <c r="K3247" s="582">
        <f t="shared" si="150"/>
        <v>0</v>
      </c>
      <c r="L3247" s="563">
        <f t="shared" si="151"/>
        <v>0</v>
      </c>
      <c r="M3247" s="563">
        <f t="shared" si="152"/>
        <v>70.784999999999997</v>
      </c>
      <c r="N3247" s="580"/>
    </row>
    <row r="3248" spans="4:14" x14ac:dyDescent="0.25">
      <c r="D3248" s="559" t="s">
        <v>867</v>
      </c>
      <c r="E3248" s="558" t="s">
        <v>1291</v>
      </c>
      <c r="F3248" s="559">
        <v>500944</v>
      </c>
      <c r="G3248" s="558" t="s">
        <v>1289</v>
      </c>
      <c r="H3248" s="564">
        <v>40015</v>
      </c>
      <c r="I3248" s="563">
        <v>64.349999999999994</v>
      </c>
      <c r="J3248" s="563">
        <v>-64.349999999999994</v>
      </c>
      <c r="K3248" s="582">
        <f t="shared" si="150"/>
        <v>0</v>
      </c>
      <c r="L3248" s="563">
        <f t="shared" si="151"/>
        <v>0</v>
      </c>
      <c r="M3248" s="563">
        <f t="shared" si="152"/>
        <v>70.784999999999997</v>
      </c>
      <c r="N3248" s="580"/>
    </row>
    <row r="3249" spans="4:14" x14ac:dyDescent="0.25">
      <c r="D3249" s="559" t="s">
        <v>867</v>
      </c>
      <c r="E3249" s="558" t="s">
        <v>1292</v>
      </c>
      <c r="F3249" s="559">
        <v>500945</v>
      </c>
      <c r="G3249" s="558" t="s">
        <v>1289</v>
      </c>
      <c r="H3249" s="564">
        <v>40015</v>
      </c>
      <c r="I3249" s="563">
        <v>64.349999999999994</v>
      </c>
      <c r="J3249" s="563">
        <v>-64.349999999999994</v>
      </c>
      <c r="K3249" s="582">
        <f t="shared" si="150"/>
        <v>0</v>
      </c>
      <c r="L3249" s="563">
        <f t="shared" si="151"/>
        <v>0</v>
      </c>
      <c r="M3249" s="563">
        <f t="shared" si="152"/>
        <v>70.784999999999997</v>
      </c>
      <c r="N3249" s="580"/>
    </row>
    <row r="3250" spans="4:14" x14ac:dyDescent="0.25">
      <c r="D3250" s="559" t="s">
        <v>867</v>
      </c>
      <c r="E3250" s="558" t="s">
        <v>1293</v>
      </c>
      <c r="F3250" s="559">
        <v>500946</v>
      </c>
      <c r="G3250" s="558" t="s">
        <v>1289</v>
      </c>
      <c r="H3250" s="564">
        <v>40015</v>
      </c>
      <c r="I3250" s="563">
        <v>64.349999999999994</v>
      </c>
      <c r="J3250" s="563">
        <v>-64.349999999999994</v>
      </c>
      <c r="K3250" s="582">
        <f t="shared" si="150"/>
        <v>0</v>
      </c>
      <c r="L3250" s="563">
        <f t="shared" si="151"/>
        <v>0</v>
      </c>
      <c r="M3250" s="563">
        <f t="shared" si="152"/>
        <v>70.784999999999997</v>
      </c>
      <c r="N3250" s="580"/>
    </row>
    <row r="3251" spans="4:14" x14ac:dyDescent="0.25">
      <c r="D3251" s="559" t="s">
        <v>867</v>
      </c>
      <c r="E3251" s="558" t="s">
        <v>1294</v>
      </c>
      <c r="F3251" s="559">
        <v>500947</v>
      </c>
      <c r="G3251" s="558" t="s">
        <v>1295</v>
      </c>
      <c r="H3251" s="564">
        <v>40015</v>
      </c>
      <c r="I3251" s="563">
        <v>64.349999999999994</v>
      </c>
      <c r="J3251" s="563">
        <v>-64.349999999999994</v>
      </c>
      <c r="K3251" s="582">
        <f t="shared" si="150"/>
        <v>0</v>
      </c>
      <c r="L3251" s="563">
        <f t="shared" si="151"/>
        <v>0</v>
      </c>
      <c r="M3251" s="563">
        <f t="shared" si="152"/>
        <v>70.784999999999997</v>
      </c>
      <c r="N3251" s="580"/>
    </row>
    <row r="3252" spans="4:14" x14ac:dyDescent="0.25">
      <c r="D3252" s="559" t="s">
        <v>867</v>
      </c>
      <c r="E3252" s="558" t="s">
        <v>1296</v>
      </c>
      <c r="F3252" s="559">
        <v>500948</v>
      </c>
      <c r="G3252" s="558" t="s">
        <v>1295</v>
      </c>
      <c r="H3252" s="564">
        <v>40015</v>
      </c>
      <c r="I3252" s="563">
        <v>64.349999999999994</v>
      </c>
      <c r="J3252" s="563">
        <v>-64.349999999999994</v>
      </c>
      <c r="K3252" s="582">
        <f t="shared" si="150"/>
        <v>0</v>
      </c>
      <c r="L3252" s="563">
        <f t="shared" si="151"/>
        <v>0</v>
      </c>
      <c r="M3252" s="563">
        <f t="shared" si="152"/>
        <v>70.784999999999997</v>
      </c>
      <c r="N3252" s="580"/>
    </row>
    <row r="3253" spans="4:14" x14ac:dyDescent="0.25">
      <c r="D3253" s="559" t="s">
        <v>867</v>
      </c>
      <c r="E3253" s="558" t="s">
        <v>1297</v>
      </c>
      <c r="F3253" s="559">
        <v>500949</v>
      </c>
      <c r="G3253" s="558" t="s">
        <v>1295</v>
      </c>
      <c r="H3253" s="564">
        <v>40015</v>
      </c>
      <c r="I3253" s="563">
        <v>25.35</v>
      </c>
      <c r="J3253" s="563">
        <v>-25.35</v>
      </c>
      <c r="K3253" s="582">
        <f t="shared" si="150"/>
        <v>0</v>
      </c>
      <c r="L3253" s="563">
        <f t="shared" si="151"/>
        <v>0</v>
      </c>
      <c r="M3253" s="563">
        <f t="shared" si="152"/>
        <v>27.885000000000005</v>
      </c>
      <c r="N3253" s="580"/>
    </row>
    <row r="3254" spans="4:14" x14ac:dyDescent="0.25">
      <c r="D3254" s="559" t="s">
        <v>867</v>
      </c>
      <c r="E3254" s="558" t="s">
        <v>1298</v>
      </c>
      <c r="F3254" s="559">
        <v>500950</v>
      </c>
      <c r="G3254" s="558" t="s">
        <v>1295</v>
      </c>
      <c r="H3254" s="564">
        <v>40015</v>
      </c>
      <c r="I3254" s="563">
        <v>64.349999999999994</v>
      </c>
      <c r="J3254" s="563">
        <v>-64.349999999999994</v>
      </c>
      <c r="K3254" s="582">
        <f t="shared" si="150"/>
        <v>0</v>
      </c>
      <c r="L3254" s="563">
        <f t="shared" si="151"/>
        <v>0</v>
      </c>
      <c r="M3254" s="563">
        <f t="shared" si="152"/>
        <v>70.784999999999997</v>
      </c>
      <c r="N3254" s="580"/>
    </row>
    <row r="3255" spans="4:14" x14ac:dyDescent="0.25">
      <c r="D3255" s="559" t="s">
        <v>867</v>
      </c>
      <c r="E3255" s="558" t="s">
        <v>1299</v>
      </c>
      <c r="F3255" s="559">
        <v>500951</v>
      </c>
      <c r="G3255" s="558" t="s">
        <v>1295</v>
      </c>
      <c r="H3255" s="564">
        <v>40015</v>
      </c>
      <c r="I3255" s="563">
        <v>64.349999999999994</v>
      </c>
      <c r="J3255" s="563">
        <v>-64.349999999999994</v>
      </c>
      <c r="K3255" s="582">
        <f t="shared" si="150"/>
        <v>0</v>
      </c>
      <c r="L3255" s="563">
        <f t="shared" si="151"/>
        <v>0</v>
      </c>
      <c r="M3255" s="563">
        <f t="shared" si="152"/>
        <v>70.784999999999997</v>
      </c>
      <c r="N3255" s="580"/>
    </row>
    <row r="3256" spans="4:14" x14ac:dyDescent="0.25">
      <c r="D3256" s="559" t="s">
        <v>867</v>
      </c>
      <c r="E3256" s="558" t="s">
        <v>1300</v>
      </c>
      <c r="F3256" s="559">
        <v>500952</v>
      </c>
      <c r="G3256" s="558" t="s">
        <v>1301</v>
      </c>
      <c r="H3256" s="564">
        <v>40015</v>
      </c>
      <c r="I3256" s="563">
        <v>64.349999999999994</v>
      </c>
      <c r="J3256" s="563">
        <v>-64.349999999999994</v>
      </c>
      <c r="K3256" s="582">
        <f t="shared" si="150"/>
        <v>0</v>
      </c>
      <c r="L3256" s="563">
        <f t="shared" si="151"/>
        <v>0</v>
      </c>
      <c r="M3256" s="563">
        <f t="shared" si="152"/>
        <v>70.784999999999997</v>
      </c>
      <c r="N3256" s="580"/>
    </row>
    <row r="3257" spans="4:14" x14ac:dyDescent="0.25">
      <c r="D3257" s="559" t="s">
        <v>867</v>
      </c>
      <c r="E3257" s="558" t="s">
        <v>1302</v>
      </c>
      <c r="F3257" s="559">
        <v>500953</v>
      </c>
      <c r="G3257" s="558" t="s">
        <v>1301</v>
      </c>
      <c r="H3257" s="564">
        <v>40015</v>
      </c>
      <c r="I3257" s="563">
        <v>688.35</v>
      </c>
      <c r="J3257" s="563">
        <v>-585</v>
      </c>
      <c r="K3257" s="582">
        <f t="shared" si="150"/>
        <v>103.35000000000002</v>
      </c>
      <c r="L3257" s="563">
        <f t="shared" si="151"/>
        <v>113.68500000000003</v>
      </c>
      <c r="M3257" s="563">
        <f t="shared" si="152"/>
        <v>757.18500000000006</v>
      </c>
      <c r="N3257" s="580"/>
    </row>
    <row r="3258" spans="4:14" x14ac:dyDescent="0.25">
      <c r="D3258" s="559" t="s">
        <v>867</v>
      </c>
      <c r="E3258" s="558" t="s">
        <v>1303</v>
      </c>
      <c r="F3258" s="559">
        <v>500954</v>
      </c>
      <c r="G3258" s="558" t="s">
        <v>1301</v>
      </c>
      <c r="H3258" s="564">
        <v>40015</v>
      </c>
      <c r="I3258" s="563">
        <v>64.349999999999994</v>
      </c>
      <c r="J3258" s="563">
        <v>-64.349999999999994</v>
      </c>
      <c r="K3258" s="582">
        <f t="shared" si="150"/>
        <v>0</v>
      </c>
      <c r="L3258" s="563">
        <f t="shared" si="151"/>
        <v>0</v>
      </c>
      <c r="M3258" s="563">
        <f t="shared" si="152"/>
        <v>70.784999999999997</v>
      </c>
      <c r="N3258" s="580"/>
    </row>
    <row r="3259" spans="4:14" x14ac:dyDescent="0.25">
      <c r="D3259" s="559" t="s">
        <v>867</v>
      </c>
      <c r="E3259" s="558" t="s">
        <v>1304</v>
      </c>
      <c r="F3259" s="559">
        <v>500955</v>
      </c>
      <c r="G3259" s="558" t="s">
        <v>1301</v>
      </c>
      <c r="H3259" s="564">
        <v>40015</v>
      </c>
      <c r="I3259" s="563">
        <v>64.349999999999994</v>
      </c>
      <c r="J3259" s="563">
        <v>-64.349999999999994</v>
      </c>
      <c r="K3259" s="582">
        <f t="shared" si="150"/>
        <v>0</v>
      </c>
      <c r="L3259" s="563">
        <f t="shared" si="151"/>
        <v>0</v>
      </c>
      <c r="M3259" s="563">
        <f t="shared" si="152"/>
        <v>70.784999999999997</v>
      </c>
      <c r="N3259" s="580"/>
    </row>
    <row r="3260" spans="4:14" x14ac:dyDescent="0.25">
      <c r="D3260" s="559" t="s">
        <v>867</v>
      </c>
      <c r="E3260" s="558" t="s">
        <v>1305</v>
      </c>
      <c r="F3260" s="559">
        <v>500956</v>
      </c>
      <c r="G3260" s="558" t="s">
        <v>1301</v>
      </c>
      <c r="H3260" s="564">
        <v>40015</v>
      </c>
      <c r="I3260" s="563">
        <v>25.35</v>
      </c>
      <c r="J3260" s="563">
        <v>-25.35</v>
      </c>
      <c r="K3260" s="582">
        <f t="shared" si="150"/>
        <v>0</v>
      </c>
      <c r="L3260" s="563">
        <f t="shared" si="151"/>
        <v>0</v>
      </c>
      <c r="M3260" s="563">
        <f t="shared" si="152"/>
        <v>27.885000000000005</v>
      </c>
      <c r="N3260" s="580"/>
    </row>
    <row r="3261" spans="4:14" x14ac:dyDescent="0.25">
      <c r="D3261" s="559" t="s">
        <v>867</v>
      </c>
      <c r="E3261" s="558" t="s">
        <v>1306</v>
      </c>
      <c r="F3261" s="559">
        <v>500957</v>
      </c>
      <c r="G3261" s="558" t="s">
        <v>1307</v>
      </c>
      <c r="H3261" s="564">
        <v>40015</v>
      </c>
      <c r="I3261" s="563">
        <v>64.349999999999994</v>
      </c>
      <c r="J3261" s="563">
        <v>-64.349999999999994</v>
      </c>
      <c r="K3261" s="582">
        <f t="shared" si="150"/>
        <v>0</v>
      </c>
      <c r="L3261" s="563">
        <f t="shared" si="151"/>
        <v>0</v>
      </c>
      <c r="M3261" s="563">
        <f t="shared" si="152"/>
        <v>70.784999999999997</v>
      </c>
      <c r="N3261" s="580"/>
    </row>
    <row r="3262" spans="4:14" x14ac:dyDescent="0.25">
      <c r="D3262" s="559" t="s">
        <v>867</v>
      </c>
      <c r="E3262" s="558" t="s">
        <v>1308</v>
      </c>
      <c r="F3262" s="559">
        <v>501032</v>
      </c>
      <c r="G3262" s="558" t="s">
        <v>1307</v>
      </c>
      <c r="H3262" s="564">
        <v>40015</v>
      </c>
      <c r="I3262" s="563">
        <v>64.349999999999994</v>
      </c>
      <c r="J3262" s="563">
        <v>-64.349999999999994</v>
      </c>
      <c r="K3262" s="582">
        <f t="shared" si="150"/>
        <v>0</v>
      </c>
      <c r="L3262" s="563">
        <f t="shared" si="151"/>
        <v>0</v>
      </c>
      <c r="M3262" s="563">
        <f t="shared" si="152"/>
        <v>70.784999999999997</v>
      </c>
      <c r="N3262" s="580"/>
    </row>
    <row r="3263" spans="4:14" x14ac:dyDescent="0.25">
      <c r="D3263" s="559" t="s">
        <v>867</v>
      </c>
      <c r="E3263" s="558" t="s">
        <v>1309</v>
      </c>
      <c r="F3263" s="559">
        <v>501033</v>
      </c>
      <c r="G3263" s="558" t="s">
        <v>1307</v>
      </c>
      <c r="H3263" s="564">
        <v>40015</v>
      </c>
      <c r="I3263" s="563">
        <v>25.35</v>
      </c>
      <c r="J3263" s="563">
        <v>-25.35</v>
      </c>
      <c r="K3263" s="582">
        <f t="shared" si="150"/>
        <v>0</v>
      </c>
      <c r="L3263" s="563">
        <f t="shared" si="151"/>
        <v>0</v>
      </c>
      <c r="M3263" s="563">
        <f t="shared" si="152"/>
        <v>27.885000000000005</v>
      </c>
      <c r="N3263" s="580"/>
    </row>
    <row r="3264" spans="4:14" x14ac:dyDescent="0.25">
      <c r="D3264" s="559" t="s">
        <v>867</v>
      </c>
      <c r="E3264" s="558" t="s">
        <v>1310</v>
      </c>
      <c r="F3264" s="559">
        <v>501034</v>
      </c>
      <c r="G3264" s="558" t="s">
        <v>1307</v>
      </c>
      <c r="H3264" s="564">
        <v>40015</v>
      </c>
      <c r="I3264" s="563">
        <v>64.349999999999994</v>
      </c>
      <c r="J3264" s="563">
        <v>-64.349999999999994</v>
      </c>
      <c r="K3264" s="582">
        <f t="shared" si="150"/>
        <v>0</v>
      </c>
      <c r="L3264" s="563">
        <f t="shared" si="151"/>
        <v>0</v>
      </c>
      <c r="M3264" s="563">
        <f t="shared" si="152"/>
        <v>70.784999999999997</v>
      </c>
      <c r="N3264" s="580"/>
    </row>
    <row r="3265" spans="4:14" x14ac:dyDescent="0.25">
      <c r="D3265" s="559" t="s">
        <v>867</v>
      </c>
      <c r="E3265" s="558" t="s">
        <v>1311</v>
      </c>
      <c r="F3265" s="559">
        <v>501035</v>
      </c>
      <c r="G3265" s="558" t="s">
        <v>1307</v>
      </c>
      <c r="H3265" s="564">
        <v>40015</v>
      </c>
      <c r="I3265" s="563">
        <v>64.349999999999994</v>
      </c>
      <c r="J3265" s="563">
        <v>-64.349999999999994</v>
      </c>
      <c r="K3265" s="582">
        <f t="shared" si="150"/>
        <v>0</v>
      </c>
      <c r="L3265" s="563">
        <f t="shared" si="151"/>
        <v>0</v>
      </c>
      <c r="M3265" s="563">
        <f t="shared" si="152"/>
        <v>70.784999999999997</v>
      </c>
      <c r="N3265" s="580"/>
    </row>
    <row r="3266" spans="4:14" x14ac:dyDescent="0.25">
      <c r="D3266" s="559" t="s">
        <v>867</v>
      </c>
      <c r="E3266" s="558" t="s">
        <v>1312</v>
      </c>
      <c r="F3266" s="559">
        <v>501036</v>
      </c>
      <c r="G3266" s="558" t="s">
        <v>1313</v>
      </c>
      <c r="H3266" s="564">
        <v>40015</v>
      </c>
      <c r="I3266" s="563">
        <v>64.349999999999994</v>
      </c>
      <c r="J3266" s="563">
        <v>-64.349999999999994</v>
      </c>
      <c r="K3266" s="582">
        <f t="shared" si="150"/>
        <v>0</v>
      </c>
      <c r="L3266" s="563">
        <f t="shared" si="151"/>
        <v>0</v>
      </c>
      <c r="M3266" s="563">
        <f t="shared" si="152"/>
        <v>70.784999999999997</v>
      </c>
      <c r="N3266" s="580"/>
    </row>
    <row r="3267" spans="4:14" x14ac:dyDescent="0.25">
      <c r="D3267" s="559" t="s">
        <v>867</v>
      </c>
      <c r="E3267" s="558" t="s">
        <v>1314</v>
      </c>
      <c r="F3267" s="559">
        <v>501037</v>
      </c>
      <c r="G3267" s="558" t="s">
        <v>1313</v>
      </c>
      <c r="H3267" s="564">
        <v>40015</v>
      </c>
      <c r="I3267" s="563">
        <v>688.35</v>
      </c>
      <c r="J3267" s="563">
        <v>-585</v>
      </c>
      <c r="K3267" s="582">
        <f t="shared" si="150"/>
        <v>103.35000000000002</v>
      </c>
      <c r="L3267" s="563">
        <f t="shared" si="151"/>
        <v>113.68500000000003</v>
      </c>
      <c r="M3267" s="563">
        <f t="shared" si="152"/>
        <v>757.18500000000006</v>
      </c>
      <c r="N3267" s="580"/>
    </row>
    <row r="3268" spans="4:14" x14ac:dyDescent="0.25">
      <c r="D3268" s="559" t="s">
        <v>867</v>
      </c>
      <c r="E3268" s="558" t="s">
        <v>1315</v>
      </c>
      <c r="F3268" s="559">
        <v>501038</v>
      </c>
      <c r="G3268" s="558" t="s">
        <v>1313</v>
      </c>
      <c r="H3268" s="564">
        <v>40015</v>
      </c>
      <c r="I3268" s="563">
        <v>688.35</v>
      </c>
      <c r="J3268" s="563">
        <v>-585</v>
      </c>
      <c r="K3268" s="582">
        <f t="shared" si="150"/>
        <v>103.35000000000002</v>
      </c>
      <c r="L3268" s="563">
        <f t="shared" si="151"/>
        <v>113.68500000000003</v>
      </c>
      <c r="M3268" s="563">
        <f t="shared" si="152"/>
        <v>757.18500000000006</v>
      </c>
      <c r="N3268" s="580"/>
    </row>
    <row r="3269" spans="4:14" x14ac:dyDescent="0.25">
      <c r="D3269" s="559" t="s">
        <v>867</v>
      </c>
      <c r="E3269" s="558" t="s">
        <v>1316</v>
      </c>
      <c r="F3269" s="559">
        <v>500958</v>
      </c>
      <c r="G3269" s="558" t="s">
        <v>1313</v>
      </c>
      <c r="H3269" s="564">
        <v>40015</v>
      </c>
      <c r="I3269" s="563">
        <v>64.349999999999994</v>
      </c>
      <c r="J3269" s="563">
        <v>-64.349999999999994</v>
      </c>
      <c r="K3269" s="582">
        <f t="shared" si="150"/>
        <v>0</v>
      </c>
      <c r="L3269" s="563">
        <f t="shared" si="151"/>
        <v>0</v>
      </c>
      <c r="M3269" s="563">
        <f t="shared" si="152"/>
        <v>70.784999999999997</v>
      </c>
      <c r="N3269" s="580"/>
    </row>
    <row r="3270" spans="4:14" x14ac:dyDescent="0.25">
      <c r="D3270" s="559" t="s">
        <v>867</v>
      </c>
      <c r="E3270" s="558" t="s">
        <v>1317</v>
      </c>
      <c r="F3270" s="559">
        <v>501039</v>
      </c>
      <c r="G3270" s="558" t="s">
        <v>1313</v>
      </c>
      <c r="H3270" s="564">
        <v>40015</v>
      </c>
      <c r="I3270" s="563">
        <v>64.349999999999994</v>
      </c>
      <c r="J3270" s="563">
        <v>-64.349999999999994</v>
      </c>
      <c r="K3270" s="582">
        <f t="shared" si="150"/>
        <v>0</v>
      </c>
      <c r="L3270" s="563">
        <f t="shared" si="151"/>
        <v>0</v>
      </c>
      <c r="M3270" s="563">
        <f t="shared" si="152"/>
        <v>70.784999999999997</v>
      </c>
      <c r="N3270" s="580"/>
    </row>
    <row r="3271" spans="4:14" x14ac:dyDescent="0.25">
      <c r="D3271" s="559" t="s">
        <v>867</v>
      </c>
      <c r="E3271" s="558" t="s">
        <v>1318</v>
      </c>
      <c r="F3271" s="559">
        <v>501040</v>
      </c>
      <c r="G3271" s="558" t="s">
        <v>1319</v>
      </c>
      <c r="H3271" s="564">
        <v>40015</v>
      </c>
      <c r="I3271" s="563">
        <v>64.349999999999994</v>
      </c>
      <c r="J3271" s="563">
        <v>-64.349999999999994</v>
      </c>
      <c r="K3271" s="582">
        <f t="shared" si="150"/>
        <v>0</v>
      </c>
      <c r="L3271" s="563">
        <f t="shared" si="151"/>
        <v>0</v>
      </c>
      <c r="M3271" s="563">
        <f t="shared" si="152"/>
        <v>70.784999999999997</v>
      </c>
      <c r="N3271" s="580"/>
    </row>
    <row r="3272" spans="4:14" x14ac:dyDescent="0.25">
      <c r="D3272" s="559" t="s">
        <v>867</v>
      </c>
      <c r="E3272" s="558" t="s">
        <v>1320</v>
      </c>
      <c r="F3272" s="559">
        <v>501041</v>
      </c>
      <c r="G3272" s="558" t="s">
        <v>1319</v>
      </c>
      <c r="H3272" s="564">
        <v>40015</v>
      </c>
      <c r="I3272" s="563">
        <v>688.35</v>
      </c>
      <c r="J3272" s="563">
        <v>-585</v>
      </c>
      <c r="K3272" s="582">
        <f t="shared" si="150"/>
        <v>103.35000000000002</v>
      </c>
      <c r="L3272" s="563">
        <f t="shared" si="151"/>
        <v>113.68500000000003</v>
      </c>
      <c r="M3272" s="563">
        <f t="shared" si="152"/>
        <v>757.18500000000006</v>
      </c>
      <c r="N3272" s="580"/>
    </row>
    <row r="3273" spans="4:14" x14ac:dyDescent="0.25">
      <c r="D3273" s="559" t="s">
        <v>867</v>
      </c>
      <c r="E3273" s="558" t="s">
        <v>1321</v>
      </c>
      <c r="F3273" s="559">
        <v>501042</v>
      </c>
      <c r="G3273" s="558" t="s">
        <v>1319</v>
      </c>
      <c r="H3273" s="564">
        <v>40015</v>
      </c>
      <c r="I3273" s="563">
        <v>688.35</v>
      </c>
      <c r="J3273" s="563">
        <v>-585</v>
      </c>
      <c r="K3273" s="582">
        <f t="shared" si="150"/>
        <v>103.35000000000002</v>
      </c>
      <c r="L3273" s="563">
        <f t="shared" si="151"/>
        <v>113.68500000000003</v>
      </c>
      <c r="M3273" s="563">
        <f t="shared" si="152"/>
        <v>757.18500000000006</v>
      </c>
      <c r="N3273" s="580"/>
    </row>
    <row r="3274" spans="4:14" x14ac:dyDescent="0.25">
      <c r="D3274" s="559" t="s">
        <v>867</v>
      </c>
      <c r="E3274" s="558" t="s">
        <v>1322</v>
      </c>
      <c r="F3274" s="559">
        <v>500959</v>
      </c>
      <c r="G3274" s="558" t="s">
        <v>1319</v>
      </c>
      <c r="H3274" s="564">
        <v>40015</v>
      </c>
      <c r="I3274" s="563">
        <v>64.349999999999994</v>
      </c>
      <c r="J3274" s="563">
        <v>-64.349999999999994</v>
      </c>
      <c r="K3274" s="582">
        <f t="shared" si="150"/>
        <v>0</v>
      </c>
      <c r="L3274" s="563">
        <f t="shared" si="151"/>
        <v>0</v>
      </c>
      <c r="M3274" s="563">
        <f t="shared" si="152"/>
        <v>70.784999999999997</v>
      </c>
      <c r="N3274" s="580"/>
    </row>
    <row r="3275" spans="4:14" x14ac:dyDescent="0.25">
      <c r="D3275" s="559" t="s">
        <v>867</v>
      </c>
      <c r="E3275" s="558" t="s">
        <v>1323</v>
      </c>
      <c r="F3275" s="559">
        <v>501043</v>
      </c>
      <c r="G3275" s="558" t="s">
        <v>1319</v>
      </c>
      <c r="H3275" s="564">
        <v>40015</v>
      </c>
      <c r="I3275" s="563">
        <v>64.349999999999994</v>
      </c>
      <c r="J3275" s="563">
        <v>-64.349999999999994</v>
      </c>
      <c r="K3275" s="582">
        <f t="shared" si="150"/>
        <v>0</v>
      </c>
      <c r="L3275" s="563">
        <f t="shared" si="151"/>
        <v>0</v>
      </c>
      <c r="M3275" s="563">
        <f t="shared" si="152"/>
        <v>70.784999999999997</v>
      </c>
      <c r="N3275" s="580"/>
    </row>
    <row r="3276" spans="4:14" x14ac:dyDescent="0.25">
      <c r="D3276" s="559" t="s">
        <v>867</v>
      </c>
      <c r="E3276" s="558" t="s">
        <v>1324</v>
      </c>
      <c r="F3276" s="559">
        <v>500960</v>
      </c>
      <c r="G3276" s="558" t="s">
        <v>1325</v>
      </c>
      <c r="H3276" s="564">
        <v>40015</v>
      </c>
      <c r="I3276" s="563">
        <v>688.35</v>
      </c>
      <c r="J3276" s="563">
        <v>-585</v>
      </c>
      <c r="K3276" s="582">
        <f t="shared" si="150"/>
        <v>103.35000000000002</v>
      </c>
      <c r="L3276" s="563">
        <f t="shared" si="151"/>
        <v>113.68500000000003</v>
      </c>
      <c r="M3276" s="563">
        <f t="shared" si="152"/>
        <v>757.18500000000006</v>
      </c>
      <c r="N3276" s="580"/>
    </row>
    <row r="3277" spans="4:14" x14ac:dyDescent="0.25">
      <c r="D3277" s="559" t="s">
        <v>867</v>
      </c>
      <c r="E3277" s="558" t="s">
        <v>1326</v>
      </c>
      <c r="F3277" s="559">
        <v>500961</v>
      </c>
      <c r="G3277" s="558" t="s">
        <v>1325</v>
      </c>
      <c r="H3277" s="564">
        <v>40015</v>
      </c>
      <c r="I3277" s="563">
        <v>64.349999999999994</v>
      </c>
      <c r="J3277" s="563">
        <v>-64.349999999999994</v>
      </c>
      <c r="K3277" s="582">
        <f t="shared" si="150"/>
        <v>0</v>
      </c>
      <c r="L3277" s="563">
        <f t="shared" si="151"/>
        <v>0</v>
      </c>
      <c r="M3277" s="563">
        <f t="shared" si="152"/>
        <v>70.784999999999997</v>
      </c>
      <c r="N3277" s="580"/>
    </row>
    <row r="3278" spans="4:14" x14ac:dyDescent="0.25">
      <c r="D3278" s="559" t="s">
        <v>867</v>
      </c>
      <c r="E3278" s="558" t="s">
        <v>1327</v>
      </c>
      <c r="F3278" s="559">
        <v>501044</v>
      </c>
      <c r="G3278" s="558" t="s">
        <v>1325</v>
      </c>
      <c r="H3278" s="564">
        <v>40015</v>
      </c>
      <c r="I3278" s="563">
        <v>64.349999999999994</v>
      </c>
      <c r="J3278" s="563">
        <v>-64.349999999999994</v>
      </c>
      <c r="K3278" s="582">
        <f t="shared" si="150"/>
        <v>0</v>
      </c>
      <c r="L3278" s="563">
        <f t="shared" si="151"/>
        <v>0</v>
      </c>
      <c r="M3278" s="563">
        <f t="shared" si="152"/>
        <v>70.784999999999997</v>
      </c>
      <c r="N3278" s="580"/>
    </row>
    <row r="3279" spans="4:14" x14ac:dyDescent="0.25">
      <c r="D3279" s="559" t="s">
        <v>867</v>
      </c>
      <c r="E3279" s="558" t="s">
        <v>1328</v>
      </c>
      <c r="F3279" s="559">
        <v>501045</v>
      </c>
      <c r="G3279" s="558" t="s">
        <v>1325</v>
      </c>
      <c r="H3279" s="564">
        <v>40015</v>
      </c>
      <c r="I3279" s="563">
        <v>64.349999999999994</v>
      </c>
      <c r="J3279" s="563">
        <v>-64.349999999999994</v>
      </c>
      <c r="K3279" s="582">
        <f t="shared" si="150"/>
        <v>0</v>
      </c>
      <c r="L3279" s="563">
        <f t="shared" si="151"/>
        <v>0</v>
      </c>
      <c r="M3279" s="563">
        <f t="shared" si="152"/>
        <v>70.784999999999997</v>
      </c>
      <c r="N3279" s="580"/>
    </row>
    <row r="3280" spans="4:14" x14ac:dyDescent="0.25">
      <c r="D3280" s="559" t="s">
        <v>867</v>
      </c>
      <c r="E3280" s="558" t="s">
        <v>1329</v>
      </c>
      <c r="F3280" s="559">
        <v>501046</v>
      </c>
      <c r="G3280" s="558" t="s">
        <v>1325</v>
      </c>
      <c r="H3280" s="564">
        <v>40015</v>
      </c>
      <c r="I3280" s="563">
        <v>64.349999999999994</v>
      </c>
      <c r="J3280" s="563">
        <v>-64.349999999999994</v>
      </c>
      <c r="K3280" s="582">
        <f t="shared" si="150"/>
        <v>0</v>
      </c>
      <c r="L3280" s="563">
        <f t="shared" si="151"/>
        <v>0</v>
      </c>
      <c r="M3280" s="563">
        <f t="shared" si="152"/>
        <v>70.784999999999997</v>
      </c>
      <c r="N3280" s="580"/>
    </row>
    <row r="3281" spans="4:14" x14ac:dyDescent="0.25">
      <c r="D3281" s="559" t="s">
        <v>867</v>
      </c>
      <c r="E3281" s="558" t="s">
        <v>1330</v>
      </c>
      <c r="F3281" s="559">
        <v>501047</v>
      </c>
      <c r="G3281" s="558" t="s">
        <v>1331</v>
      </c>
      <c r="H3281" s="564">
        <v>40015</v>
      </c>
      <c r="I3281" s="563">
        <v>25.35</v>
      </c>
      <c r="J3281" s="563">
        <v>-25.35</v>
      </c>
      <c r="K3281" s="582">
        <f t="shared" si="150"/>
        <v>0</v>
      </c>
      <c r="L3281" s="563">
        <f t="shared" si="151"/>
        <v>0</v>
      </c>
      <c r="M3281" s="563">
        <f t="shared" si="152"/>
        <v>27.885000000000005</v>
      </c>
      <c r="N3281" s="580"/>
    </row>
    <row r="3282" spans="4:14" x14ac:dyDescent="0.25">
      <c r="D3282" s="559" t="s">
        <v>867</v>
      </c>
      <c r="E3282" s="558" t="s">
        <v>1332</v>
      </c>
      <c r="F3282" s="559">
        <v>501048</v>
      </c>
      <c r="G3282" s="558" t="s">
        <v>1331</v>
      </c>
      <c r="H3282" s="564">
        <v>40015</v>
      </c>
      <c r="I3282" s="563">
        <v>64.349999999999994</v>
      </c>
      <c r="J3282" s="563">
        <v>-64.349999999999994</v>
      </c>
      <c r="K3282" s="582">
        <f t="shared" si="150"/>
        <v>0</v>
      </c>
      <c r="L3282" s="563">
        <f t="shared" si="151"/>
        <v>0</v>
      </c>
      <c r="M3282" s="563">
        <f t="shared" si="152"/>
        <v>70.784999999999997</v>
      </c>
      <c r="N3282" s="580"/>
    </row>
    <row r="3283" spans="4:14" x14ac:dyDescent="0.25">
      <c r="D3283" s="559" t="s">
        <v>867</v>
      </c>
      <c r="E3283" s="558" t="s">
        <v>1333</v>
      </c>
      <c r="F3283" s="559">
        <v>501049</v>
      </c>
      <c r="G3283" s="558" t="s">
        <v>1331</v>
      </c>
      <c r="H3283" s="564">
        <v>40015</v>
      </c>
      <c r="I3283" s="563">
        <v>64.349999999999994</v>
      </c>
      <c r="J3283" s="563">
        <v>-64.349999999999994</v>
      </c>
      <c r="K3283" s="582">
        <f t="shared" si="150"/>
        <v>0</v>
      </c>
      <c r="L3283" s="563">
        <f t="shared" si="151"/>
        <v>0</v>
      </c>
      <c r="M3283" s="563">
        <f t="shared" si="152"/>
        <v>70.784999999999997</v>
      </c>
      <c r="N3283" s="580"/>
    </row>
    <row r="3284" spans="4:14" x14ac:dyDescent="0.25">
      <c r="D3284" s="559" t="s">
        <v>867</v>
      </c>
      <c r="E3284" s="558" t="s">
        <v>1334</v>
      </c>
      <c r="F3284" s="559">
        <v>501050</v>
      </c>
      <c r="G3284" s="558" t="s">
        <v>1331</v>
      </c>
      <c r="H3284" s="564">
        <v>40015</v>
      </c>
      <c r="I3284" s="563">
        <v>64.349999999999994</v>
      </c>
      <c r="J3284" s="563">
        <v>-64.349999999999994</v>
      </c>
      <c r="K3284" s="582">
        <f t="shared" si="150"/>
        <v>0</v>
      </c>
      <c r="L3284" s="563">
        <f t="shared" si="151"/>
        <v>0</v>
      </c>
      <c r="M3284" s="563">
        <f t="shared" si="152"/>
        <v>70.784999999999997</v>
      </c>
      <c r="N3284" s="580"/>
    </row>
    <row r="3285" spans="4:14" x14ac:dyDescent="0.25">
      <c r="D3285" s="559" t="s">
        <v>867</v>
      </c>
      <c r="E3285" s="558" t="s">
        <v>1335</v>
      </c>
      <c r="F3285" s="559">
        <v>501051</v>
      </c>
      <c r="G3285" s="558" t="s">
        <v>1331</v>
      </c>
      <c r="H3285" s="564">
        <v>40015</v>
      </c>
      <c r="I3285" s="563">
        <v>25.35</v>
      </c>
      <c r="J3285" s="563">
        <v>-25.35</v>
      </c>
      <c r="K3285" s="582">
        <f t="shared" si="150"/>
        <v>0</v>
      </c>
      <c r="L3285" s="563">
        <f t="shared" si="151"/>
        <v>0</v>
      </c>
      <c r="M3285" s="563">
        <f t="shared" si="152"/>
        <v>27.885000000000005</v>
      </c>
      <c r="N3285" s="580"/>
    </row>
    <row r="3286" spans="4:14" x14ac:dyDescent="0.25">
      <c r="D3286" s="559" t="s">
        <v>867</v>
      </c>
      <c r="E3286" s="558" t="s">
        <v>1336</v>
      </c>
      <c r="F3286" s="559">
        <v>500962</v>
      </c>
      <c r="G3286" s="558" t="s">
        <v>1337</v>
      </c>
      <c r="H3286" s="564">
        <v>40015</v>
      </c>
      <c r="I3286" s="563">
        <v>64.349999999999994</v>
      </c>
      <c r="J3286" s="563">
        <v>-64.349999999999994</v>
      </c>
      <c r="K3286" s="582">
        <f t="shared" si="150"/>
        <v>0</v>
      </c>
      <c r="L3286" s="563">
        <f t="shared" si="151"/>
        <v>0</v>
      </c>
      <c r="M3286" s="563">
        <f t="shared" si="152"/>
        <v>70.784999999999997</v>
      </c>
      <c r="N3286" s="580"/>
    </row>
    <row r="3287" spans="4:14" x14ac:dyDescent="0.25">
      <c r="D3287" s="559" t="s">
        <v>867</v>
      </c>
      <c r="E3287" s="558" t="s">
        <v>1338</v>
      </c>
      <c r="F3287" s="559">
        <v>501052</v>
      </c>
      <c r="G3287" s="558" t="s">
        <v>1337</v>
      </c>
      <c r="H3287" s="564">
        <v>40015</v>
      </c>
      <c r="I3287" s="563">
        <v>64.349999999999994</v>
      </c>
      <c r="J3287" s="563">
        <v>-64.349999999999994</v>
      </c>
      <c r="K3287" s="582">
        <f t="shared" si="150"/>
        <v>0</v>
      </c>
      <c r="L3287" s="563">
        <f t="shared" si="151"/>
        <v>0</v>
      </c>
      <c r="M3287" s="563">
        <f t="shared" si="152"/>
        <v>70.784999999999997</v>
      </c>
      <c r="N3287" s="580"/>
    </row>
    <row r="3288" spans="4:14" x14ac:dyDescent="0.25">
      <c r="D3288" s="559" t="s">
        <v>867</v>
      </c>
      <c r="E3288" s="558" t="s">
        <v>1339</v>
      </c>
      <c r="F3288" s="559">
        <v>501053</v>
      </c>
      <c r="G3288" s="558" t="s">
        <v>1337</v>
      </c>
      <c r="H3288" s="564">
        <v>40015</v>
      </c>
      <c r="I3288" s="563">
        <v>64.349999999999994</v>
      </c>
      <c r="J3288" s="563">
        <v>-64.349999999999994</v>
      </c>
      <c r="K3288" s="582">
        <f t="shared" si="150"/>
        <v>0</v>
      </c>
      <c r="L3288" s="563">
        <f t="shared" si="151"/>
        <v>0</v>
      </c>
      <c r="M3288" s="563">
        <f t="shared" si="152"/>
        <v>70.784999999999997</v>
      </c>
      <c r="N3288" s="580"/>
    </row>
    <row r="3289" spans="4:14" x14ac:dyDescent="0.25">
      <c r="D3289" s="559" t="s">
        <v>867</v>
      </c>
      <c r="E3289" s="558" t="s">
        <v>1340</v>
      </c>
      <c r="F3289" s="559">
        <v>501054</v>
      </c>
      <c r="G3289" s="558" t="s">
        <v>1337</v>
      </c>
      <c r="H3289" s="564">
        <v>40015</v>
      </c>
      <c r="I3289" s="563">
        <v>64.349999999999994</v>
      </c>
      <c r="J3289" s="563">
        <v>-64.349999999999994</v>
      </c>
      <c r="K3289" s="582">
        <f t="shared" si="150"/>
        <v>0</v>
      </c>
      <c r="L3289" s="563">
        <f t="shared" si="151"/>
        <v>0</v>
      </c>
      <c r="M3289" s="563">
        <f t="shared" si="152"/>
        <v>70.784999999999997</v>
      </c>
      <c r="N3289" s="580"/>
    </row>
    <row r="3290" spans="4:14" x14ac:dyDescent="0.25">
      <c r="D3290" s="559" t="s">
        <v>867</v>
      </c>
      <c r="E3290" s="558" t="s">
        <v>1341</v>
      </c>
      <c r="F3290" s="559">
        <v>500964</v>
      </c>
      <c r="G3290" s="558" t="s">
        <v>1337</v>
      </c>
      <c r="H3290" s="564">
        <v>40015</v>
      </c>
      <c r="I3290" s="563">
        <v>64.349999999999994</v>
      </c>
      <c r="J3290" s="563">
        <v>-64.349999999999994</v>
      </c>
      <c r="K3290" s="582">
        <f t="shared" si="150"/>
        <v>0</v>
      </c>
      <c r="L3290" s="563">
        <f t="shared" si="151"/>
        <v>0</v>
      </c>
      <c r="M3290" s="563">
        <f t="shared" si="152"/>
        <v>70.784999999999997</v>
      </c>
      <c r="N3290" s="580"/>
    </row>
    <row r="3291" spans="4:14" x14ac:dyDescent="0.25">
      <c r="D3291" s="559" t="s">
        <v>867</v>
      </c>
      <c r="E3291" s="558" t="s">
        <v>1342</v>
      </c>
      <c r="F3291" s="559">
        <v>500965</v>
      </c>
      <c r="G3291" s="558" t="s">
        <v>1343</v>
      </c>
      <c r="H3291" s="564">
        <v>40015</v>
      </c>
      <c r="I3291" s="563">
        <v>64.349999999999994</v>
      </c>
      <c r="J3291" s="563">
        <v>-64.349999999999994</v>
      </c>
      <c r="K3291" s="582">
        <f t="shared" si="150"/>
        <v>0</v>
      </c>
      <c r="L3291" s="563">
        <f t="shared" si="151"/>
        <v>0</v>
      </c>
      <c r="M3291" s="563">
        <f t="shared" si="152"/>
        <v>70.784999999999997</v>
      </c>
      <c r="N3291" s="580"/>
    </row>
    <row r="3292" spans="4:14" x14ac:dyDescent="0.25">
      <c r="D3292" s="559" t="s">
        <v>867</v>
      </c>
      <c r="E3292" s="558" t="s">
        <v>1344</v>
      </c>
      <c r="F3292" s="559">
        <v>501055</v>
      </c>
      <c r="G3292" s="558" t="s">
        <v>1343</v>
      </c>
      <c r="H3292" s="564">
        <v>40015</v>
      </c>
      <c r="I3292" s="563">
        <v>64.349999999999994</v>
      </c>
      <c r="J3292" s="563">
        <v>-64.349999999999994</v>
      </c>
      <c r="K3292" s="582">
        <f t="shared" si="150"/>
        <v>0</v>
      </c>
      <c r="L3292" s="563">
        <f t="shared" si="151"/>
        <v>0</v>
      </c>
      <c r="M3292" s="563">
        <f t="shared" si="152"/>
        <v>70.784999999999997</v>
      </c>
      <c r="N3292" s="580"/>
    </row>
    <row r="3293" spans="4:14" x14ac:dyDescent="0.25">
      <c r="D3293" s="559" t="s">
        <v>867</v>
      </c>
      <c r="E3293" s="558" t="s">
        <v>1345</v>
      </c>
      <c r="F3293" s="559">
        <v>500966</v>
      </c>
      <c r="G3293" s="558" t="s">
        <v>1343</v>
      </c>
      <c r="H3293" s="564">
        <v>40015</v>
      </c>
      <c r="I3293" s="563">
        <v>220.35</v>
      </c>
      <c r="J3293" s="563">
        <v>-220.35</v>
      </c>
      <c r="K3293" s="582">
        <f t="shared" si="150"/>
        <v>0</v>
      </c>
      <c r="L3293" s="563">
        <f t="shared" si="151"/>
        <v>0</v>
      </c>
      <c r="M3293" s="563">
        <f t="shared" si="152"/>
        <v>242.38500000000002</v>
      </c>
      <c r="N3293" s="580"/>
    </row>
    <row r="3294" spans="4:14" x14ac:dyDescent="0.25">
      <c r="D3294" s="559" t="s">
        <v>867</v>
      </c>
      <c r="E3294" s="558" t="s">
        <v>1346</v>
      </c>
      <c r="F3294" s="559">
        <v>500967</v>
      </c>
      <c r="G3294" s="558" t="s">
        <v>1343</v>
      </c>
      <c r="H3294" s="564">
        <v>40015</v>
      </c>
      <c r="I3294" s="563">
        <v>1351.35</v>
      </c>
      <c r="J3294" s="563">
        <v>-585</v>
      </c>
      <c r="K3294" s="582">
        <f t="shared" si="150"/>
        <v>766.34999999999991</v>
      </c>
      <c r="L3294" s="563">
        <f t="shared" si="151"/>
        <v>842.98500000000001</v>
      </c>
      <c r="M3294" s="563">
        <f t="shared" si="152"/>
        <v>1486.4850000000001</v>
      </c>
      <c r="N3294" s="580"/>
    </row>
    <row r="3295" spans="4:14" x14ac:dyDescent="0.25">
      <c r="D3295" s="559" t="s">
        <v>867</v>
      </c>
      <c r="E3295" s="558" t="s">
        <v>1347</v>
      </c>
      <c r="F3295" s="559">
        <v>500968</v>
      </c>
      <c r="G3295" s="558" t="s">
        <v>1343</v>
      </c>
      <c r="H3295" s="564">
        <v>40015</v>
      </c>
      <c r="I3295" s="563">
        <v>64.349999999999994</v>
      </c>
      <c r="J3295" s="563">
        <v>-64.349999999999994</v>
      </c>
      <c r="K3295" s="582">
        <f t="shared" si="150"/>
        <v>0</v>
      </c>
      <c r="L3295" s="563">
        <f t="shared" si="151"/>
        <v>0</v>
      </c>
      <c r="M3295" s="563">
        <f t="shared" si="152"/>
        <v>70.784999999999997</v>
      </c>
      <c r="N3295" s="580"/>
    </row>
    <row r="3296" spans="4:14" x14ac:dyDescent="0.25">
      <c r="D3296" s="559" t="s">
        <v>867</v>
      </c>
      <c r="E3296" s="558" t="s">
        <v>1348</v>
      </c>
      <c r="F3296" s="559">
        <v>500969</v>
      </c>
      <c r="G3296" s="558" t="s">
        <v>1349</v>
      </c>
      <c r="H3296" s="564">
        <v>40015</v>
      </c>
      <c r="I3296" s="563">
        <v>64.349999999999994</v>
      </c>
      <c r="J3296" s="563">
        <v>-64.349999999999994</v>
      </c>
      <c r="K3296" s="582">
        <f t="shared" si="150"/>
        <v>0</v>
      </c>
      <c r="L3296" s="563">
        <f t="shared" si="151"/>
        <v>0</v>
      </c>
      <c r="M3296" s="563">
        <f t="shared" si="152"/>
        <v>70.784999999999997</v>
      </c>
      <c r="N3296" s="580"/>
    </row>
    <row r="3297" spans="4:14" x14ac:dyDescent="0.25">
      <c r="D3297" s="559" t="s">
        <v>867</v>
      </c>
      <c r="E3297" s="558" t="s">
        <v>1350</v>
      </c>
      <c r="F3297" s="559">
        <v>500970</v>
      </c>
      <c r="G3297" s="558" t="s">
        <v>1349</v>
      </c>
      <c r="H3297" s="564">
        <v>40015</v>
      </c>
      <c r="I3297" s="563">
        <v>220.35</v>
      </c>
      <c r="J3297" s="563">
        <v>-220.35</v>
      </c>
      <c r="K3297" s="582">
        <f t="shared" si="150"/>
        <v>0</v>
      </c>
      <c r="L3297" s="563">
        <f t="shared" si="151"/>
        <v>0</v>
      </c>
      <c r="M3297" s="563">
        <f t="shared" si="152"/>
        <v>242.38500000000002</v>
      </c>
      <c r="N3297" s="580"/>
    </row>
    <row r="3298" spans="4:14" x14ac:dyDescent="0.25">
      <c r="D3298" s="559" t="s">
        <v>867</v>
      </c>
      <c r="E3298" s="558" t="s">
        <v>1351</v>
      </c>
      <c r="F3298" s="559">
        <v>500971</v>
      </c>
      <c r="G3298" s="558" t="s">
        <v>1349</v>
      </c>
      <c r="H3298" s="564">
        <v>40015</v>
      </c>
      <c r="I3298" s="563">
        <v>64.349999999999994</v>
      </c>
      <c r="J3298" s="563">
        <v>-64.349999999999994</v>
      </c>
      <c r="K3298" s="582">
        <f t="shared" si="150"/>
        <v>0</v>
      </c>
      <c r="L3298" s="563">
        <f t="shared" si="151"/>
        <v>0</v>
      </c>
      <c r="M3298" s="563">
        <f t="shared" si="152"/>
        <v>70.784999999999997</v>
      </c>
      <c r="N3298" s="580"/>
    </row>
    <row r="3299" spans="4:14" x14ac:dyDescent="0.25">
      <c r="D3299" s="559" t="s">
        <v>867</v>
      </c>
      <c r="E3299" s="558" t="s">
        <v>1352</v>
      </c>
      <c r="F3299" s="559">
        <v>500972</v>
      </c>
      <c r="G3299" s="558" t="s">
        <v>1349</v>
      </c>
      <c r="H3299" s="564">
        <v>40015</v>
      </c>
      <c r="I3299" s="563">
        <v>64.349999999999994</v>
      </c>
      <c r="J3299" s="563">
        <v>-64.349999999999994</v>
      </c>
      <c r="K3299" s="582">
        <f t="shared" si="150"/>
        <v>0</v>
      </c>
      <c r="L3299" s="563">
        <f t="shared" si="151"/>
        <v>0</v>
      </c>
      <c r="M3299" s="563">
        <f t="shared" si="152"/>
        <v>70.784999999999997</v>
      </c>
      <c r="N3299" s="580"/>
    </row>
    <row r="3300" spans="4:14" x14ac:dyDescent="0.25">
      <c r="D3300" s="559" t="s">
        <v>867</v>
      </c>
      <c r="E3300" s="558" t="s">
        <v>1353</v>
      </c>
      <c r="F3300" s="559">
        <v>501056</v>
      </c>
      <c r="G3300" s="558" t="s">
        <v>1349</v>
      </c>
      <c r="H3300" s="564">
        <v>40015</v>
      </c>
      <c r="I3300" s="563">
        <v>64.349999999999994</v>
      </c>
      <c r="J3300" s="563">
        <v>-64.349999999999994</v>
      </c>
      <c r="K3300" s="582">
        <f t="shared" si="150"/>
        <v>0</v>
      </c>
      <c r="L3300" s="563">
        <f t="shared" si="151"/>
        <v>0</v>
      </c>
      <c r="M3300" s="563">
        <f t="shared" si="152"/>
        <v>70.784999999999997</v>
      </c>
      <c r="N3300" s="580"/>
    </row>
    <row r="3301" spans="4:14" x14ac:dyDescent="0.25">
      <c r="D3301" s="559" t="s">
        <v>867</v>
      </c>
      <c r="E3301" s="558" t="s">
        <v>1354</v>
      </c>
      <c r="F3301" s="559">
        <v>501059</v>
      </c>
      <c r="G3301" s="558" t="s">
        <v>1355</v>
      </c>
      <c r="H3301" s="564">
        <v>40015</v>
      </c>
      <c r="I3301" s="563">
        <v>25.35</v>
      </c>
      <c r="J3301" s="563">
        <v>-25.35</v>
      </c>
      <c r="K3301" s="582">
        <f t="shared" si="150"/>
        <v>0</v>
      </c>
      <c r="L3301" s="563">
        <f t="shared" si="151"/>
        <v>0</v>
      </c>
      <c r="M3301" s="563">
        <f t="shared" si="152"/>
        <v>27.885000000000005</v>
      </c>
      <c r="N3301" s="580"/>
    </row>
    <row r="3302" spans="4:14" x14ac:dyDescent="0.25">
      <c r="D3302" s="559" t="s">
        <v>867</v>
      </c>
      <c r="E3302" s="558" t="s">
        <v>1356</v>
      </c>
      <c r="F3302" s="559">
        <v>501060</v>
      </c>
      <c r="G3302" s="558" t="s">
        <v>1355</v>
      </c>
      <c r="H3302" s="564">
        <v>40015</v>
      </c>
      <c r="I3302" s="563">
        <v>64.349999999999994</v>
      </c>
      <c r="J3302" s="563">
        <v>-64.349999999999994</v>
      </c>
      <c r="K3302" s="582">
        <f t="shared" si="150"/>
        <v>0</v>
      </c>
      <c r="L3302" s="563">
        <f t="shared" si="151"/>
        <v>0</v>
      </c>
      <c r="M3302" s="563">
        <f t="shared" si="152"/>
        <v>70.784999999999997</v>
      </c>
      <c r="N3302" s="580"/>
    </row>
    <row r="3303" spans="4:14" x14ac:dyDescent="0.25">
      <c r="D3303" s="559" t="s">
        <v>867</v>
      </c>
      <c r="E3303" s="558" t="s">
        <v>1357</v>
      </c>
      <c r="F3303" s="559">
        <v>501061</v>
      </c>
      <c r="G3303" s="558" t="s">
        <v>1355</v>
      </c>
      <c r="H3303" s="564">
        <v>40015</v>
      </c>
      <c r="I3303" s="563">
        <v>64.349999999999994</v>
      </c>
      <c r="J3303" s="563">
        <v>-64.349999999999994</v>
      </c>
      <c r="K3303" s="582">
        <f t="shared" si="150"/>
        <v>0</v>
      </c>
      <c r="L3303" s="563">
        <f t="shared" si="151"/>
        <v>0</v>
      </c>
      <c r="M3303" s="563">
        <f t="shared" si="152"/>
        <v>70.784999999999997</v>
      </c>
      <c r="N3303" s="580"/>
    </row>
    <row r="3304" spans="4:14" x14ac:dyDescent="0.25">
      <c r="D3304" s="559" t="s">
        <v>867</v>
      </c>
      <c r="E3304" s="558" t="s">
        <v>1358</v>
      </c>
      <c r="F3304" s="559">
        <v>501062</v>
      </c>
      <c r="G3304" s="558" t="s">
        <v>1355</v>
      </c>
      <c r="H3304" s="564">
        <v>40015</v>
      </c>
      <c r="I3304" s="563">
        <v>64.349999999999994</v>
      </c>
      <c r="J3304" s="563">
        <v>-64.349999999999994</v>
      </c>
      <c r="K3304" s="582">
        <f t="shared" si="150"/>
        <v>0</v>
      </c>
      <c r="L3304" s="563">
        <f t="shared" si="151"/>
        <v>0</v>
      </c>
      <c r="M3304" s="563">
        <f t="shared" si="152"/>
        <v>70.784999999999997</v>
      </c>
      <c r="N3304" s="580"/>
    </row>
    <row r="3305" spans="4:14" x14ac:dyDescent="0.25">
      <c r="D3305" s="559" t="s">
        <v>867</v>
      </c>
      <c r="E3305" s="558" t="s">
        <v>1359</v>
      </c>
      <c r="F3305" s="559">
        <v>501063</v>
      </c>
      <c r="G3305" s="558" t="s">
        <v>1355</v>
      </c>
      <c r="H3305" s="564">
        <v>40015</v>
      </c>
      <c r="I3305" s="563">
        <v>64.349999999999994</v>
      </c>
      <c r="J3305" s="563">
        <v>-64.349999999999994</v>
      </c>
      <c r="K3305" s="582">
        <f t="shared" ref="K3305:K3368" si="153">+I3305+J3305</f>
        <v>0</v>
      </c>
      <c r="L3305" s="563">
        <f t="shared" ref="L3305:L3368" si="154">+K3305*1.1</f>
        <v>0</v>
      </c>
      <c r="M3305" s="563">
        <f t="shared" ref="M3305:M3368" si="155">+I3305*1.1</f>
        <v>70.784999999999997</v>
      </c>
      <c r="N3305" s="580"/>
    </row>
    <row r="3306" spans="4:14" x14ac:dyDescent="0.25">
      <c r="D3306" s="559" t="s">
        <v>867</v>
      </c>
      <c r="E3306" s="558" t="s">
        <v>1360</v>
      </c>
      <c r="F3306" s="559">
        <v>501064</v>
      </c>
      <c r="G3306" s="558" t="s">
        <v>1361</v>
      </c>
      <c r="H3306" s="564">
        <v>40015</v>
      </c>
      <c r="I3306" s="563">
        <v>64.349999999999994</v>
      </c>
      <c r="J3306" s="563">
        <v>-64.349999999999994</v>
      </c>
      <c r="K3306" s="582">
        <f t="shared" si="153"/>
        <v>0</v>
      </c>
      <c r="L3306" s="563">
        <f t="shared" si="154"/>
        <v>0</v>
      </c>
      <c r="M3306" s="563">
        <f t="shared" si="155"/>
        <v>70.784999999999997</v>
      </c>
      <c r="N3306" s="580"/>
    </row>
    <row r="3307" spans="4:14" x14ac:dyDescent="0.25">
      <c r="D3307" s="559" t="s">
        <v>867</v>
      </c>
      <c r="E3307" s="558" t="s">
        <v>1362</v>
      </c>
      <c r="F3307" s="559">
        <v>501065</v>
      </c>
      <c r="G3307" s="558" t="s">
        <v>1361</v>
      </c>
      <c r="H3307" s="564">
        <v>40015</v>
      </c>
      <c r="I3307" s="563">
        <v>64.349999999999994</v>
      </c>
      <c r="J3307" s="563">
        <v>-64.349999999999994</v>
      </c>
      <c r="K3307" s="582">
        <f t="shared" si="153"/>
        <v>0</v>
      </c>
      <c r="L3307" s="563">
        <f t="shared" si="154"/>
        <v>0</v>
      </c>
      <c r="M3307" s="563">
        <f t="shared" si="155"/>
        <v>70.784999999999997</v>
      </c>
      <c r="N3307" s="580"/>
    </row>
    <row r="3308" spans="4:14" x14ac:dyDescent="0.25">
      <c r="D3308" s="559" t="s">
        <v>867</v>
      </c>
      <c r="E3308" s="558" t="s">
        <v>1363</v>
      </c>
      <c r="F3308" s="559">
        <v>501067</v>
      </c>
      <c r="G3308" s="558" t="s">
        <v>1361</v>
      </c>
      <c r="H3308" s="564">
        <v>40015</v>
      </c>
      <c r="I3308" s="563">
        <v>64.349999999999994</v>
      </c>
      <c r="J3308" s="563">
        <v>-64.349999999999994</v>
      </c>
      <c r="K3308" s="582">
        <f t="shared" si="153"/>
        <v>0</v>
      </c>
      <c r="L3308" s="563">
        <f t="shared" si="154"/>
        <v>0</v>
      </c>
      <c r="M3308" s="563">
        <f t="shared" si="155"/>
        <v>70.784999999999997</v>
      </c>
      <c r="N3308" s="580"/>
    </row>
    <row r="3309" spans="4:14" x14ac:dyDescent="0.25">
      <c r="D3309" s="559" t="s">
        <v>867</v>
      </c>
      <c r="E3309" s="558" t="s">
        <v>1364</v>
      </c>
      <c r="F3309" s="559">
        <v>500973</v>
      </c>
      <c r="G3309" s="558" t="s">
        <v>1361</v>
      </c>
      <c r="H3309" s="564">
        <v>40015</v>
      </c>
      <c r="I3309" s="563">
        <v>25.35</v>
      </c>
      <c r="J3309" s="563">
        <v>-25.35</v>
      </c>
      <c r="K3309" s="582">
        <f t="shared" si="153"/>
        <v>0</v>
      </c>
      <c r="L3309" s="563">
        <f t="shared" si="154"/>
        <v>0</v>
      </c>
      <c r="M3309" s="563">
        <f t="shared" si="155"/>
        <v>27.885000000000005</v>
      </c>
      <c r="N3309" s="580"/>
    </row>
    <row r="3310" spans="4:14" x14ac:dyDescent="0.25">
      <c r="D3310" s="559" t="s">
        <v>867</v>
      </c>
      <c r="E3310" s="558" t="s">
        <v>1365</v>
      </c>
      <c r="F3310" s="559">
        <v>500974</v>
      </c>
      <c r="G3310" s="558" t="s">
        <v>1361</v>
      </c>
      <c r="H3310" s="564">
        <v>40015</v>
      </c>
      <c r="I3310" s="563">
        <v>493.35</v>
      </c>
      <c r="J3310" s="563">
        <v>-493.35</v>
      </c>
      <c r="K3310" s="582">
        <f t="shared" si="153"/>
        <v>0</v>
      </c>
      <c r="L3310" s="563">
        <f t="shared" si="154"/>
        <v>0</v>
      </c>
      <c r="M3310" s="563">
        <f t="shared" si="155"/>
        <v>542.68500000000006</v>
      </c>
      <c r="N3310" s="580"/>
    </row>
    <row r="3311" spans="4:14" x14ac:dyDescent="0.25">
      <c r="D3311" s="559" t="s">
        <v>867</v>
      </c>
      <c r="E3311" s="558" t="s">
        <v>1366</v>
      </c>
      <c r="F3311" s="559">
        <v>501068</v>
      </c>
      <c r="G3311" s="558" t="s">
        <v>1367</v>
      </c>
      <c r="H3311" s="564">
        <v>40015</v>
      </c>
      <c r="I3311" s="563">
        <v>64.349999999999994</v>
      </c>
      <c r="J3311" s="563">
        <v>-64.349999999999994</v>
      </c>
      <c r="K3311" s="582">
        <f t="shared" si="153"/>
        <v>0</v>
      </c>
      <c r="L3311" s="563">
        <f t="shared" si="154"/>
        <v>0</v>
      </c>
      <c r="M3311" s="563">
        <f t="shared" si="155"/>
        <v>70.784999999999997</v>
      </c>
      <c r="N3311" s="580"/>
    </row>
    <row r="3312" spans="4:14" x14ac:dyDescent="0.25">
      <c r="D3312" s="559" t="s">
        <v>867</v>
      </c>
      <c r="E3312" s="558" t="s">
        <v>1368</v>
      </c>
      <c r="F3312" s="559">
        <v>501069</v>
      </c>
      <c r="G3312" s="558" t="s">
        <v>1367</v>
      </c>
      <c r="H3312" s="564">
        <v>40015</v>
      </c>
      <c r="I3312" s="563">
        <v>688.35</v>
      </c>
      <c r="J3312" s="563">
        <v>-585</v>
      </c>
      <c r="K3312" s="582">
        <f t="shared" si="153"/>
        <v>103.35000000000002</v>
      </c>
      <c r="L3312" s="563">
        <f t="shared" si="154"/>
        <v>113.68500000000003</v>
      </c>
      <c r="M3312" s="563">
        <f t="shared" si="155"/>
        <v>757.18500000000006</v>
      </c>
      <c r="N3312" s="580"/>
    </row>
    <row r="3313" spans="4:14" x14ac:dyDescent="0.25">
      <c r="D3313" s="559" t="s">
        <v>867</v>
      </c>
      <c r="E3313" s="558" t="s">
        <v>1369</v>
      </c>
      <c r="F3313" s="559">
        <v>501070</v>
      </c>
      <c r="G3313" s="558" t="s">
        <v>1367</v>
      </c>
      <c r="H3313" s="564">
        <v>40015</v>
      </c>
      <c r="I3313" s="563">
        <v>25.35</v>
      </c>
      <c r="J3313" s="563">
        <v>-25.35</v>
      </c>
      <c r="K3313" s="582">
        <f t="shared" si="153"/>
        <v>0</v>
      </c>
      <c r="L3313" s="563">
        <f t="shared" si="154"/>
        <v>0</v>
      </c>
      <c r="M3313" s="563">
        <f t="shared" si="155"/>
        <v>27.885000000000005</v>
      </c>
      <c r="N3313" s="580"/>
    </row>
    <row r="3314" spans="4:14" x14ac:dyDescent="0.25">
      <c r="D3314" s="559" t="s">
        <v>867</v>
      </c>
      <c r="E3314" s="558" t="s">
        <v>1370</v>
      </c>
      <c r="F3314" s="559">
        <v>501071</v>
      </c>
      <c r="G3314" s="558" t="s">
        <v>1367</v>
      </c>
      <c r="H3314" s="564">
        <v>40015</v>
      </c>
      <c r="I3314" s="563">
        <v>25.35</v>
      </c>
      <c r="J3314" s="563">
        <v>-25.35</v>
      </c>
      <c r="K3314" s="582">
        <f t="shared" si="153"/>
        <v>0</v>
      </c>
      <c r="L3314" s="563">
        <f t="shared" si="154"/>
        <v>0</v>
      </c>
      <c r="M3314" s="563">
        <f t="shared" si="155"/>
        <v>27.885000000000005</v>
      </c>
      <c r="N3314" s="580"/>
    </row>
    <row r="3315" spans="4:14" x14ac:dyDescent="0.25">
      <c r="D3315" s="559" t="s">
        <v>867</v>
      </c>
      <c r="E3315" s="558" t="s">
        <v>1371</v>
      </c>
      <c r="F3315" s="559">
        <v>500975</v>
      </c>
      <c r="G3315" s="558" t="s">
        <v>1367</v>
      </c>
      <c r="H3315" s="564">
        <v>40015</v>
      </c>
      <c r="I3315" s="563">
        <v>64.349999999999994</v>
      </c>
      <c r="J3315" s="563">
        <v>-64.349999999999994</v>
      </c>
      <c r="K3315" s="582">
        <f t="shared" si="153"/>
        <v>0</v>
      </c>
      <c r="L3315" s="563">
        <f t="shared" si="154"/>
        <v>0</v>
      </c>
      <c r="M3315" s="563">
        <f t="shared" si="155"/>
        <v>70.784999999999997</v>
      </c>
      <c r="N3315" s="580"/>
    </row>
    <row r="3316" spans="4:14" x14ac:dyDescent="0.25">
      <c r="D3316" s="559" t="s">
        <v>867</v>
      </c>
      <c r="E3316" s="558" t="s">
        <v>1372</v>
      </c>
      <c r="F3316" s="559">
        <v>501080</v>
      </c>
      <c r="G3316" s="558" t="s">
        <v>1373</v>
      </c>
      <c r="H3316" s="564">
        <v>40015</v>
      </c>
      <c r="I3316" s="563">
        <v>688.35</v>
      </c>
      <c r="J3316" s="563">
        <v>-585</v>
      </c>
      <c r="K3316" s="582">
        <f t="shared" si="153"/>
        <v>103.35000000000002</v>
      </c>
      <c r="L3316" s="563">
        <f t="shared" si="154"/>
        <v>113.68500000000003</v>
      </c>
      <c r="M3316" s="563">
        <f t="shared" si="155"/>
        <v>757.18500000000006</v>
      </c>
      <c r="N3316" s="580"/>
    </row>
    <row r="3317" spans="4:14" x14ac:dyDescent="0.25">
      <c r="D3317" s="559" t="s">
        <v>867</v>
      </c>
      <c r="E3317" s="558" t="s">
        <v>1374</v>
      </c>
      <c r="F3317" s="559">
        <v>501083</v>
      </c>
      <c r="G3317" s="558" t="s">
        <v>1373</v>
      </c>
      <c r="H3317" s="564">
        <v>40015</v>
      </c>
      <c r="I3317" s="563">
        <v>766.35</v>
      </c>
      <c r="J3317" s="563">
        <v>-585</v>
      </c>
      <c r="K3317" s="582">
        <f t="shared" si="153"/>
        <v>181.35000000000002</v>
      </c>
      <c r="L3317" s="563">
        <f t="shared" si="154"/>
        <v>199.48500000000004</v>
      </c>
      <c r="M3317" s="563">
        <f t="shared" si="155"/>
        <v>842.98500000000013</v>
      </c>
      <c r="N3317" s="580"/>
    </row>
    <row r="3318" spans="4:14" x14ac:dyDescent="0.25">
      <c r="D3318" s="559" t="s">
        <v>867</v>
      </c>
      <c r="E3318" s="558" t="s">
        <v>1375</v>
      </c>
      <c r="F3318" s="559">
        <v>501084</v>
      </c>
      <c r="G3318" s="558" t="s">
        <v>1373</v>
      </c>
      <c r="H3318" s="564">
        <v>40015</v>
      </c>
      <c r="I3318" s="563">
        <v>142.35</v>
      </c>
      <c r="J3318" s="563">
        <v>-142.35</v>
      </c>
      <c r="K3318" s="582">
        <f t="shared" si="153"/>
        <v>0</v>
      </c>
      <c r="L3318" s="563">
        <f t="shared" si="154"/>
        <v>0</v>
      </c>
      <c r="M3318" s="563">
        <f t="shared" si="155"/>
        <v>156.58500000000001</v>
      </c>
      <c r="N3318" s="580"/>
    </row>
    <row r="3319" spans="4:14" x14ac:dyDescent="0.25">
      <c r="D3319" s="559" t="s">
        <v>867</v>
      </c>
      <c r="E3319" s="558" t="s">
        <v>1376</v>
      </c>
      <c r="F3319" s="559">
        <v>500331</v>
      </c>
      <c r="G3319" s="558" t="s">
        <v>1373</v>
      </c>
      <c r="H3319" s="564">
        <v>40015</v>
      </c>
      <c r="I3319" s="563">
        <v>103.35</v>
      </c>
      <c r="J3319" s="563">
        <v>-103.35</v>
      </c>
      <c r="K3319" s="582">
        <f t="shared" si="153"/>
        <v>0</v>
      </c>
      <c r="L3319" s="563">
        <f t="shared" si="154"/>
        <v>0</v>
      </c>
      <c r="M3319" s="563">
        <f t="shared" si="155"/>
        <v>113.685</v>
      </c>
      <c r="N3319" s="580"/>
    </row>
    <row r="3320" spans="4:14" x14ac:dyDescent="0.25">
      <c r="D3320" s="559" t="s">
        <v>867</v>
      </c>
      <c r="E3320" s="558" t="s">
        <v>1377</v>
      </c>
      <c r="F3320" s="559">
        <v>501088</v>
      </c>
      <c r="G3320" s="558" t="s">
        <v>1373</v>
      </c>
      <c r="H3320" s="564">
        <v>40015</v>
      </c>
      <c r="I3320" s="563">
        <v>64.349999999999994</v>
      </c>
      <c r="J3320" s="563">
        <v>-64.349999999999994</v>
      </c>
      <c r="K3320" s="582">
        <f t="shared" si="153"/>
        <v>0</v>
      </c>
      <c r="L3320" s="563">
        <f t="shared" si="154"/>
        <v>0</v>
      </c>
      <c r="M3320" s="563">
        <f t="shared" si="155"/>
        <v>70.784999999999997</v>
      </c>
      <c r="N3320" s="580"/>
    </row>
    <row r="3321" spans="4:14" x14ac:dyDescent="0.25">
      <c r="D3321" s="559" t="s">
        <v>867</v>
      </c>
      <c r="E3321" s="558" t="s">
        <v>1378</v>
      </c>
      <c r="F3321" s="559">
        <v>501091</v>
      </c>
      <c r="G3321" s="558" t="s">
        <v>1379</v>
      </c>
      <c r="H3321" s="564">
        <v>40015</v>
      </c>
      <c r="I3321" s="563">
        <v>64.349999999999994</v>
      </c>
      <c r="J3321" s="563">
        <v>-64.349999999999994</v>
      </c>
      <c r="K3321" s="582">
        <f t="shared" si="153"/>
        <v>0</v>
      </c>
      <c r="L3321" s="563">
        <f t="shared" si="154"/>
        <v>0</v>
      </c>
      <c r="M3321" s="563">
        <f t="shared" si="155"/>
        <v>70.784999999999997</v>
      </c>
      <c r="N3321" s="580"/>
    </row>
    <row r="3322" spans="4:14" x14ac:dyDescent="0.25">
      <c r="D3322" s="559" t="s">
        <v>867</v>
      </c>
      <c r="E3322" s="558" t="s">
        <v>1380</v>
      </c>
      <c r="F3322" s="559">
        <v>501092</v>
      </c>
      <c r="G3322" s="558" t="s">
        <v>1379</v>
      </c>
      <c r="H3322" s="564">
        <v>40015</v>
      </c>
      <c r="I3322" s="563">
        <v>181.35</v>
      </c>
      <c r="J3322" s="563">
        <v>-181.35</v>
      </c>
      <c r="K3322" s="582">
        <f t="shared" si="153"/>
        <v>0</v>
      </c>
      <c r="L3322" s="563">
        <f t="shared" si="154"/>
        <v>0</v>
      </c>
      <c r="M3322" s="563">
        <f t="shared" si="155"/>
        <v>199.48500000000001</v>
      </c>
      <c r="N3322" s="580"/>
    </row>
    <row r="3323" spans="4:14" x14ac:dyDescent="0.25">
      <c r="D3323" s="559" t="s">
        <v>867</v>
      </c>
      <c r="E3323" s="558" t="s">
        <v>1381</v>
      </c>
      <c r="F3323" s="559">
        <v>501093</v>
      </c>
      <c r="G3323" s="558" t="s">
        <v>1379</v>
      </c>
      <c r="H3323" s="564">
        <v>40015</v>
      </c>
      <c r="I3323" s="563">
        <v>64.349999999999994</v>
      </c>
      <c r="J3323" s="563">
        <v>-64.349999999999994</v>
      </c>
      <c r="K3323" s="582">
        <f t="shared" si="153"/>
        <v>0</v>
      </c>
      <c r="L3323" s="563">
        <f t="shared" si="154"/>
        <v>0</v>
      </c>
      <c r="M3323" s="563">
        <f t="shared" si="155"/>
        <v>70.784999999999997</v>
      </c>
      <c r="N3323" s="580"/>
    </row>
    <row r="3324" spans="4:14" x14ac:dyDescent="0.25">
      <c r="D3324" s="559" t="s">
        <v>867</v>
      </c>
      <c r="E3324" s="558" t="s">
        <v>1382</v>
      </c>
      <c r="F3324" s="559">
        <v>501098</v>
      </c>
      <c r="G3324" s="558" t="s">
        <v>1379</v>
      </c>
      <c r="H3324" s="564">
        <v>40015</v>
      </c>
      <c r="I3324" s="563">
        <v>64.349999999999994</v>
      </c>
      <c r="J3324" s="563">
        <v>-64.349999999999994</v>
      </c>
      <c r="K3324" s="582">
        <f t="shared" si="153"/>
        <v>0</v>
      </c>
      <c r="L3324" s="563">
        <f t="shared" si="154"/>
        <v>0</v>
      </c>
      <c r="M3324" s="563">
        <f t="shared" si="155"/>
        <v>70.784999999999997</v>
      </c>
      <c r="N3324" s="580"/>
    </row>
    <row r="3325" spans="4:14" x14ac:dyDescent="0.25">
      <c r="D3325" s="559" t="s">
        <v>867</v>
      </c>
      <c r="E3325" s="558" t="s">
        <v>1383</v>
      </c>
      <c r="F3325" s="559">
        <v>501100</v>
      </c>
      <c r="G3325" s="558" t="s">
        <v>1379</v>
      </c>
      <c r="H3325" s="564">
        <v>40015</v>
      </c>
      <c r="I3325" s="563">
        <v>103.35</v>
      </c>
      <c r="J3325" s="563">
        <v>-103.35</v>
      </c>
      <c r="K3325" s="582">
        <f t="shared" si="153"/>
        <v>0</v>
      </c>
      <c r="L3325" s="563">
        <f t="shared" si="154"/>
        <v>0</v>
      </c>
      <c r="M3325" s="563">
        <f t="shared" si="155"/>
        <v>113.685</v>
      </c>
      <c r="N3325" s="580"/>
    </row>
    <row r="3326" spans="4:14" x14ac:dyDescent="0.25">
      <c r="D3326" s="559" t="s">
        <v>867</v>
      </c>
      <c r="E3326" s="558" t="s">
        <v>1384</v>
      </c>
      <c r="F3326" s="559">
        <v>501102</v>
      </c>
      <c r="G3326" s="558" t="s">
        <v>1385</v>
      </c>
      <c r="H3326" s="564">
        <v>40015</v>
      </c>
      <c r="I3326" s="563">
        <v>181.35</v>
      </c>
      <c r="J3326" s="563">
        <v>-181.35</v>
      </c>
      <c r="K3326" s="582">
        <f t="shared" si="153"/>
        <v>0</v>
      </c>
      <c r="L3326" s="563">
        <f t="shared" si="154"/>
        <v>0</v>
      </c>
      <c r="M3326" s="563">
        <f t="shared" si="155"/>
        <v>199.48500000000001</v>
      </c>
      <c r="N3326" s="580"/>
    </row>
    <row r="3327" spans="4:14" x14ac:dyDescent="0.25">
      <c r="D3327" s="559" t="s">
        <v>867</v>
      </c>
      <c r="E3327" s="558" t="s">
        <v>1386</v>
      </c>
      <c r="F3327" s="559">
        <v>501108</v>
      </c>
      <c r="G3327" s="558" t="s">
        <v>1385</v>
      </c>
      <c r="H3327" s="564">
        <v>40015</v>
      </c>
      <c r="I3327" s="563">
        <v>142.35</v>
      </c>
      <c r="J3327" s="563">
        <v>-142.35</v>
      </c>
      <c r="K3327" s="582">
        <f t="shared" si="153"/>
        <v>0</v>
      </c>
      <c r="L3327" s="563">
        <f t="shared" si="154"/>
        <v>0</v>
      </c>
      <c r="M3327" s="563">
        <f t="shared" si="155"/>
        <v>156.58500000000001</v>
      </c>
      <c r="N3327" s="580"/>
    </row>
    <row r="3328" spans="4:14" x14ac:dyDescent="0.25">
      <c r="D3328" s="559" t="s">
        <v>867</v>
      </c>
      <c r="E3328" s="558" t="s">
        <v>1387</v>
      </c>
      <c r="F3328" s="559">
        <v>500332</v>
      </c>
      <c r="G3328" s="558" t="s">
        <v>1385</v>
      </c>
      <c r="H3328" s="564">
        <v>40015</v>
      </c>
      <c r="I3328" s="563">
        <v>688.35</v>
      </c>
      <c r="J3328" s="563">
        <v>-585</v>
      </c>
      <c r="K3328" s="582">
        <f t="shared" si="153"/>
        <v>103.35000000000002</v>
      </c>
      <c r="L3328" s="563">
        <f t="shared" si="154"/>
        <v>113.68500000000003</v>
      </c>
      <c r="M3328" s="563">
        <f t="shared" si="155"/>
        <v>757.18500000000006</v>
      </c>
      <c r="N3328" s="580"/>
    </row>
    <row r="3329" spans="4:14" x14ac:dyDescent="0.25">
      <c r="D3329" s="559" t="s">
        <v>867</v>
      </c>
      <c r="E3329" s="558" t="s">
        <v>1388</v>
      </c>
      <c r="F3329" s="559">
        <v>500987</v>
      </c>
      <c r="G3329" s="558" t="s">
        <v>1385</v>
      </c>
      <c r="H3329" s="564">
        <v>40015</v>
      </c>
      <c r="I3329" s="563">
        <v>142.35</v>
      </c>
      <c r="J3329" s="563">
        <v>-142.35</v>
      </c>
      <c r="K3329" s="582">
        <f t="shared" si="153"/>
        <v>0</v>
      </c>
      <c r="L3329" s="563">
        <f t="shared" si="154"/>
        <v>0</v>
      </c>
      <c r="M3329" s="563">
        <f t="shared" si="155"/>
        <v>156.58500000000001</v>
      </c>
      <c r="N3329" s="580"/>
    </row>
    <row r="3330" spans="4:14" x14ac:dyDescent="0.25">
      <c r="D3330" s="559" t="s">
        <v>867</v>
      </c>
      <c r="E3330" s="558" t="s">
        <v>1389</v>
      </c>
      <c r="F3330" s="559">
        <v>500333</v>
      </c>
      <c r="G3330" s="558" t="s">
        <v>1385</v>
      </c>
      <c r="H3330" s="564">
        <v>40015</v>
      </c>
      <c r="I3330" s="563">
        <v>688.35</v>
      </c>
      <c r="J3330" s="563">
        <v>-585</v>
      </c>
      <c r="K3330" s="582">
        <f t="shared" si="153"/>
        <v>103.35000000000002</v>
      </c>
      <c r="L3330" s="563">
        <f t="shared" si="154"/>
        <v>113.68500000000003</v>
      </c>
      <c r="M3330" s="563">
        <f t="shared" si="155"/>
        <v>757.18500000000006</v>
      </c>
      <c r="N3330" s="580"/>
    </row>
    <row r="3331" spans="4:14" x14ac:dyDescent="0.25">
      <c r="D3331" s="559" t="s">
        <v>867</v>
      </c>
      <c r="E3331" s="558" t="s">
        <v>1390</v>
      </c>
      <c r="F3331" s="559">
        <v>501112</v>
      </c>
      <c r="G3331" s="558" t="s">
        <v>1391</v>
      </c>
      <c r="H3331" s="564">
        <v>40015</v>
      </c>
      <c r="I3331" s="563">
        <v>2560.35</v>
      </c>
      <c r="J3331" s="563">
        <v>-585</v>
      </c>
      <c r="K3331" s="582">
        <f t="shared" si="153"/>
        <v>1975.35</v>
      </c>
      <c r="L3331" s="563">
        <f t="shared" si="154"/>
        <v>2172.8850000000002</v>
      </c>
      <c r="M3331" s="563">
        <f t="shared" si="155"/>
        <v>2816.3850000000002</v>
      </c>
      <c r="N3331" s="580"/>
    </row>
    <row r="3332" spans="4:14" x14ac:dyDescent="0.25">
      <c r="D3332" s="559" t="s">
        <v>867</v>
      </c>
      <c r="E3332" s="558" t="s">
        <v>1392</v>
      </c>
      <c r="F3332" s="559">
        <v>501113</v>
      </c>
      <c r="G3332" s="558" t="s">
        <v>1391</v>
      </c>
      <c r="H3332" s="564">
        <v>40015</v>
      </c>
      <c r="I3332" s="563">
        <v>3783</v>
      </c>
      <c r="J3332" s="563">
        <v>-585</v>
      </c>
      <c r="K3332" s="582">
        <f t="shared" si="153"/>
        <v>3198</v>
      </c>
      <c r="L3332" s="563">
        <f t="shared" si="154"/>
        <v>3517.8</v>
      </c>
      <c r="M3332" s="563">
        <f t="shared" si="155"/>
        <v>4161.3</v>
      </c>
      <c r="N3332" s="580"/>
    </row>
    <row r="3333" spans="4:14" x14ac:dyDescent="0.25">
      <c r="D3333" s="559" t="s">
        <v>867</v>
      </c>
      <c r="E3333" s="558" t="s">
        <v>1393</v>
      </c>
      <c r="F3333" s="559">
        <v>501114</v>
      </c>
      <c r="G3333" s="558" t="s">
        <v>1391</v>
      </c>
      <c r="H3333" s="564">
        <v>40015</v>
      </c>
      <c r="I3333" s="563">
        <v>142.35</v>
      </c>
      <c r="J3333" s="563">
        <v>-142.35</v>
      </c>
      <c r="K3333" s="582">
        <f t="shared" si="153"/>
        <v>0</v>
      </c>
      <c r="L3333" s="563">
        <f t="shared" si="154"/>
        <v>0</v>
      </c>
      <c r="M3333" s="563">
        <f t="shared" si="155"/>
        <v>156.58500000000001</v>
      </c>
      <c r="N3333" s="580"/>
    </row>
    <row r="3334" spans="4:14" x14ac:dyDescent="0.25">
      <c r="D3334" s="559" t="s">
        <v>867</v>
      </c>
      <c r="E3334" s="558" t="s">
        <v>1394</v>
      </c>
      <c r="F3334" s="559">
        <v>501115</v>
      </c>
      <c r="G3334" s="558" t="s">
        <v>1391</v>
      </c>
      <c r="H3334" s="564">
        <v>40015</v>
      </c>
      <c r="I3334" s="563">
        <v>142.35</v>
      </c>
      <c r="J3334" s="563">
        <v>-142.35</v>
      </c>
      <c r="K3334" s="582">
        <f t="shared" si="153"/>
        <v>0</v>
      </c>
      <c r="L3334" s="563">
        <f t="shared" si="154"/>
        <v>0</v>
      </c>
      <c r="M3334" s="563">
        <f t="shared" si="155"/>
        <v>156.58500000000001</v>
      </c>
      <c r="N3334" s="580"/>
    </row>
    <row r="3335" spans="4:14" x14ac:dyDescent="0.25">
      <c r="D3335" s="559" t="s">
        <v>867</v>
      </c>
      <c r="E3335" s="558" t="s">
        <v>1395</v>
      </c>
      <c r="F3335" s="559">
        <v>501118</v>
      </c>
      <c r="G3335" s="558" t="s">
        <v>1391</v>
      </c>
      <c r="H3335" s="564">
        <v>40015</v>
      </c>
      <c r="I3335" s="563">
        <v>766.35</v>
      </c>
      <c r="J3335" s="563">
        <v>-585</v>
      </c>
      <c r="K3335" s="582">
        <f t="shared" si="153"/>
        <v>181.35000000000002</v>
      </c>
      <c r="L3335" s="563">
        <f t="shared" si="154"/>
        <v>199.48500000000004</v>
      </c>
      <c r="M3335" s="563">
        <f t="shared" si="155"/>
        <v>842.98500000000013</v>
      </c>
      <c r="N3335" s="580"/>
    </row>
    <row r="3336" spans="4:14" x14ac:dyDescent="0.25">
      <c r="D3336" s="559" t="s">
        <v>867</v>
      </c>
      <c r="E3336" s="558" t="s">
        <v>1396</v>
      </c>
      <c r="F3336" s="559">
        <v>501119</v>
      </c>
      <c r="G3336" s="558" t="s">
        <v>1397</v>
      </c>
      <c r="H3336" s="564">
        <v>40015</v>
      </c>
      <c r="I3336" s="563">
        <v>142.35</v>
      </c>
      <c r="J3336" s="563">
        <v>-142.35</v>
      </c>
      <c r="K3336" s="582">
        <f t="shared" si="153"/>
        <v>0</v>
      </c>
      <c r="L3336" s="563">
        <f t="shared" si="154"/>
        <v>0</v>
      </c>
      <c r="M3336" s="563">
        <f t="shared" si="155"/>
        <v>156.58500000000001</v>
      </c>
      <c r="N3336" s="580"/>
    </row>
    <row r="3337" spans="4:14" x14ac:dyDescent="0.25">
      <c r="D3337" s="559" t="s">
        <v>867</v>
      </c>
      <c r="E3337" s="558" t="s">
        <v>1398</v>
      </c>
      <c r="F3337" s="559">
        <v>501120</v>
      </c>
      <c r="G3337" s="558" t="s">
        <v>1397</v>
      </c>
      <c r="H3337" s="564">
        <v>40015</v>
      </c>
      <c r="I3337" s="563">
        <v>571.35</v>
      </c>
      <c r="J3337" s="563">
        <v>-571.35</v>
      </c>
      <c r="K3337" s="582">
        <f t="shared" si="153"/>
        <v>0</v>
      </c>
      <c r="L3337" s="563">
        <f t="shared" si="154"/>
        <v>0</v>
      </c>
      <c r="M3337" s="563">
        <f t="shared" si="155"/>
        <v>628.48500000000013</v>
      </c>
      <c r="N3337" s="580"/>
    </row>
    <row r="3338" spans="4:14" x14ac:dyDescent="0.25">
      <c r="D3338" s="559" t="s">
        <v>867</v>
      </c>
      <c r="E3338" s="558" t="s">
        <v>1399</v>
      </c>
      <c r="F3338" s="559">
        <v>501125</v>
      </c>
      <c r="G3338" s="558" t="s">
        <v>1397</v>
      </c>
      <c r="H3338" s="564">
        <v>40015</v>
      </c>
      <c r="I3338" s="563">
        <v>181.35</v>
      </c>
      <c r="J3338" s="563">
        <v>-181.35</v>
      </c>
      <c r="K3338" s="582">
        <f t="shared" si="153"/>
        <v>0</v>
      </c>
      <c r="L3338" s="563">
        <f t="shared" si="154"/>
        <v>0</v>
      </c>
      <c r="M3338" s="563">
        <f t="shared" si="155"/>
        <v>199.48500000000001</v>
      </c>
      <c r="N3338" s="580"/>
    </row>
    <row r="3339" spans="4:14" x14ac:dyDescent="0.25">
      <c r="D3339" s="559" t="s">
        <v>867</v>
      </c>
      <c r="E3339" s="558" t="s">
        <v>1400</v>
      </c>
      <c r="F3339" s="559">
        <v>501126</v>
      </c>
      <c r="G3339" s="558" t="s">
        <v>1397</v>
      </c>
      <c r="H3339" s="564">
        <v>40015</v>
      </c>
      <c r="I3339" s="563">
        <v>142.35</v>
      </c>
      <c r="J3339" s="563">
        <v>-142.35</v>
      </c>
      <c r="K3339" s="582">
        <f t="shared" si="153"/>
        <v>0</v>
      </c>
      <c r="L3339" s="563">
        <f t="shared" si="154"/>
        <v>0</v>
      </c>
      <c r="M3339" s="563">
        <f t="shared" si="155"/>
        <v>156.58500000000001</v>
      </c>
      <c r="N3339" s="580"/>
    </row>
    <row r="3340" spans="4:14" x14ac:dyDescent="0.25">
      <c r="D3340" s="559" t="s">
        <v>867</v>
      </c>
      <c r="E3340" s="558" t="s">
        <v>1401</v>
      </c>
      <c r="F3340" s="559">
        <v>501127</v>
      </c>
      <c r="G3340" s="558" t="s">
        <v>1397</v>
      </c>
      <c r="H3340" s="564">
        <v>40015</v>
      </c>
      <c r="I3340" s="563">
        <v>766.35</v>
      </c>
      <c r="J3340" s="563">
        <v>-585</v>
      </c>
      <c r="K3340" s="582">
        <f t="shared" si="153"/>
        <v>181.35000000000002</v>
      </c>
      <c r="L3340" s="563">
        <f t="shared" si="154"/>
        <v>199.48500000000004</v>
      </c>
      <c r="M3340" s="563">
        <f t="shared" si="155"/>
        <v>842.98500000000013</v>
      </c>
      <c r="N3340" s="580"/>
    </row>
    <row r="3341" spans="4:14" x14ac:dyDescent="0.25">
      <c r="D3341" s="559" t="s">
        <v>867</v>
      </c>
      <c r="E3341" s="558" t="s">
        <v>1402</v>
      </c>
      <c r="F3341" s="559">
        <v>501128</v>
      </c>
      <c r="G3341" s="558" t="s">
        <v>1403</v>
      </c>
      <c r="H3341" s="564">
        <v>40015</v>
      </c>
      <c r="I3341" s="563">
        <v>688.35</v>
      </c>
      <c r="J3341" s="563">
        <v>-585</v>
      </c>
      <c r="K3341" s="582">
        <f t="shared" si="153"/>
        <v>103.35000000000002</v>
      </c>
      <c r="L3341" s="563">
        <f t="shared" si="154"/>
        <v>113.68500000000003</v>
      </c>
      <c r="M3341" s="563">
        <f t="shared" si="155"/>
        <v>757.18500000000006</v>
      </c>
      <c r="N3341" s="580"/>
    </row>
    <row r="3342" spans="4:14" x14ac:dyDescent="0.25">
      <c r="D3342" s="559" t="s">
        <v>867</v>
      </c>
      <c r="E3342" s="558" t="s">
        <v>1404</v>
      </c>
      <c r="F3342" s="559">
        <v>500334</v>
      </c>
      <c r="G3342" s="558" t="s">
        <v>1403</v>
      </c>
      <c r="H3342" s="564">
        <v>40015</v>
      </c>
      <c r="I3342" s="563">
        <v>688.35</v>
      </c>
      <c r="J3342" s="563">
        <v>-585</v>
      </c>
      <c r="K3342" s="582">
        <f t="shared" si="153"/>
        <v>103.35000000000002</v>
      </c>
      <c r="L3342" s="563">
        <f t="shared" si="154"/>
        <v>113.68500000000003</v>
      </c>
      <c r="M3342" s="563">
        <f t="shared" si="155"/>
        <v>757.18500000000006</v>
      </c>
      <c r="N3342" s="580"/>
    </row>
    <row r="3343" spans="4:14" x14ac:dyDescent="0.25">
      <c r="D3343" s="559" t="s">
        <v>867</v>
      </c>
      <c r="E3343" s="558" t="s">
        <v>1405</v>
      </c>
      <c r="F3343" s="559">
        <v>501132</v>
      </c>
      <c r="G3343" s="558" t="s">
        <v>1403</v>
      </c>
      <c r="H3343" s="564">
        <v>40015</v>
      </c>
      <c r="I3343" s="563">
        <v>25.35</v>
      </c>
      <c r="J3343" s="563">
        <v>-25.35</v>
      </c>
      <c r="K3343" s="582">
        <f t="shared" si="153"/>
        <v>0</v>
      </c>
      <c r="L3343" s="563">
        <f t="shared" si="154"/>
        <v>0</v>
      </c>
      <c r="M3343" s="563">
        <f t="shared" si="155"/>
        <v>27.885000000000005</v>
      </c>
      <c r="N3343" s="580"/>
    </row>
    <row r="3344" spans="4:14" x14ac:dyDescent="0.25">
      <c r="D3344" s="559" t="s">
        <v>867</v>
      </c>
      <c r="E3344" s="558" t="s">
        <v>1406</v>
      </c>
      <c r="F3344" s="559">
        <v>501133</v>
      </c>
      <c r="G3344" s="558" t="s">
        <v>1403</v>
      </c>
      <c r="H3344" s="564">
        <v>40015</v>
      </c>
      <c r="I3344" s="563">
        <v>25.35</v>
      </c>
      <c r="J3344" s="563">
        <v>-25.35</v>
      </c>
      <c r="K3344" s="582">
        <f t="shared" si="153"/>
        <v>0</v>
      </c>
      <c r="L3344" s="563">
        <f t="shared" si="154"/>
        <v>0</v>
      </c>
      <c r="M3344" s="563">
        <f t="shared" si="155"/>
        <v>27.885000000000005</v>
      </c>
      <c r="N3344" s="580"/>
    </row>
    <row r="3345" spans="4:14" x14ac:dyDescent="0.25">
      <c r="D3345" s="559" t="s">
        <v>867</v>
      </c>
      <c r="E3345" s="558" t="s">
        <v>1407</v>
      </c>
      <c r="F3345" s="559">
        <v>501135</v>
      </c>
      <c r="G3345" s="558" t="s">
        <v>1403</v>
      </c>
      <c r="H3345" s="564">
        <v>40015</v>
      </c>
      <c r="I3345" s="563">
        <v>142.35</v>
      </c>
      <c r="J3345" s="563">
        <v>-142.35</v>
      </c>
      <c r="K3345" s="582">
        <f t="shared" si="153"/>
        <v>0</v>
      </c>
      <c r="L3345" s="563">
        <f t="shared" si="154"/>
        <v>0</v>
      </c>
      <c r="M3345" s="563">
        <f t="shared" si="155"/>
        <v>156.58500000000001</v>
      </c>
      <c r="N3345" s="580"/>
    </row>
    <row r="3346" spans="4:14" x14ac:dyDescent="0.25">
      <c r="D3346" s="559" t="s">
        <v>867</v>
      </c>
      <c r="E3346" s="558" t="s">
        <v>1408</v>
      </c>
      <c r="F3346" s="559">
        <v>501145</v>
      </c>
      <c r="G3346" s="558" t="s">
        <v>1409</v>
      </c>
      <c r="H3346" s="564">
        <v>40015</v>
      </c>
      <c r="I3346" s="563">
        <v>181.35</v>
      </c>
      <c r="J3346" s="563">
        <v>-181.35</v>
      </c>
      <c r="K3346" s="582">
        <f t="shared" si="153"/>
        <v>0</v>
      </c>
      <c r="L3346" s="563">
        <f t="shared" si="154"/>
        <v>0</v>
      </c>
      <c r="M3346" s="563">
        <f t="shared" si="155"/>
        <v>199.48500000000001</v>
      </c>
      <c r="N3346" s="580"/>
    </row>
    <row r="3347" spans="4:14" x14ac:dyDescent="0.25">
      <c r="D3347" s="559" t="s">
        <v>867</v>
      </c>
      <c r="E3347" s="558" t="s">
        <v>1410</v>
      </c>
      <c r="F3347" s="559">
        <v>501146</v>
      </c>
      <c r="G3347" s="558" t="s">
        <v>1409</v>
      </c>
      <c r="H3347" s="564">
        <v>40015</v>
      </c>
      <c r="I3347" s="563">
        <v>181.35</v>
      </c>
      <c r="J3347" s="563">
        <v>-181.35</v>
      </c>
      <c r="K3347" s="582">
        <f t="shared" si="153"/>
        <v>0</v>
      </c>
      <c r="L3347" s="563">
        <f t="shared" si="154"/>
        <v>0</v>
      </c>
      <c r="M3347" s="563">
        <f t="shared" si="155"/>
        <v>199.48500000000001</v>
      </c>
      <c r="N3347" s="580"/>
    </row>
    <row r="3348" spans="4:14" x14ac:dyDescent="0.25">
      <c r="D3348" s="559" t="s">
        <v>867</v>
      </c>
      <c r="E3348" s="558" t="s">
        <v>1411</v>
      </c>
      <c r="F3348" s="559">
        <v>501149</v>
      </c>
      <c r="G3348" s="558" t="s">
        <v>1409</v>
      </c>
      <c r="H3348" s="564">
        <v>40015</v>
      </c>
      <c r="I3348" s="563">
        <v>766.35</v>
      </c>
      <c r="J3348" s="563">
        <v>-585</v>
      </c>
      <c r="K3348" s="582">
        <f t="shared" si="153"/>
        <v>181.35000000000002</v>
      </c>
      <c r="L3348" s="563">
        <f t="shared" si="154"/>
        <v>199.48500000000004</v>
      </c>
      <c r="M3348" s="563">
        <f t="shared" si="155"/>
        <v>842.98500000000013</v>
      </c>
      <c r="N3348" s="580"/>
    </row>
    <row r="3349" spans="4:14" x14ac:dyDescent="0.25">
      <c r="D3349" s="559" t="s">
        <v>867</v>
      </c>
      <c r="E3349" s="558" t="s">
        <v>1412</v>
      </c>
      <c r="F3349" s="559">
        <v>501150</v>
      </c>
      <c r="G3349" s="558" t="s">
        <v>1409</v>
      </c>
      <c r="H3349" s="564">
        <v>40015</v>
      </c>
      <c r="I3349" s="563">
        <v>220.35</v>
      </c>
      <c r="J3349" s="563">
        <v>-220.35</v>
      </c>
      <c r="K3349" s="582">
        <f t="shared" si="153"/>
        <v>0</v>
      </c>
      <c r="L3349" s="563">
        <f t="shared" si="154"/>
        <v>0</v>
      </c>
      <c r="M3349" s="563">
        <f t="shared" si="155"/>
        <v>242.38500000000002</v>
      </c>
      <c r="N3349" s="580"/>
    </row>
    <row r="3350" spans="4:14" x14ac:dyDescent="0.25">
      <c r="D3350" s="559" t="s">
        <v>867</v>
      </c>
      <c r="E3350" s="558" t="s">
        <v>1413</v>
      </c>
      <c r="F3350" s="559">
        <v>502188</v>
      </c>
      <c r="G3350" s="558" t="s">
        <v>1409</v>
      </c>
      <c r="H3350" s="564">
        <v>40015</v>
      </c>
      <c r="I3350" s="563">
        <v>493.35</v>
      </c>
      <c r="J3350" s="563">
        <v>-493.35</v>
      </c>
      <c r="K3350" s="582">
        <f t="shared" si="153"/>
        <v>0</v>
      </c>
      <c r="L3350" s="563">
        <f t="shared" si="154"/>
        <v>0</v>
      </c>
      <c r="M3350" s="563">
        <f t="shared" si="155"/>
        <v>542.68500000000006</v>
      </c>
      <c r="N3350" s="580"/>
    </row>
    <row r="3351" spans="4:14" x14ac:dyDescent="0.25">
      <c r="D3351" s="559" t="s">
        <v>867</v>
      </c>
      <c r="E3351" s="558" t="s">
        <v>1414</v>
      </c>
      <c r="F3351" s="559">
        <v>501154</v>
      </c>
      <c r="G3351" s="558" t="s">
        <v>1415</v>
      </c>
      <c r="H3351" s="564">
        <v>40015</v>
      </c>
      <c r="I3351" s="563">
        <v>298.35000000000002</v>
      </c>
      <c r="J3351" s="563">
        <v>-298.35000000000002</v>
      </c>
      <c r="K3351" s="582">
        <f t="shared" si="153"/>
        <v>0</v>
      </c>
      <c r="L3351" s="563">
        <f t="shared" si="154"/>
        <v>0</v>
      </c>
      <c r="M3351" s="563">
        <f t="shared" si="155"/>
        <v>328.18500000000006</v>
      </c>
      <c r="N3351" s="580"/>
    </row>
    <row r="3352" spans="4:14" x14ac:dyDescent="0.25">
      <c r="D3352" s="559" t="s">
        <v>867</v>
      </c>
      <c r="E3352" s="558" t="s">
        <v>1416</v>
      </c>
      <c r="F3352" s="559">
        <v>500335</v>
      </c>
      <c r="G3352" s="558" t="s">
        <v>1415</v>
      </c>
      <c r="H3352" s="564">
        <v>40015</v>
      </c>
      <c r="I3352" s="563">
        <v>688.35</v>
      </c>
      <c r="J3352" s="563">
        <v>-585</v>
      </c>
      <c r="K3352" s="582">
        <f t="shared" si="153"/>
        <v>103.35000000000002</v>
      </c>
      <c r="L3352" s="563">
        <f t="shared" si="154"/>
        <v>113.68500000000003</v>
      </c>
      <c r="M3352" s="563">
        <f t="shared" si="155"/>
        <v>757.18500000000006</v>
      </c>
      <c r="N3352" s="580"/>
    </row>
    <row r="3353" spans="4:14" x14ac:dyDescent="0.25">
      <c r="D3353" s="559" t="s">
        <v>867</v>
      </c>
      <c r="E3353" s="558" t="s">
        <v>1417</v>
      </c>
      <c r="F3353" s="559">
        <v>501009</v>
      </c>
      <c r="G3353" s="558" t="s">
        <v>1415</v>
      </c>
      <c r="H3353" s="564">
        <v>40015</v>
      </c>
      <c r="I3353" s="563">
        <v>1468.35</v>
      </c>
      <c r="J3353" s="563">
        <v>-585</v>
      </c>
      <c r="K3353" s="582">
        <f t="shared" si="153"/>
        <v>883.34999999999991</v>
      </c>
      <c r="L3353" s="563">
        <f t="shared" si="154"/>
        <v>971.68499999999995</v>
      </c>
      <c r="M3353" s="563">
        <f t="shared" si="155"/>
        <v>1615.1849999999999</v>
      </c>
      <c r="N3353" s="580"/>
    </row>
    <row r="3354" spans="4:14" x14ac:dyDescent="0.25">
      <c r="D3354" s="559" t="s">
        <v>867</v>
      </c>
      <c r="E3354" s="558" t="s">
        <v>1418</v>
      </c>
      <c r="F3354" s="559">
        <v>501159</v>
      </c>
      <c r="G3354" s="558" t="s">
        <v>1415</v>
      </c>
      <c r="H3354" s="564">
        <v>40015</v>
      </c>
      <c r="I3354" s="563">
        <v>727.35</v>
      </c>
      <c r="J3354" s="563">
        <v>-585</v>
      </c>
      <c r="K3354" s="582">
        <f t="shared" si="153"/>
        <v>142.35000000000002</v>
      </c>
      <c r="L3354" s="563">
        <f t="shared" si="154"/>
        <v>156.58500000000004</v>
      </c>
      <c r="M3354" s="563">
        <f t="shared" si="155"/>
        <v>800.08500000000004</v>
      </c>
      <c r="N3354" s="580"/>
    </row>
    <row r="3355" spans="4:14" x14ac:dyDescent="0.25">
      <c r="D3355" s="559" t="s">
        <v>867</v>
      </c>
      <c r="E3355" s="558" t="s">
        <v>1419</v>
      </c>
      <c r="F3355" s="559">
        <v>502284</v>
      </c>
      <c r="G3355" s="558" t="s">
        <v>1415</v>
      </c>
      <c r="H3355" s="564">
        <v>40015</v>
      </c>
      <c r="I3355" s="563">
        <v>493.35</v>
      </c>
      <c r="J3355" s="563">
        <v>-493.35</v>
      </c>
      <c r="K3355" s="582">
        <f t="shared" si="153"/>
        <v>0</v>
      </c>
      <c r="L3355" s="563">
        <f t="shared" si="154"/>
        <v>0</v>
      </c>
      <c r="M3355" s="563">
        <f t="shared" si="155"/>
        <v>542.68500000000006</v>
      </c>
      <c r="N3355" s="580"/>
    </row>
    <row r="3356" spans="4:14" x14ac:dyDescent="0.25">
      <c r="D3356" s="559" t="s">
        <v>867</v>
      </c>
      <c r="E3356" s="558" t="s">
        <v>1420</v>
      </c>
      <c r="F3356" s="559">
        <v>501170</v>
      </c>
      <c r="G3356" s="558" t="s">
        <v>1421</v>
      </c>
      <c r="H3356" s="564">
        <v>40015</v>
      </c>
      <c r="I3356" s="563">
        <v>142.35</v>
      </c>
      <c r="J3356" s="563">
        <v>-142.35</v>
      </c>
      <c r="K3356" s="582">
        <f t="shared" si="153"/>
        <v>0</v>
      </c>
      <c r="L3356" s="563">
        <f t="shared" si="154"/>
        <v>0</v>
      </c>
      <c r="M3356" s="563">
        <f t="shared" si="155"/>
        <v>156.58500000000001</v>
      </c>
      <c r="N3356" s="580"/>
    </row>
    <row r="3357" spans="4:14" x14ac:dyDescent="0.25">
      <c r="D3357" s="559" t="s">
        <v>867</v>
      </c>
      <c r="E3357" s="558" t="s">
        <v>1422</v>
      </c>
      <c r="F3357" s="559">
        <v>500337</v>
      </c>
      <c r="G3357" s="558" t="s">
        <v>1421</v>
      </c>
      <c r="H3357" s="564">
        <v>40015</v>
      </c>
      <c r="I3357" s="563">
        <v>688.35</v>
      </c>
      <c r="J3357" s="563">
        <v>-585</v>
      </c>
      <c r="K3357" s="582">
        <f t="shared" si="153"/>
        <v>103.35000000000002</v>
      </c>
      <c r="L3357" s="563">
        <f t="shared" si="154"/>
        <v>113.68500000000003</v>
      </c>
      <c r="M3357" s="563">
        <f t="shared" si="155"/>
        <v>757.18500000000006</v>
      </c>
      <c r="N3357" s="580"/>
    </row>
    <row r="3358" spans="4:14" x14ac:dyDescent="0.25">
      <c r="D3358" s="559" t="s">
        <v>867</v>
      </c>
      <c r="E3358" s="558" t="s">
        <v>1423</v>
      </c>
      <c r="F3358" s="559">
        <v>501171</v>
      </c>
      <c r="G3358" s="558" t="s">
        <v>1421</v>
      </c>
      <c r="H3358" s="564">
        <v>40015</v>
      </c>
      <c r="I3358" s="563">
        <v>103.35</v>
      </c>
      <c r="J3358" s="563">
        <v>-103.35</v>
      </c>
      <c r="K3358" s="582">
        <f t="shared" si="153"/>
        <v>0</v>
      </c>
      <c r="L3358" s="563">
        <f t="shared" si="154"/>
        <v>0</v>
      </c>
      <c r="M3358" s="563">
        <f t="shared" si="155"/>
        <v>113.685</v>
      </c>
      <c r="N3358" s="580"/>
    </row>
    <row r="3359" spans="4:14" x14ac:dyDescent="0.25">
      <c r="D3359" s="559" t="s">
        <v>867</v>
      </c>
      <c r="E3359" s="558" t="s">
        <v>1424</v>
      </c>
      <c r="F3359" s="559">
        <v>501173</v>
      </c>
      <c r="G3359" s="558" t="s">
        <v>1421</v>
      </c>
      <c r="H3359" s="564">
        <v>40015</v>
      </c>
      <c r="I3359" s="563">
        <v>220.35</v>
      </c>
      <c r="J3359" s="563">
        <v>-220.35</v>
      </c>
      <c r="K3359" s="582">
        <f t="shared" si="153"/>
        <v>0</v>
      </c>
      <c r="L3359" s="563">
        <f t="shared" si="154"/>
        <v>0</v>
      </c>
      <c r="M3359" s="563">
        <f t="shared" si="155"/>
        <v>242.38500000000002</v>
      </c>
      <c r="N3359" s="580"/>
    </row>
    <row r="3360" spans="4:14" x14ac:dyDescent="0.25">
      <c r="D3360" s="559" t="s">
        <v>867</v>
      </c>
      <c r="E3360" s="558" t="s">
        <v>1425</v>
      </c>
      <c r="F3360" s="559">
        <v>500338</v>
      </c>
      <c r="G3360" s="558" t="s">
        <v>1421</v>
      </c>
      <c r="H3360" s="564">
        <v>40015</v>
      </c>
      <c r="I3360" s="563">
        <v>376.35</v>
      </c>
      <c r="J3360" s="563">
        <v>-376.35</v>
      </c>
      <c r="K3360" s="582">
        <f t="shared" si="153"/>
        <v>0</v>
      </c>
      <c r="L3360" s="563">
        <f t="shared" si="154"/>
        <v>0</v>
      </c>
      <c r="M3360" s="563">
        <f t="shared" si="155"/>
        <v>413.98500000000007</v>
      </c>
      <c r="N3360" s="580"/>
    </row>
    <row r="3361" spans="4:14" x14ac:dyDescent="0.25">
      <c r="D3361" s="559" t="s">
        <v>867</v>
      </c>
      <c r="E3361" s="558" t="s">
        <v>1426</v>
      </c>
      <c r="F3361" s="559">
        <v>501177</v>
      </c>
      <c r="G3361" s="558" t="s">
        <v>1427</v>
      </c>
      <c r="H3361" s="564">
        <v>40015</v>
      </c>
      <c r="I3361" s="563">
        <v>142.35</v>
      </c>
      <c r="J3361" s="563">
        <v>-142.35</v>
      </c>
      <c r="K3361" s="582">
        <f t="shared" si="153"/>
        <v>0</v>
      </c>
      <c r="L3361" s="563">
        <f t="shared" si="154"/>
        <v>0</v>
      </c>
      <c r="M3361" s="563">
        <f t="shared" si="155"/>
        <v>156.58500000000001</v>
      </c>
      <c r="N3361" s="580"/>
    </row>
    <row r="3362" spans="4:14" x14ac:dyDescent="0.25">
      <c r="D3362" s="559" t="s">
        <v>867</v>
      </c>
      <c r="E3362" s="558" t="s">
        <v>1428</v>
      </c>
      <c r="F3362" s="559">
        <v>501180</v>
      </c>
      <c r="G3362" s="558" t="s">
        <v>1427</v>
      </c>
      <c r="H3362" s="564">
        <v>40015</v>
      </c>
      <c r="I3362" s="563">
        <v>142.35</v>
      </c>
      <c r="J3362" s="563">
        <v>-142.35</v>
      </c>
      <c r="K3362" s="582">
        <f t="shared" si="153"/>
        <v>0</v>
      </c>
      <c r="L3362" s="563">
        <f t="shared" si="154"/>
        <v>0</v>
      </c>
      <c r="M3362" s="563">
        <f t="shared" si="155"/>
        <v>156.58500000000001</v>
      </c>
      <c r="N3362" s="580"/>
    </row>
    <row r="3363" spans="4:14" x14ac:dyDescent="0.25">
      <c r="D3363" s="559" t="s">
        <v>867</v>
      </c>
      <c r="E3363" s="558" t="s">
        <v>1429</v>
      </c>
      <c r="F3363" s="559">
        <v>501188</v>
      </c>
      <c r="G3363" s="558" t="s">
        <v>1427</v>
      </c>
      <c r="H3363" s="564">
        <v>40015</v>
      </c>
      <c r="I3363" s="563">
        <v>688.35</v>
      </c>
      <c r="J3363" s="563">
        <v>-585</v>
      </c>
      <c r="K3363" s="582">
        <f t="shared" si="153"/>
        <v>103.35000000000002</v>
      </c>
      <c r="L3363" s="563">
        <f t="shared" si="154"/>
        <v>113.68500000000003</v>
      </c>
      <c r="M3363" s="563">
        <f t="shared" si="155"/>
        <v>757.18500000000006</v>
      </c>
      <c r="N3363" s="580"/>
    </row>
    <row r="3364" spans="4:14" x14ac:dyDescent="0.25">
      <c r="D3364" s="559" t="s">
        <v>867</v>
      </c>
      <c r="E3364" s="558" t="s">
        <v>1430</v>
      </c>
      <c r="F3364" s="559">
        <v>500339</v>
      </c>
      <c r="G3364" s="558" t="s">
        <v>1427</v>
      </c>
      <c r="H3364" s="564">
        <v>40015</v>
      </c>
      <c r="I3364" s="563">
        <v>688.35</v>
      </c>
      <c r="J3364" s="563">
        <v>-585</v>
      </c>
      <c r="K3364" s="582">
        <f t="shared" si="153"/>
        <v>103.35000000000002</v>
      </c>
      <c r="L3364" s="563">
        <f t="shared" si="154"/>
        <v>113.68500000000003</v>
      </c>
      <c r="M3364" s="563">
        <f t="shared" si="155"/>
        <v>757.18500000000006</v>
      </c>
      <c r="N3364" s="580"/>
    </row>
    <row r="3365" spans="4:14" x14ac:dyDescent="0.25">
      <c r="D3365" s="559" t="s">
        <v>867</v>
      </c>
      <c r="E3365" s="558" t="s">
        <v>1431</v>
      </c>
      <c r="F3365" s="559">
        <v>500340</v>
      </c>
      <c r="G3365" s="558" t="s">
        <v>1427</v>
      </c>
      <c r="H3365" s="564">
        <v>40015</v>
      </c>
      <c r="I3365" s="563">
        <v>688.35</v>
      </c>
      <c r="J3365" s="563">
        <v>-585</v>
      </c>
      <c r="K3365" s="582">
        <f t="shared" si="153"/>
        <v>103.35000000000002</v>
      </c>
      <c r="L3365" s="563">
        <f t="shared" si="154"/>
        <v>113.68500000000003</v>
      </c>
      <c r="M3365" s="563">
        <f t="shared" si="155"/>
        <v>757.18500000000006</v>
      </c>
      <c r="N3365" s="580"/>
    </row>
    <row r="3366" spans="4:14" x14ac:dyDescent="0.25">
      <c r="D3366" s="559" t="s">
        <v>867</v>
      </c>
      <c r="E3366" s="558" t="s">
        <v>1432</v>
      </c>
      <c r="F3366" s="559">
        <v>501190</v>
      </c>
      <c r="G3366" s="558" t="s">
        <v>1433</v>
      </c>
      <c r="H3366" s="564">
        <v>40015</v>
      </c>
      <c r="I3366" s="563">
        <v>688.35</v>
      </c>
      <c r="J3366" s="563">
        <v>-585</v>
      </c>
      <c r="K3366" s="582">
        <f t="shared" si="153"/>
        <v>103.35000000000002</v>
      </c>
      <c r="L3366" s="563">
        <f t="shared" si="154"/>
        <v>113.68500000000003</v>
      </c>
      <c r="M3366" s="563">
        <f t="shared" si="155"/>
        <v>757.18500000000006</v>
      </c>
      <c r="N3366" s="580"/>
    </row>
    <row r="3367" spans="4:14" x14ac:dyDescent="0.25">
      <c r="D3367" s="559" t="s">
        <v>867</v>
      </c>
      <c r="E3367" s="558" t="s">
        <v>1434</v>
      </c>
      <c r="F3367" s="559">
        <v>501194</v>
      </c>
      <c r="G3367" s="558" t="s">
        <v>1433</v>
      </c>
      <c r="H3367" s="564">
        <v>40015</v>
      </c>
      <c r="I3367" s="563">
        <v>142.35</v>
      </c>
      <c r="J3367" s="563">
        <v>-142.35</v>
      </c>
      <c r="K3367" s="582">
        <f t="shared" si="153"/>
        <v>0</v>
      </c>
      <c r="L3367" s="563">
        <f t="shared" si="154"/>
        <v>0</v>
      </c>
      <c r="M3367" s="563">
        <f t="shared" si="155"/>
        <v>156.58500000000001</v>
      </c>
      <c r="N3367" s="580"/>
    </row>
    <row r="3368" spans="4:14" x14ac:dyDescent="0.25">
      <c r="D3368" s="559" t="s">
        <v>867</v>
      </c>
      <c r="E3368" s="558" t="s">
        <v>1435</v>
      </c>
      <c r="F3368" s="559">
        <v>501195</v>
      </c>
      <c r="G3368" s="558" t="s">
        <v>1433</v>
      </c>
      <c r="H3368" s="564">
        <v>40015</v>
      </c>
      <c r="I3368" s="563">
        <v>142.35</v>
      </c>
      <c r="J3368" s="563">
        <v>-142.35</v>
      </c>
      <c r="K3368" s="582">
        <f t="shared" si="153"/>
        <v>0</v>
      </c>
      <c r="L3368" s="563">
        <f t="shared" si="154"/>
        <v>0</v>
      </c>
      <c r="M3368" s="563">
        <f t="shared" si="155"/>
        <v>156.58500000000001</v>
      </c>
      <c r="N3368" s="580"/>
    </row>
    <row r="3369" spans="4:14" x14ac:dyDescent="0.25">
      <c r="D3369" s="559" t="s">
        <v>867</v>
      </c>
      <c r="E3369" s="558" t="s">
        <v>1436</v>
      </c>
      <c r="F3369" s="559">
        <v>502279</v>
      </c>
      <c r="G3369" s="558" t="s">
        <v>1433</v>
      </c>
      <c r="H3369" s="564">
        <v>40015</v>
      </c>
      <c r="I3369" s="563">
        <v>142.35</v>
      </c>
      <c r="J3369" s="563">
        <v>-142.35</v>
      </c>
      <c r="K3369" s="582">
        <f t="shared" ref="K3369:K3432" si="156">+I3369+J3369</f>
        <v>0</v>
      </c>
      <c r="L3369" s="563">
        <f t="shared" ref="L3369:L3432" si="157">+K3369*1.1</f>
        <v>0</v>
      </c>
      <c r="M3369" s="563">
        <f t="shared" ref="M3369:M3432" si="158">+I3369*1.1</f>
        <v>156.58500000000001</v>
      </c>
      <c r="N3369" s="580"/>
    </row>
    <row r="3370" spans="4:14" x14ac:dyDescent="0.25">
      <c r="D3370" s="559" t="s">
        <v>867</v>
      </c>
      <c r="E3370" s="558" t="s">
        <v>1437</v>
      </c>
      <c r="F3370" s="559">
        <v>501199</v>
      </c>
      <c r="G3370" s="558" t="s">
        <v>1433</v>
      </c>
      <c r="H3370" s="564">
        <v>40015</v>
      </c>
      <c r="I3370" s="563">
        <v>181.35</v>
      </c>
      <c r="J3370" s="563">
        <v>-181.35</v>
      </c>
      <c r="K3370" s="582">
        <f t="shared" si="156"/>
        <v>0</v>
      </c>
      <c r="L3370" s="563">
        <f t="shared" si="157"/>
        <v>0</v>
      </c>
      <c r="M3370" s="563">
        <f t="shared" si="158"/>
        <v>199.48500000000001</v>
      </c>
      <c r="N3370" s="580"/>
    </row>
    <row r="3371" spans="4:14" x14ac:dyDescent="0.25">
      <c r="D3371" s="559" t="s">
        <v>867</v>
      </c>
      <c r="E3371" s="558" t="s">
        <v>1438</v>
      </c>
      <c r="F3371" s="559">
        <v>500341</v>
      </c>
      <c r="G3371" s="558" t="s">
        <v>1439</v>
      </c>
      <c r="H3371" s="564">
        <v>40015</v>
      </c>
      <c r="I3371" s="563">
        <v>727.35</v>
      </c>
      <c r="J3371" s="563">
        <v>-585</v>
      </c>
      <c r="K3371" s="582">
        <f t="shared" si="156"/>
        <v>142.35000000000002</v>
      </c>
      <c r="L3371" s="563">
        <f t="shared" si="157"/>
        <v>156.58500000000004</v>
      </c>
      <c r="M3371" s="563">
        <f t="shared" si="158"/>
        <v>800.08500000000004</v>
      </c>
      <c r="N3371" s="580"/>
    </row>
    <row r="3372" spans="4:14" x14ac:dyDescent="0.25">
      <c r="D3372" s="559" t="s">
        <v>867</v>
      </c>
      <c r="E3372" s="558" t="s">
        <v>1440</v>
      </c>
      <c r="F3372" s="559">
        <v>501200</v>
      </c>
      <c r="G3372" s="558" t="s">
        <v>1439</v>
      </c>
      <c r="H3372" s="564">
        <v>40015</v>
      </c>
      <c r="I3372" s="563">
        <v>220.35</v>
      </c>
      <c r="J3372" s="563">
        <v>-220.35</v>
      </c>
      <c r="K3372" s="582">
        <f t="shared" si="156"/>
        <v>0</v>
      </c>
      <c r="L3372" s="563">
        <f t="shared" si="157"/>
        <v>0</v>
      </c>
      <c r="M3372" s="563">
        <f t="shared" si="158"/>
        <v>242.38500000000002</v>
      </c>
      <c r="N3372" s="580"/>
    </row>
    <row r="3373" spans="4:14" x14ac:dyDescent="0.25">
      <c r="D3373" s="559" t="s">
        <v>867</v>
      </c>
      <c r="E3373" s="558" t="s">
        <v>1441</v>
      </c>
      <c r="F3373" s="559">
        <v>501202</v>
      </c>
      <c r="G3373" s="558" t="s">
        <v>1439</v>
      </c>
      <c r="H3373" s="564">
        <v>40015</v>
      </c>
      <c r="I3373" s="563">
        <v>376.35</v>
      </c>
      <c r="J3373" s="563">
        <v>-376.35</v>
      </c>
      <c r="K3373" s="582">
        <f t="shared" si="156"/>
        <v>0</v>
      </c>
      <c r="L3373" s="563">
        <f t="shared" si="157"/>
        <v>0</v>
      </c>
      <c r="M3373" s="563">
        <f t="shared" si="158"/>
        <v>413.98500000000007</v>
      </c>
      <c r="N3373" s="580"/>
    </row>
    <row r="3374" spans="4:14" x14ac:dyDescent="0.25">
      <c r="D3374" s="559" t="s">
        <v>867</v>
      </c>
      <c r="E3374" s="558" t="s">
        <v>1442</v>
      </c>
      <c r="F3374" s="559">
        <v>501203</v>
      </c>
      <c r="G3374" s="558" t="s">
        <v>1439</v>
      </c>
      <c r="H3374" s="564">
        <v>40015</v>
      </c>
      <c r="I3374" s="563">
        <v>454.35</v>
      </c>
      <c r="J3374" s="563">
        <v>-454.35</v>
      </c>
      <c r="K3374" s="582">
        <f t="shared" si="156"/>
        <v>0</v>
      </c>
      <c r="L3374" s="563">
        <f t="shared" si="157"/>
        <v>0</v>
      </c>
      <c r="M3374" s="563">
        <f t="shared" si="158"/>
        <v>499.78500000000008</v>
      </c>
      <c r="N3374" s="580"/>
    </row>
    <row r="3375" spans="4:14" x14ac:dyDescent="0.25">
      <c r="D3375" s="559" t="s">
        <v>867</v>
      </c>
      <c r="E3375" s="558" t="s">
        <v>1443</v>
      </c>
      <c r="F3375" s="559">
        <v>502280</v>
      </c>
      <c r="G3375" s="558" t="s">
        <v>1439</v>
      </c>
      <c r="H3375" s="564">
        <v>40015</v>
      </c>
      <c r="I3375" s="563">
        <v>142.35</v>
      </c>
      <c r="J3375" s="563">
        <v>-142.35</v>
      </c>
      <c r="K3375" s="582">
        <f t="shared" si="156"/>
        <v>0</v>
      </c>
      <c r="L3375" s="563">
        <f t="shared" si="157"/>
        <v>0</v>
      </c>
      <c r="M3375" s="563">
        <f t="shared" si="158"/>
        <v>156.58500000000001</v>
      </c>
      <c r="N3375" s="580"/>
    </row>
    <row r="3376" spans="4:14" x14ac:dyDescent="0.25">
      <c r="D3376" s="559" t="s">
        <v>867</v>
      </c>
      <c r="E3376" s="558" t="s">
        <v>1444</v>
      </c>
      <c r="F3376" s="559">
        <v>501211</v>
      </c>
      <c r="G3376" s="558" t="s">
        <v>1445</v>
      </c>
      <c r="H3376" s="564">
        <v>40015</v>
      </c>
      <c r="I3376" s="563">
        <v>142.35</v>
      </c>
      <c r="J3376" s="563">
        <v>-142.35</v>
      </c>
      <c r="K3376" s="582">
        <f t="shared" si="156"/>
        <v>0</v>
      </c>
      <c r="L3376" s="563">
        <f t="shared" si="157"/>
        <v>0</v>
      </c>
      <c r="M3376" s="563">
        <f t="shared" si="158"/>
        <v>156.58500000000001</v>
      </c>
      <c r="N3376" s="580"/>
    </row>
    <row r="3377" spans="4:14" x14ac:dyDescent="0.25">
      <c r="D3377" s="559" t="s">
        <v>867</v>
      </c>
      <c r="E3377" s="558" t="s">
        <v>1446</v>
      </c>
      <c r="F3377" s="559">
        <v>501214</v>
      </c>
      <c r="G3377" s="558" t="s">
        <v>1445</v>
      </c>
      <c r="H3377" s="564">
        <v>40015</v>
      </c>
      <c r="I3377" s="563">
        <v>142.35</v>
      </c>
      <c r="J3377" s="563">
        <v>-142.35</v>
      </c>
      <c r="K3377" s="582">
        <f t="shared" si="156"/>
        <v>0</v>
      </c>
      <c r="L3377" s="563">
        <f t="shared" si="157"/>
        <v>0</v>
      </c>
      <c r="M3377" s="563">
        <f t="shared" si="158"/>
        <v>156.58500000000001</v>
      </c>
      <c r="N3377" s="580"/>
    </row>
    <row r="3378" spans="4:14" x14ac:dyDescent="0.25">
      <c r="D3378" s="559" t="s">
        <v>867</v>
      </c>
      <c r="E3378" s="558" t="s">
        <v>1447</v>
      </c>
      <c r="F3378" s="559">
        <v>501218</v>
      </c>
      <c r="G3378" s="558" t="s">
        <v>1445</v>
      </c>
      <c r="H3378" s="564">
        <v>40015</v>
      </c>
      <c r="I3378" s="563">
        <v>688.35</v>
      </c>
      <c r="J3378" s="563">
        <v>-585</v>
      </c>
      <c r="K3378" s="582">
        <f t="shared" si="156"/>
        <v>103.35000000000002</v>
      </c>
      <c r="L3378" s="563">
        <f t="shared" si="157"/>
        <v>113.68500000000003</v>
      </c>
      <c r="M3378" s="563">
        <f t="shared" si="158"/>
        <v>757.18500000000006</v>
      </c>
      <c r="N3378" s="580"/>
    </row>
    <row r="3379" spans="4:14" x14ac:dyDescent="0.25">
      <c r="D3379" s="559" t="s">
        <v>867</v>
      </c>
      <c r="E3379" s="558" t="s">
        <v>1448</v>
      </c>
      <c r="F3379" s="559">
        <v>501219</v>
      </c>
      <c r="G3379" s="558" t="s">
        <v>1445</v>
      </c>
      <c r="H3379" s="564">
        <v>40015</v>
      </c>
      <c r="I3379" s="563">
        <v>688.35</v>
      </c>
      <c r="J3379" s="563">
        <v>-585</v>
      </c>
      <c r="K3379" s="582">
        <f t="shared" si="156"/>
        <v>103.35000000000002</v>
      </c>
      <c r="L3379" s="563">
        <f t="shared" si="157"/>
        <v>113.68500000000003</v>
      </c>
      <c r="M3379" s="563">
        <f t="shared" si="158"/>
        <v>757.18500000000006</v>
      </c>
      <c r="N3379" s="580"/>
    </row>
    <row r="3380" spans="4:14" x14ac:dyDescent="0.25">
      <c r="D3380" s="559" t="s">
        <v>867</v>
      </c>
      <c r="E3380" s="558" t="s">
        <v>1449</v>
      </c>
      <c r="F3380" s="559">
        <v>501220</v>
      </c>
      <c r="G3380" s="558" t="s">
        <v>1445</v>
      </c>
      <c r="H3380" s="564">
        <v>40015</v>
      </c>
      <c r="I3380" s="563">
        <v>103.35</v>
      </c>
      <c r="J3380" s="563">
        <v>-103.35</v>
      </c>
      <c r="K3380" s="582">
        <f t="shared" si="156"/>
        <v>0</v>
      </c>
      <c r="L3380" s="563">
        <f t="shared" si="157"/>
        <v>0</v>
      </c>
      <c r="M3380" s="563">
        <f t="shared" si="158"/>
        <v>113.685</v>
      </c>
      <c r="N3380" s="580"/>
    </row>
    <row r="3381" spans="4:14" x14ac:dyDescent="0.25">
      <c r="D3381" s="559" t="s">
        <v>867</v>
      </c>
      <c r="E3381" s="558" t="s">
        <v>1450</v>
      </c>
      <c r="F3381" s="559">
        <v>501221</v>
      </c>
      <c r="G3381" s="558" t="s">
        <v>960</v>
      </c>
      <c r="H3381" s="564">
        <v>40015</v>
      </c>
      <c r="I3381" s="563">
        <v>181.35</v>
      </c>
      <c r="J3381" s="563">
        <v>-181.35</v>
      </c>
      <c r="K3381" s="582">
        <f t="shared" si="156"/>
        <v>0</v>
      </c>
      <c r="L3381" s="563">
        <f t="shared" si="157"/>
        <v>0</v>
      </c>
      <c r="M3381" s="563">
        <f t="shared" si="158"/>
        <v>199.48500000000001</v>
      </c>
      <c r="N3381" s="580"/>
    </row>
    <row r="3382" spans="4:14" x14ac:dyDescent="0.25">
      <c r="D3382" s="559" t="s">
        <v>867</v>
      </c>
      <c r="E3382" s="558" t="s">
        <v>1451</v>
      </c>
      <c r="F3382" s="559">
        <v>500343</v>
      </c>
      <c r="G3382" s="558" t="s">
        <v>960</v>
      </c>
      <c r="H3382" s="564">
        <v>40015</v>
      </c>
      <c r="I3382" s="563">
        <v>688.35</v>
      </c>
      <c r="J3382" s="563">
        <v>-585</v>
      </c>
      <c r="K3382" s="582">
        <f t="shared" si="156"/>
        <v>103.35000000000002</v>
      </c>
      <c r="L3382" s="563">
        <f t="shared" si="157"/>
        <v>113.68500000000003</v>
      </c>
      <c r="M3382" s="563">
        <f t="shared" si="158"/>
        <v>757.18500000000006</v>
      </c>
      <c r="N3382" s="580"/>
    </row>
    <row r="3383" spans="4:14" x14ac:dyDescent="0.25">
      <c r="D3383" s="559" t="s">
        <v>867</v>
      </c>
      <c r="E3383" s="558" t="s">
        <v>1452</v>
      </c>
      <c r="F3383" s="559">
        <v>501225</v>
      </c>
      <c r="G3383" s="558" t="s">
        <v>960</v>
      </c>
      <c r="H3383" s="564">
        <v>40015</v>
      </c>
      <c r="I3383" s="563">
        <v>64.349999999999994</v>
      </c>
      <c r="J3383" s="563">
        <v>-64.349999999999994</v>
      </c>
      <c r="K3383" s="582">
        <f t="shared" si="156"/>
        <v>0</v>
      </c>
      <c r="L3383" s="563">
        <f t="shared" si="157"/>
        <v>0</v>
      </c>
      <c r="M3383" s="563">
        <f t="shared" si="158"/>
        <v>70.784999999999997</v>
      </c>
      <c r="N3383" s="580"/>
    </row>
    <row r="3384" spans="4:14" x14ac:dyDescent="0.25">
      <c r="D3384" s="559" t="s">
        <v>867</v>
      </c>
      <c r="E3384" s="558" t="s">
        <v>1453</v>
      </c>
      <c r="F3384" s="559">
        <v>501229</v>
      </c>
      <c r="G3384" s="558" t="s">
        <v>960</v>
      </c>
      <c r="H3384" s="564">
        <v>40015</v>
      </c>
      <c r="I3384" s="563">
        <v>64.349999999999994</v>
      </c>
      <c r="J3384" s="563">
        <v>-64.349999999999994</v>
      </c>
      <c r="K3384" s="582">
        <f t="shared" si="156"/>
        <v>0</v>
      </c>
      <c r="L3384" s="563">
        <f t="shared" si="157"/>
        <v>0</v>
      </c>
      <c r="M3384" s="563">
        <f t="shared" si="158"/>
        <v>70.784999999999997</v>
      </c>
      <c r="N3384" s="580"/>
    </row>
    <row r="3385" spans="4:14" x14ac:dyDescent="0.25">
      <c r="D3385" s="559" t="s">
        <v>867</v>
      </c>
      <c r="E3385" s="558" t="s">
        <v>1454</v>
      </c>
      <c r="F3385" s="559">
        <v>501235</v>
      </c>
      <c r="G3385" s="558" t="s">
        <v>960</v>
      </c>
      <c r="H3385" s="564">
        <v>40015</v>
      </c>
      <c r="I3385" s="563">
        <v>142.35</v>
      </c>
      <c r="J3385" s="563">
        <v>-142.35</v>
      </c>
      <c r="K3385" s="582">
        <f t="shared" si="156"/>
        <v>0</v>
      </c>
      <c r="L3385" s="563">
        <f t="shared" si="157"/>
        <v>0</v>
      </c>
      <c r="M3385" s="563">
        <f t="shared" si="158"/>
        <v>156.58500000000001</v>
      </c>
      <c r="N3385" s="580"/>
    </row>
    <row r="3386" spans="4:14" x14ac:dyDescent="0.25">
      <c r="D3386" s="559" t="s">
        <v>867</v>
      </c>
      <c r="E3386" s="558" t="s">
        <v>1455</v>
      </c>
      <c r="F3386" s="559">
        <v>501237</v>
      </c>
      <c r="G3386" s="558" t="s">
        <v>1456</v>
      </c>
      <c r="H3386" s="564">
        <v>40015</v>
      </c>
      <c r="I3386" s="563">
        <v>142.35</v>
      </c>
      <c r="J3386" s="563">
        <v>-142.35</v>
      </c>
      <c r="K3386" s="582">
        <f t="shared" si="156"/>
        <v>0</v>
      </c>
      <c r="L3386" s="563">
        <f t="shared" si="157"/>
        <v>0</v>
      </c>
      <c r="M3386" s="563">
        <f t="shared" si="158"/>
        <v>156.58500000000001</v>
      </c>
      <c r="N3386" s="580"/>
    </row>
    <row r="3387" spans="4:14" x14ac:dyDescent="0.25">
      <c r="D3387" s="559" t="s">
        <v>867</v>
      </c>
      <c r="E3387" s="558" t="s">
        <v>1457</v>
      </c>
      <c r="F3387" s="559">
        <v>501239</v>
      </c>
      <c r="G3387" s="558" t="s">
        <v>1456</v>
      </c>
      <c r="H3387" s="564">
        <v>40015</v>
      </c>
      <c r="I3387" s="563">
        <v>688.35</v>
      </c>
      <c r="J3387" s="563">
        <v>-585</v>
      </c>
      <c r="K3387" s="582">
        <f t="shared" si="156"/>
        <v>103.35000000000002</v>
      </c>
      <c r="L3387" s="563">
        <f t="shared" si="157"/>
        <v>113.68500000000003</v>
      </c>
      <c r="M3387" s="563">
        <f t="shared" si="158"/>
        <v>757.18500000000006</v>
      </c>
      <c r="N3387" s="580"/>
    </row>
    <row r="3388" spans="4:14" x14ac:dyDescent="0.25">
      <c r="D3388" s="559" t="s">
        <v>867</v>
      </c>
      <c r="E3388" s="558" t="s">
        <v>1458</v>
      </c>
      <c r="F3388" s="559">
        <v>501246</v>
      </c>
      <c r="G3388" s="558" t="s">
        <v>1456</v>
      </c>
      <c r="H3388" s="564">
        <v>40015</v>
      </c>
      <c r="I3388" s="563">
        <v>766.35</v>
      </c>
      <c r="J3388" s="563">
        <v>-585</v>
      </c>
      <c r="K3388" s="582">
        <f t="shared" si="156"/>
        <v>181.35000000000002</v>
      </c>
      <c r="L3388" s="563">
        <f t="shared" si="157"/>
        <v>199.48500000000004</v>
      </c>
      <c r="M3388" s="563">
        <f t="shared" si="158"/>
        <v>842.98500000000013</v>
      </c>
      <c r="N3388" s="580"/>
    </row>
    <row r="3389" spans="4:14" x14ac:dyDescent="0.25">
      <c r="D3389" s="559" t="s">
        <v>867</v>
      </c>
      <c r="E3389" s="558" t="s">
        <v>1459</v>
      </c>
      <c r="F3389" s="559">
        <v>500344</v>
      </c>
      <c r="G3389" s="558" t="s">
        <v>1456</v>
      </c>
      <c r="H3389" s="564">
        <v>40015</v>
      </c>
      <c r="I3389" s="563">
        <v>688.35</v>
      </c>
      <c r="J3389" s="563">
        <v>-585</v>
      </c>
      <c r="K3389" s="582">
        <f t="shared" si="156"/>
        <v>103.35000000000002</v>
      </c>
      <c r="L3389" s="563">
        <f t="shared" si="157"/>
        <v>113.68500000000003</v>
      </c>
      <c r="M3389" s="563">
        <f t="shared" si="158"/>
        <v>757.18500000000006</v>
      </c>
      <c r="N3389" s="580"/>
    </row>
    <row r="3390" spans="4:14" x14ac:dyDescent="0.25">
      <c r="D3390" s="559" t="s">
        <v>867</v>
      </c>
      <c r="E3390" s="558" t="s">
        <v>1460</v>
      </c>
      <c r="F3390" s="559">
        <v>501248</v>
      </c>
      <c r="G3390" s="558" t="s">
        <v>1456</v>
      </c>
      <c r="H3390" s="564">
        <v>40015</v>
      </c>
      <c r="I3390" s="563">
        <v>298.35000000000002</v>
      </c>
      <c r="J3390" s="563">
        <v>-298.35000000000002</v>
      </c>
      <c r="K3390" s="582">
        <f t="shared" si="156"/>
        <v>0</v>
      </c>
      <c r="L3390" s="563">
        <f t="shared" si="157"/>
        <v>0</v>
      </c>
      <c r="M3390" s="563">
        <f t="shared" si="158"/>
        <v>328.18500000000006</v>
      </c>
      <c r="N3390" s="580"/>
    </row>
    <row r="3391" spans="4:14" x14ac:dyDescent="0.25">
      <c r="D3391" s="559" t="s">
        <v>867</v>
      </c>
      <c r="E3391" s="558" t="s">
        <v>2550</v>
      </c>
      <c r="F3391" s="559">
        <v>501249</v>
      </c>
      <c r="G3391" s="558" t="s">
        <v>2551</v>
      </c>
      <c r="H3391" s="564">
        <v>40015</v>
      </c>
      <c r="I3391" s="563">
        <v>805.35</v>
      </c>
      <c r="J3391" s="563">
        <v>-585</v>
      </c>
      <c r="K3391" s="582">
        <f t="shared" si="156"/>
        <v>220.35000000000002</v>
      </c>
      <c r="L3391" s="563">
        <f t="shared" si="157"/>
        <v>242.38500000000005</v>
      </c>
      <c r="M3391" s="563">
        <f t="shared" si="158"/>
        <v>885.8850000000001</v>
      </c>
      <c r="N3391" s="580"/>
    </row>
    <row r="3392" spans="4:14" x14ac:dyDescent="0.25">
      <c r="D3392" s="559" t="s">
        <v>867</v>
      </c>
      <c r="E3392" s="558" t="s">
        <v>2552</v>
      </c>
      <c r="F3392" s="559">
        <v>501250</v>
      </c>
      <c r="G3392" s="558" t="s">
        <v>2551</v>
      </c>
      <c r="H3392" s="564">
        <v>40015</v>
      </c>
      <c r="I3392" s="563">
        <v>727.35</v>
      </c>
      <c r="J3392" s="563">
        <v>-585</v>
      </c>
      <c r="K3392" s="582">
        <f t="shared" si="156"/>
        <v>142.35000000000002</v>
      </c>
      <c r="L3392" s="563">
        <f t="shared" si="157"/>
        <v>156.58500000000004</v>
      </c>
      <c r="M3392" s="563">
        <f t="shared" si="158"/>
        <v>800.08500000000004</v>
      </c>
      <c r="N3392" s="580"/>
    </row>
    <row r="3393" spans="4:14" x14ac:dyDescent="0.25">
      <c r="D3393" s="559" t="s">
        <v>867</v>
      </c>
      <c r="E3393" s="558" t="s">
        <v>2553</v>
      </c>
      <c r="F3393" s="559">
        <v>501251</v>
      </c>
      <c r="G3393" s="558" t="s">
        <v>2551</v>
      </c>
      <c r="H3393" s="564">
        <v>40015</v>
      </c>
      <c r="I3393" s="563">
        <v>181.35</v>
      </c>
      <c r="J3393" s="563">
        <v>-181.35</v>
      </c>
      <c r="K3393" s="582">
        <f t="shared" si="156"/>
        <v>0</v>
      </c>
      <c r="L3393" s="563">
        <f t="shared" si="157"/>
        <v>0</v>
      </c>
      <c r="M3393" s="563">
        <f t="shared" si="158"/>
        <v>199.48500000000001</v>
      </c>
      <c r="N3393" s="580"/>
    </row>
    <row r="3394" spans="4:14" x14ac:dyDescent="0.25">
      <c r="D3394" s="559" t="s">
        <v>867</v>
      </c>
      <c r="E3394" s="558" t="s">
        <v>2554</v>
      </c>
      <c r="F3394" s="559">
        <v>500345</v>
      </c>
      <c r="G3394" s="558" t="s">
        <v>2551</v>
      </c>
      <c r="H3394" s="564">
        <v>40015</v>
      </c>
      <c r="I3394" s="563">
        <v>688.35</v>
      </c>
      <c r="J3394" s="563">
        <v>-585</v>
      </c>
      <c r="K3394" s="582">
        <f t="shared" si="156"/>
        <v>103.35000000000002</v>
      </c>
      <c r="L3394" s="563">
        <f t="shared" si="157"/>
        <v>113.68500000000003</v>
      </c>
      <c r="M3394" s="563">
        <f t="shared" si="158"/>
        <v>757.18500000000006</v>
      </c>
      <c r="N3394" s="580"/>
    </row>
    <row r="3395" spans="4:14" x14ac:dyDescent="0.25">
      <c r="D3395" s="559" t="s">
        <v>867</v>
      </c>
      <c r="E3395" s="558" t="s">
        <v>2555</v>
      </c>
      <c r="F3395" s="559">
        <v>501263</v>
      </c>
      <c r="G3395" s="558" t="s">
        <v>2551</v>
      </c>
      <c r="H3395" s="564">
        <v>40015</v>
      </c>
      <c r="I3395" s="563">
        <v>142.35</v>
      </c>
      <c r="J3395" s="563">
        <v>-142.35</v>
      </c>
      <c r="K3395" s="582">
        <f t="shared" si="156"/>
        <v>0</v>
      </c>
      <c r="L3395" s="563">
        <f t="shared" si="157"/>
        <v>0</v>
      </c>
      <c r="M3395" s="563">
        <f t="shared" si="158"/>
        <v>156.58500000000001</v>
      </c>
      <c r="N3395" s="580"/>
    </row>
    <row r="3396" spans="4:14" x14ac:dyDescent="0.25">
      <c r="D3396" s="559" t="s">
        <v>867</v>
      </c>
      <c r="E3396" s="558" t="s">
        <v>2556</v>
      </c>
      <c r="F3396" s="559">
        <v>501264</v>
      </c>
      <c r="G3396" s="558" t="s">
        <v>2557</v>
      </c>
      <c r="H3396" s="564">
        <v>40015</v>
      </c>
      <c r="I3396" s="563">
        <v>688.35</v>
      </c>
      <c r="J3396" s="563">
        <v>-585</v>
      </c>
      <c r="K3396" s="582">
        <f t="shared" si="156"/>
        <v>103.35000000000002</v>
      </c>
      <c r="L3396" s="563">
        <f t="shared" si="157"/>
        <v>113.68500000000003</v>
      </c>
      <c r="M3396" s="563">
        <f t="shared" si="158"/>
        <v>757.18500000000006</v>
      </c>
      <c r="N3396" s="580"/>
    </row>
    <row r="3397" spans="4:14" x14ac:dyDescent="0.25">
      <c r="D3397" s="559" t="s">
        <v>867</v>
      </c>
      <c r="E3397" s="558" t="s">
        <v>2558</v>
      </c>
      <c r="F3397" s="559">
        <v>501267</v>
      </c>
      <c r="G3397" s="558" t="s">
        <v>2557</v>
      </c>
      <c r="H3397" s="564">
        <v>40015</v>
      </c>
      <c r="I3397" s="563">
        <v>142.35</v>
      </c>
      <c r="J3397" s="563">
        <v>-142.35</v>
      </c>
      <c r="K3397" s="582">
        <f t="shared" si="156"/>
        <v>0</v>
      </c>
      <c r="L3397" s="563">
        <f t="shared" si="157"/>
        <v>0</v>
      </c>
      <c r="M3397" s="563">
        <f t="shared" si="158"/>
        <v>156.58500000000001</v>
      </c>
      <c r="N3397" s="580"/>
    </row>
    <row r="3398" spans="4:14" x14ac:dyDescent="0.25">
      <c r="D3398" s="559" t="s">
        <v>867</v>
      </c>
      <c r="E3398" s="558" t="s">
        <v>2559</v>
      </c>
      <c r="F3398" s="559">
        <v>500346</v>
      </c>
      <c r="G3398" s="558" t="s">
        <v>2557</v>
      </c>
      <c r="H3398" s="564">
        <v>40015</v>
      </c>
      <c r="I3398" s="563">
        <v>64.349999999999994</v>
      </c>
      <c r="J3398" s="563">
        <v>-64.349999999999994</v>
      </c>
      <c r="K3398" s="582">
        <f t="shared" si="156"/>
        <v>0</v>
      </c>
      <c r="L3398" s="563">
        <f t="shared" si="157"/>
        <v>0</v>
      </c>
      <c r="M3398" s="563">
        <f t="shared" si="158"/>
        <v>70.784999999999997</v>
      </c>
      <c r="N3398" s="580"/>
    </row>
    <row r="3399" spans="4:14" x14ac:dyDescent="0.25">
      <c r="D3399" s="559" t="s">
        <v>867</v>
      </c>
      <c r="E3399" s="558" t="s">
        <v>2560</v>
      </c>
      <c r="F3399" s="559">
        <v>500347</v>
      </c>
      <c r="G3399" s="558" t="s">
        <v>2557</v>
      </c>
      <c r="H3399" s="564">
        <v>40015</v>
      </c>
      <c r="I3399" s="563">
        <v>688.35</v>
      </c>
      <c r="J3399" s="563">
        <v>-585</v>
      </c>
      <c r="K3399" s="582">
        <f t="shared" si="156"/>
        <v>103.35000000000002</v>
      </c>
      <c r="L3399" s="563">
        <f t="shared" si="157"/>
        <v>113.68500000000003</v>
      </c>
      <c r="M3399" s="563">
        <f t="shared" si="158"/>
        <v>757.18500000000006</v>
      </c>
      <c r="N3399" s="580"/>
    </row>
    <row r="3400" spans="4:14" x14ac:dyDescent="0.25">
      <c r="D3400" s="559" t="s">
        <v>867</v>
      </c>
      <c r="E3400" s="558" t="s">
        <v>2561</v>
      </c>
      <c r="F3400" s="559">
        <v>500348</v>
      </c>
      <c r="G3400" s="558" t="s">
        <v>2557</v>
      </c>
      <c r="H3400" s="564">
        <v>40015</v>
      </c>
      <c r="I3400" s="563">
        <v>688.35</v>
      </c>
      <c r="J3400" s="563">
        <v>-585</v>
      </c>
      <c r="K3400" s="582">
        <f t="shared" si="156"/>
        <v>103.35000000000002</v>
      </c>
      <c r="L3400" s="563">
        <f t="shared" si="157"/>
        <v>113.68500000000003</v>
      </c>
      <c r="M3400" s="563">
        <f t="shared" si="158"/>
        <v>757.18500000000006</v>
      </c>
      <c r="N3400" s="580"/>
    </row>
    <row r="3401" spans="4:14" x14ac:dyDescent="0.25">
      <c r="D3401" s="559" t="s">
        <v>867</v>
      </c>
      <c r="E3401" s="558" t="s">
        <v>2562</v>
      </c>
      <c r="F3401" s="559">
        <v>501278</v>
      </c>
      <c r="G3401" s="558" t="s">
        <v>2563</v>
      </c>
      <c r="H3401" s="564">
        <v>40015</v>
      </c>
      <c r="I3401" s="563">
        <v>64.349999999999994</v>
      </c>
      <c r="J3401" s="563">
        <v>-64.349999999999994</v>
      </c>
      <c r="K3401" s="582">
        <f t="shared" si="156"/>
        <v>0</v>
      </c>
      <c r="L3401" s="563">
        <f t="shared" si="157"/>
        <v>0</v>
      </c>
      <c r="M3401" s="563">
        <f t="shared" si="158"/>
        <v>70.784999999999997</v>
      </c>
      <c r="N3401" s="580"/>
    </row>
    <row r="3402" spans="4:14" x14ac:dyDescent="0.25">
      <c r="D3402" s="559" t="s">
        <v>867</v>
      </c>
      <c r="E3402" s="558" t="s">
        <v>2564</v>
      </c>
      <c r="F3402" s="559">
        <v>501282</v>
      </c>
      <c r="G3402" s="558" t="s">
        <v>2563</v>
      </c>
      <c r="H3402" s="564">
        <v>40015</v>
      </c>
      <c r="I3402" s="563">
        <v>454.35</v>
      </c>
      <c r="J3402" s="563">
        <v>-454.35</v>
      </c>
      <c r="K3402" s="582">
        <f t="shared" si="156"/>
        <v>0</v>
      </c>
      <c r="L3402" s="563">
        <f t="shared" si="157"/>
        <v>0</v>
      </c>
      <c r="M3402" s="563">
        <f t="shared" si="158"/>
        <v>499.78500000000008</v>
      </c>
      <c r="N3402" s="580"/>
    </row>
    <row r="3403" spans="4:14" x14ac:dyDescent="0.25">
      <c r="D3403" s="559" t="s">
        <v>867</v>
      </c>
      <c r="E3403" s="558" t="s">
        <v>2565</v>
      </c>
      <c r="F3403" s="559">
        <v>501287</v>
      </c>
      <c r="G3403" s="558" t="s">
        <v>2563</v>
      </c>
      <c r="H3403" s="564">
        <v>40015</v>
      </c>
      <c r="I3403" s="563">
        <v>142.35</v>
      </c>
      <c r="J3403" s="563">
        <v>-142.35</v>
      </c>
      <c r="K3403" s="582">
        <f t="shared" si="156"/>
        <v>0</v>
      </c>
      <c r="L3403" s="563">
        <f t="shared" si="157"/>
        <v>0</v>
      </c>
      <c r="M3403" s="563">
        <f t="shared" si="158"/>
        <v>156.58500000000001</v>
      </c>
      <c r="N3403" s="580"/>
    </row>
    <row r="3404" spans="4:14" x14ac:dyDescent="0.25">
      <c r="D3404" s="559" t="s">
        <v>867</v>
      </c>
      <c r="E3404" s="558" t="s">
        <v>2566</v>
      </c>
      <c r="F3404" s="559">
        <v>501292</v>
      </c>
      <c r="G3404" s="558" t="s">
        <v>2563</v>
      </c>
      <c r="H3404" s="564">
        <v>40015</v>
      </c>
      <c r="I3404" s="563">
        <v>727.35</v>
      </c>
      <c r="J3404" s="563">
        <v>-585</v>
      </c>
      <c r="K3404" s="582">
        <f t="shared" si="156"/>
        <v>142.35000000000002</v>
      </c>
      <c r="L3404" s="563">
        <f t="shared" si="157"/>
        <v>156.58500000000004</v>
      </c>
      <c r="M3404" s="563">
        <f t="shared" si="158"/>
        <v>800.08500000000004</v>
      </c>
      <c r="N3404" s="580"/>
    </row>
    <row r="3405" spans="4:14" x14ac:dyDescent="0.25">
      <c r="D3405" s="559" t="s">
        <v>867</v>
      </c>
      <c r="E3405" s="558" t="s">
        <v>2567</v>
      </c>
      <c r="F3405" s="559">
        <v>500349</v>
      </c>
      <c r="G3405" s="558" t="s">
        <v>2563</v>
      </c>
      <c r="H3405" s="564">
        <v>40015</v>
      </c>
      <c r="I3405" s="563">
        <v>64.349999999999994</v>
      </c>
      <c r="J3405" s="563">
        <v>-64.349999999999994</v>
      </c>
      <c r="K3405" s="582">
        <f t="shared" si="156"/>
        <v>0</v>
      </c>
      <c r="L3405" s="563">
        <f t="shared" si="157"/>
        <v>0</v>
      </c>
      <c r="M3405" s="563">
        <f t="shared" si="158"/>
        <v>70.784999999999997</v>
      </c>
      <c r="N3405" s="580"/>
    </row>
    <row r="3406" spans="4:14" x14ac:dyDescent="0.25">
      <c r="D3406" s="559" t="s">
        <v>867</v>
      </c>
      <c r="E3406" s="558" t="s">
        <v>2568</v>
      </c>
      <c r="F3406" s="559">
        <v>501300</v>
      </c>
      <c r="G3406" s="558" t="s">
        <v>2569</v>
      </c>
      <c r="H3406" s="564">
        <v>40015</v>
      </c>
      <c r="I3406" s="563">
        <v>64.349999999999994</v>
      </c>
      <c r="J3406" s="563">
        <v>-64.349999999999994</v>
      </c>
      <c r="K3406" s="582">
        <f t="shared" si="156"/>
        <v>0</v>
      </c>
      <c r="L3406" s="563">
        <f t="shared" si="157"/>
        <v>0</v>
      </c>
      <c r="M3406" s="563">
        <f t="shared" si="158"/>
        <v>70.784999999999997</v>
      </c>
      <c r="N3406" s="580"/>
    </row>
    <row r="3407" spans="4:14" x14ac:dyDescent="0.25">
      <c r="D3407" s="559" t="s">
        <v>867</v>
      </c>
      <c r="E3407" s="558" t="s">
        <v>2570</v>
      </c>
      <c r="F3407" s="559">
        <v>501303</v>
      </c>
      <c r="G3407" s="558" t="s">
        <v>2569</v>
      </c>
      <c r="H3407" s="564">
        <v>40015</v>
      </c>
      <c r="I3407" s="563">
        <v>688.35</v>
      </c>
      <c r="J3407" s="563">
        <v>-585</v>
      </c>
      <c r="K3407" s="582">
        <f t="shared" si="156"/>
        <v>103.35000000000002</v>
      </c>
      <c r="L3407" s="563">
        <f t="shared" si="157"/>
        <v>113.68500000000003</v>
      </c>
      <c r="M3407" s="563">
        <f t="shared" si="158"/>
        <v>757.18500000000006</v>
      </c>
      <c r="N3407" s="580"/>
    </row>
    <row r="3408" spans="4:14" x14ac:dyDescent="0.25">
      <c r="D3408" s="559" t="s">
        <v>867</v>
      </c>
      <c r="E3408" s="558" t="s">
        <v>2571</v>
      </c>
      <c r="F3408" s="559">
        <v>501304</v>
      </c>
      <c r="G3408" s="558" t="s">
        <v>2569</v>
      </c>
      <c r="H3408" s="564">
        <v>40015</v>
      </c>
      <c r="I3408" s="563">
        <v>688.35</v>
      </c>
      <c r="J3408" s="563">
        <v>-585</v>
      </c>
      <c r="K3408" s="582">
        <f t="shared" si="156"/>
        <v>103.35000000000002</v>
      </c>
      <c r="L3408" s="563">
        <f t="shared" si="157"/>
        <v>113.68500000000003</v>
      </c>
      <c r="M3408" s="563">
        <f t="shared" si="158"/>
        <v>757.18500000000006</v>
      </c>
      <c r="N3408" s="580"/>
    </row>
    <row r="3409" spans="4:14" x14ac:dyDescent="0.25">
      <c r="D3409" s="559" t="s">
        <v>867</v>
      </c>
      <c r="E3409" s="558" t="s">
        <v>2572</v>
      </c>
      <c r="F3409" s="559">
        <v>501307</v>
      </c>
      <c r="G3409" s="558" t="s">
        <v>2569</v>
      </c>
      <c r="H3409" s="564">
        <v>40015</v>
      </c>
      <c r="I3409" s="563">
        <v>571.35</v>
      </c>
      <c r="J3409" s="563">
        <v>-571.35</v>
      </c>
      <c r="K3409" s="582">
        <f t="shared" si="156"/>
        <v>0</v>
      </c>
      <c r="L3409" s="563">
        <f t="shared" si="157"/>
        <v>0</v>
      </c>
      <c r="M3409" s="563">
        <f t="shared" si="158"/>
        <v>628.48500000000013</v>
      </c>
      <c r="N3409" s="580"/>
    </row>
    <row r="3410" spans="4:14" x14ac:dyDescent="0.25">
      <c r="D3410" s="559" t="s">
        <v>867</v>
      </c>
      <c r="E3410" s="558" t="s">
        <v>2573</v>
      </c>
      <c r="F3410" s="559">
        <v>501308</v>
      </c>
      <c r="G3410" s="558" t="s">
        <v>2569</v>
      </c>
      <c r="H3410" s="564">
        <v>40015</v>
      </c>
      <c r="I3410" s="563">
        <v>337.35</v>
      </c>
      <c r="J3410" s="563">
        <v>-337.35</v>
      </c>
      <c r="K3410" s="582">
        <f t="shared" si="156"/>
        <v>0</v>
      </c>
      <c r="L3410" s="563">
        <f t="shared" si="157"/>
        <v>0</v>
      </c>
      <c r="M3410" s="563">
        <f t="shared" si="158"/>
        <v>371.08500000000004</v>
      </c>
      <c r="N3410" s="580"/>
    </row>
    <row r="3411" spans="4:14" x14ac:dyDescent="0.25">
      <c r="D3411" s="559" t="s">
        <v>867</v>
      </c>
      <c r="E3411" s="558" t="s">
        <v>2574</v>
      </c>
      <c r="F3411" s="559">
        <v>501310</v>
      </c>
      <c r="G3411" s="558" t="s">
        <v>2575</v>
      </c>
      <c r="H3411" s="564">
        <v>40015</v>
      </c>
      <c r="I3411" s="563">
        <v>337.35</v>
      </c>
      <c r="J3411" s="563">
        <v>-337.35</v>
      </c>
      <c r="K3411" s="582">
        <f t="shared" si="156"/>
        <v>0</v>
      </c>
      <c r="L3411" s="563">
        <f t="shared" si="157"/>
        <v>0</v>
      </c>
      <c r="M3411" s="563">
        <f t="shared" si="158"/>
        <v>371.08500000000004</v>
      </c>
      <c r="N3411" s="580"/>
    </row>
    <row r="3412" spans="4:14" x14ac:dyDescent="0.25">
      <c r="D3412" s="559" t="s">
        <v>867</v>
      </c>
      <c r="E3412" s="558" t="s">
        <v>2576</v>
      </c>
      <c r="F3412" s="559">
        <v>501311</v>
      </c>
      <c r="G3412" s="558" t="s">
        <v>2575</v>
      </c>
      <c r="H3412" s="564">
        <v>40015</v>
      </c>
      <c r="I3412" s="563">
        <v>25.35</v>
      </c>
      <c r="J3412" s="563">
        <v>-25.35</v>
      </c>
      <c r="K3412" s="582">
        <f t="shared" si="156"/>
        <v>0</v>
      </c>
      <c r="L3412" s="563">
        <f t="shared" si="157"/>
        <v>0</v>
      </c>
      <c r="M3412" s="563">
        <f t="shared" si="158"/>
        <v>27.885000000000005</v>
      </c>
      <c r="N3412" s="580"/>
    </row>
    <row r="3413" spans="4:14" x14ac:dyDescent="0.25">
      <c r="D3413" s="559" t="s">
        <v>867</v>
      </c>
      <c r="E3413" s="558" t="s">
        <v>2577</v>
      </c>
      <c r="F3413" s="559">
        <v>501312</v>
      </c>
      <c r="G3413" s="558" t="s">
        <v>2575</v>
      </c>
      <c r="H3413" s="564">
        <v>40015</v>
      </c>
      <c r="I3413" s="563">
        <v>571.35</v>
      </c>
      <c r="J3413" s="563">
        <v>-571.35</v>
      </c>
      <c r="K3413" s="582">
        <f t="shared" si="156"/>
        <v>0</v>
      </c>
      <c r="L3413" s="563">
        <f t="shared" si="157"/>
        <v>0</v>
      </c>
      <c r="M3413" s="563">
        <f t="shared" si="158"/>
        <v>628.48500000000013</v>
      </c>
      <c r="N3413" s="580"/>
    </row>
    <row r="3414" spans="4:14" x14ac:dyDescent="0.25">
      <c r="D3414" s="559" t="s">
        <v>867</v>
      </c>
      <c r="E3414" s="558" t="s">
        <v>2578</v>
      </c>
      <c r="F3414" s="559">
        <v>501323</v>
      </c>
      <c r="G3414" s="558" t="s">
        <v>2575</v>
      </c>
      <c r="H3414" s="564">
        <v>40015</v>
      </c>
      <c r="I3414" s="563">
        <v>64.349999999999994</v>
      </c>
      <c r="J3414" s="563">
        <v>-64.349999999999994</v>
      </c>
      <c r="K3414" s="582">
        <f t="shared" si="156"/>
        <v>0</v>
      </c>
      <c r="L3414" s="563">
        <f t="shared" si="157"/>
        <v>0</v>
      </c>
      <c r="M3414" s="563">
        <f t="shared" si="158"/>
        <v>70.784999999999997</v>
      </c>
      <c r="N3414" s="580"/>
    </row>
    <row r="3415" spans="4:14" x14ac:dyDescent="0.25">
      <c r="D3415" s="559" t="s">
        <v>867</v>
      </c>
      <c r="E3415" s="558" t="s">
        <v>2579</v>
      </c>
      <c r="F3415" s="559">
        <v>501326</v>
      </c>
      <c r="G3415" s="558" t="s">
        <v>2575</v>
      </c>
      <c r="H3415" s="564">
        <v>40015</v>
      </c>
      <c r="I3415" s="563">
        <v>571.35</v>
      </c>
      <c r="J3415" s="563">
        <v>-571.35</v>
      </c>
      <c r="K3415" s="582">
        <f t="shared" si="156"/>
        <v>0</v>
      </c>
      <c r="L3415" s="563">
        <f t="shared" si="157"/>
        <v>0</v>
      </c>
      <c r="M3415" s="563">
        <f t="shared" si="158"/>
        <v>628.48500000000013</v>
      </c>
      <c r="N3415" s="580"/>
    </row>
    <row r="3416" spans="4:14" x14ac:dyDescent="0.25">
      <c r="D3416" s="559" t="s">
        <v>867</v>
      </c>
      <c r="E3416" s="558" t="s">
        <v>2580</v>
      </c>
      <c r="F3416" s="559">
        <v>501328</v>
      </c>
      <c r="G3416" s="558" t="s">
        <v>2581</v>
      </c>
      <c r="H3416" s="564">
        <v>40015</v>
      </c>
      <c r="I3416" s="563">
        <v>142.35</v>
      </c>
      <c r="J3416" s="563">
        <v>-142.35</v>
      </c>
      <c r="K3416" s="582">
        <f t="shared" si="156"/>
        <v>0</v>
      </c>
      <c r="L3416" s="563">
        <f t="shared" si="157"/>
        <v>0</v>
      </c>
      <c r="M3416" s="563">
        <f t="shared" si="158"/>
        <v>156.58500000000001</v>
      </c>
      <c r="N3416" s="580"/>
    </row>
    <row r="3417" spans="4:14" x14ac:dyDescent="0.25">
      <c r="D3417" s="559" t="s">
        <v>867</v>
      </c>
      <c r="E3417" s="558" t="s">
        <v>2582</v>
      </c>
      <c r="F3417" s="559">
        <v>501329</v>
      </c>
      <c r="G3417" s="558" t="s">
        <v>2581</v>
      </c>
      <c r="H3417" s="564">
        <v>40015</v>
      </c>
      <c r="I3417" s="563">
        <v>64.349999999999994</v>
      </c>
      <c r="J3417" s="563">
        <v>-64.349999999999994</v>
      </c>
      <c r="K3417" s="582">
        <f t="shared" si="156"/>
        <v>0</v>
      </c>
      <c r="L3417" s="563">
        <f t="shared" si="157"/>
        <v>0</v>
      </c>
      <c r="M3417" s="563">
        <f t="shared" si="158"/>
        <v>70.784999999999997</v>
      </c>
      <c r="N3417" s="580"/>
    </row>
    <row r="3418" spans="4:14" x14ac:dyDescent="0.25">
      <c r="D3418" s="559" t="s">
        <v>867</v>
      </c>
      <c r="E3418" s="558" t="s">
        <v>2583</v>
      </c>
      <c r="F3418" s="559">
        <v>501330</v>
      </c>
      <c r="G3418" s="558" t="s">
        <v>2581</v>
      </c>
      <c r="H3418" s="564">
        <v>40015</v>
      </c>
      <c r="I3418" s="563">
        <v>727.35</v>
      </c>
      <c r="J3418" s="563">
        <v>-585</v>
      </c>
      <c r="K3418" s="582">
        <f t="shared" si="156"/>
        <v>142.35000000000002</v>
      </c>
      <c r="L3418" s="563">
        <f t="shared" si="157"/>
        <v>156.58500000000004</v>
      </c>
      <c r="M3418" s="563">
        <f t="shared" si="158"/>
        <v>800.08500000000004</v>
      </c>
      <c r="N3418" s="580"/>
    </row>
    <row r="3419" spans="4:14" x14ac:dyDescent="0.25">
      <c r="D3419" s="559" t="s">
        <v>867</v>
      </c>
      <c r="E3419" s="558" t="s">
        <v>2584</v>
      </c>
      <c r="F3419" s="559">
        <v>501332</v>
      </c>
      <c r="G3419" s="558" t="s">
        <v>2581</v>
      </c>
      <c r="H3419" s="564">
        <v>40015</v>
      </c>
      <c r="I3419" s="563">
        <v>142.35</v>
      </c>
      <c r="J3419" s="563">
        <v>-142.35</v>
      </c>
      <c r="K3419" s="582">
        <f t="shared" si="156"/>
        <v>0</v>
      </c>
      <c r="L3419" s="563">
        <f t="shared" si="157"/>
        <v>0</v>
      </c>
      <c r="M3419" s="563">
        <f t="shared" si="158"/>
        <v>156.58500000000001</v>
      </c>
      <c r="N3419" s="580"/>
    </row>
    <row r="3420" spans="4:14" x14ac:dyDescent="0.25">
      <c r="D3420" s="559" t="s">
        <v>867</v>
      </c>
      <c r="E3420" s="558" t="s">
        <v>2585</v>
      </c>
      <c r="F3420" s="559">
        <v>501333</v>
      </c>
      <c r="G3420" s="558" t="s">
        <v>2581</v>
      </c>
      <c r="H3420" s="564">
        <v>40015</v>
      </c>
      <c r="I3420" s="563">
        <v>337.35</v>
      </c>
      <c r="J3420" s="563">
        <v>-337.35</v>
      </c>
      <c r="K3420" s="582">
        <f t="shared" si="156"/>
        <v>0</v>
      </c>
      <c r="L3420" s="563">
        <f t="shared" si="157"/>
        <v>0</v>
      </c>
      <c r="M3420" s="563">
        <f t="shared" si="158"/>
        <v>371.08500000000004</v>
      </c>
      <c r="N3420" s="580"/>
    </row>
    <row r="3421" spans="4:14" x14ac:dyDescent="0.25">
      <c r="D3421" s="559" t="s">
        <v>867</v>
      </c>
      <c r="E3421" s="558" t="s">
        <v>2586</v>
      </c>
      <c r="F3421" s="559">
        <v>501339</v>
      </c>
      <c r="G3421" s="558" t="s">
        <v>2587</v>
      </c>
      <c r="H3421" s="564">
        <v>40015</v>
      </c>
      <c r="I3421" s="563">
        <v>571.35</v>
      </c>
      <c r="J3421" s="563">
        <v>-571.35</v>
      </c>
      <c r="K3421" s="582">
        <f t="shared" si="156"/>
        <v>0</v>
      </c>
      <c r="L3421" s="563">
        <f t="shared" si="157"/>
        <v>0</v>
      </c>
      <c r="M3421" s="563">
        <f t="shared" si="158"/>
        <v>628.48500000000013</v>
      </c>
      <c r="N3421" s="580"/>
    </row>
    <row r="3422" spans="4:14" x14ac:dyDescent="0.25">
      <c r="D3422" s="559" t="s">
        <v>867</v>
      </c>
      <c r="E3422" s="558" t="s">
        <v>2588</v>
      </c>
      <c r="F3422" s="559">
        <v>501352</v>
      </c>
      <c r="G3422" s="558" t="s">
        <v>2587</v>
      </c>
      <c r="H3422" s="564">
        <v>40015</v>
      </c>
      <c r="I3422" s="563">
        <v>220.35</v>
      </c>
      <c r="J3422" s="563">
        <v>-220.35</v>
      </c>
      <c r="K3422" s="582">
        <f t="shared" si="156"/>
        <v>0</v>
      </c>
      <c r="L3422" s="563">
        <f t="shared" si="157"/>
        <v>0</v>
      </c>
      <c r="M3422" s="563">
        <f t="shared" si="158"/>
        <v>242.38500000000002</v>
      </c>
      <c r="N3422" s="580"/>
    </row>
    <row r="3423" spans="4:14" x14ac:dyDescent="0.25">
      <c r="D3423" s="559" t="s">
        <v>867</v>
      </c>
      <c r="E3423" s="558" t="s">
        <v>2589</v>
      </c>
      <c r="F3423" s="559">
        <v>501356</v>
      </c>
      <c r="G3423" s="558" t="s">
        <v>2587</v>
      </c>
      <c r="H3423" s="564">
        <v>40015</v>
      </c>
      <c r="I3423" s="563">
        <v>298.35000000000002</v>
      </c>
      <c r="J3423" s="563">
        <v>-298.35000000000002</v>
      </c>
      <c r="K3423" s="582">
        <f t="shared" si="156"/>
        <v>0</v>
      </c>
      <c r="L3423" s="563">
        <f t="shared" si="157"/>
        <v>0</v>
      </c>
      <c r="M3423" s="563">
        <f t="shared" si="158"/>
        <v>328.18500000000006</v>
      </c>
      <c r="N3423" s="580"/>
    </row>
    <row r="3424" spans="4:14" x14ac:dyDescent="0.25">
      <c r="D3424" s="559" t="s">
        <v>867</v>
      </c>
      <c r="E3424" s="558" t="s">
        <v>2590</v>
      </c>
      <c r="F3424" s="559">
        <v>500352</v>
      </c>
      <c r="G3424" s="558" t="s">
        <v>2587</v>
      </c>
      <c r="H3424" s="564">
        <v>40015</v>
      </c>
      <c r="I3424" s="563">
        <v>25.35</v>
      </c>
      <c r="J3424" s="563">
        <v>-25.35</v>
      </c>
      <c r="K3424" s="582">
        <f t="shared" si="156"/>
        <v>0</v>
      </c>
      <c r="L3424" s="563">
        <f t="shared" si="157"/>
        <v>0</v>
      </c>
      <c r="M3424" s="563">
        <f t="shared" si="158"/>
        <v>27.885000000000005</v>
      </c>
      <c r="N3424" s="580"/>
    </row>
    <row r="3425" spans="4:14" x14ac:dyDescent="0.25">
      <c r="D3425" s="559" t="s">
        <v>867</v>
      </c>
      <c r="E3425" s="558" t="s">
        <v>2591</v>
      </c>
      <c r="F3425" s="559">
        <v>501358</v>
      </c>
      <c r="G3425" s="558" t="s">
        <v>2587</v>
      </c>
      <c r="H3425" s="564">
        <v>40015</v>
      </c>
      <c r="I3425" s="563">
        <v>25.35</v>
      </c>
      <c r="J3425" s="563">
        <v>-25.35</v>
      </c>
      <c r="K3425" s="582">
        <f t="shared" si="156"/>
        <v>0</v>
      </c>
      <c r="L3425" s="563">
        <f t="shared" si="157"/>
        <v>0</v>
      </c>
      <c r="M3425" s="563">
        <f t="shared" si="158"/>
        <v>27.885000000000005</v>
      </c>
      <c r="N3425" s="580"/>
    </row>
    <row r="3426" spans="4:14" x14ac:dyDescent="0.25">
      <c r="D3426" s="559" t="s">
        <v>867</v>
      </c>
      <c r="E3426" s="558" t="s">
        <v>2592</v>
      </c>
      <c r="F3426" s="559">
        <v>501363</v>
      </c>
      <c r="G3426" s="558" t="s">
        <v>2593</v>
      </c>
      <c r="H3426" s="564">
        <v>40015</v>
      </c>
      <c r="I3426" s="563">
        <v>142.35</v>
      </c>
      <c r="J3426" s="563">
        <v>-142.35</v>
      </c>
      <c r="K3426" s="582">
        <f t="shared" si="156"/>
        <v>0</v>
      </c>
      <c r="L3426" s="563">
        <f t="shared" si="157"/>
        <v>0</v>
      </c>
      <c r="M3426" s="563">
        <f t="shared" si="158"/>
        <v>156.58500000000001</v>
      </c>
      <c r="N3426" s="580"/>
    </row>
    <row r="3427" spans="4:14" x14ac:dyDescent="0.25">
      <c r="D3427" s="559" t="s">
        <v>867</v>
      </c>
      <c r="E3427" s="558" t="s">
        <v>2594</v>
      </c>
      <c r="F3427" s="559">
        <v>501366</v>
      </c>
      <c r="G3427" s="558" t="s">
        <v>2593</v>
      </c>
      <c r="H3427" s="564">
        <v>40015</v>
      </c>
      <c r="I3427" s="563">
        <v>142.35</v>
      </c>
      <c r="J3427" s="563">
        <v>-142.35</v>
      </c>
      <c r="K3427" s="582">
        <f t="shared" si="156"/>
        <v>0</v>
      </c>
      <c r="L3427" s="563">
        <f t="shared" si="157"/>
        <v>0</v>
      </c>
      <c r="M3427" s="563">
        <f t="shared" si="158"/>
        <v>156.58500000000001</v>
      </c>
      <c r="N3427" s="580"/>
    </row>
    <row r="3428" spans="4:14" x14ac:dyDescent="0.25">
      <c r="D3428" s="559" t="s">
        <v>867</v>
      </c>
      <c r="E3428" s="558" t="s">
        <v>2595</v>
      </c>
      <c r="F3428" s="559">
        <v>501371</v>
      </c>
      <c r="G3428" s="558" t="s">
        <v>2593</v>
      </c>
      <c r="H3428" s="564">
        <v>40015</v>
      </c>
      <c r="I3428" s="563">
        <v>142.35</v>
      </c>
      <c r="J3428" s="563">
        <v>-142.35</v>
      </c>
      <c r="K3428" s="582">
        <f t="shared" si="156"/>
        <v>0</v>
      </c>
      <c r="L3428" s="563">
        <f t="shared" si="157"/>
        <v>0</v>
      </c>
      <c r="M3428" s="563">
        <f t="shared" si="158"/>
        <v>156.58500000000001</v>
      </c>
      <c r="N3428" s="580"/>
    </row>
    <row r="3429" spans="4:14" x14ac:dyDescent="0.25">
      <c r="D3429" s="559" t="s">
        <v>867</v>
      </c>
      <c r="E3429" s="558" t="s">
        <v>2596</v>
      </c>
      <c r="F3429" s="559">
        <v>500353</v>
      </c>
      <c r="G3429" s="558" t="s">
        <v>2593</v>
      </c>
      <c r="H3429" s="564">
        <v>40015</v>
      </c>
      <c r="I3429" s="563">
        <v>493.35</v>
      </c>
      <c r="J3429" s="563">
        <v>-493.35</v>
      </c>
      <c r="K3429" s="582">
        <f t="shared" si="156"/>
        <v>0</v>
      </c>
      <c r="L3429" s="563">
        <f t="shared" si="157"/>
        <v>0</v>
      </c>
      <c r="M3429" s="563">
        <f t="shared" si="158"/>
        <v>542.68500000000006</v>
      </c>
      <c r="N3429" s="580"/>
    </row>
    <row r="3430" spans="4:14" x14ac:dyDescent="0.25">
      <c r="D3430" s="559" t="s">
        <v>867</v>
      </c>
      <c r="E3430" s="558" t="s">
        <v>2597</v>
      </c>
      <c r="F3430" s="559">
        <v>500354</v>
      </c>
      <c r="G3430" s="558" t="s">
        <v>2593</v>
      </c>
      <c r="H3430" s="564">
        <v>40015</v>
      </c>
      <c r="I3430" s="563">
        <v>571.35</v>
      </c>
      <c r="J3430" s="563">
        <v>-571.35</v>
      </c>
      <c r="K3430" s="582">
        <f t="shared" si="156"/>
        <v>0</v>
      </c>
      <c r="L3430" s="563">
        <f t="shared" si="157"/>
        <v>0</v>
      </c>
      <c r="M3430" s="563">
        <f t="shared" si="158"/>
        <v>628.48500000000013</v>
      </c>
      <c r="N3430" s="580"/>
    </row>
    <row r="3431" spans="4:14" x14ac:dyDescent="0.25">
      <c r="D3431" s="559" t="s">
        <v>867</v>
      </c>
      <c r="E3431" s="558" t="s">
        <v>2598</v>
      </c>
      <c r="F3431" s="559">
        <v>500355</v>
      </c>
      <c r="G3431" s="558" t="s">
        <v>2599</v>
      </c>
      <c r="H3431" s="564">
        <v>40015</v>
      </c>
      <c r="I3431" s="563">
        <v>688.35</v>
      </c>
      <c r="J3431" s="563">
        <v>-585</v>
      </c>
      <c r="K3431" s="582">
        <f t="shared" si="156"/>
        <v>103.35000000000002</v>
      </c>
      <c r="L3431" s="563">
        <f t="shared" si="157"/>
        <v>113.68500000000003</v>
      </c>
      <c r="M3431" s="563">
        <f t="shared" si="158"/>
        <v>757.18500000000006</v>
      </c>
      <c r="N3431" s="580"/>
    </row>
    <row r="3432" spans="4:14" x14ac:dyDescent="0.25">
      <c r="D3432" s="559" t="s">
        <v>867</v>
      </c>
      <c r="E3432" s="558" t="s">
        <v>2600</v>
      </c>
      <c r="F3432" s="559">
        <v>500356</v>
      </c>
      <c r="G3432" s="558" t="s">
        <v>2599</v>
      </c>
      <c r="H3432" s="564">
        <v>40015</v>
      </c>
      <c r="I3432" s="563">
        <v>25.35</v>
      </c>
      <c r="J3432" s="563">
        <v>-25.35</v>
      </c>
      <c r="K3432" s="582">
        <f t="shared" si="156"/>
        <v>0</v>
      </c>
      <c r="L3432" s="563">
        <f t="shared" si="157"/>
        <v>0</v>
      </c>
      <c r="M3432" s="563">
        <f t="shared" si="158"/>
        <v>27.885000000000005</v>
      </c>
      <c r="N3432" s="580"/>
    </row>
    <row r="3433" spans="4:14" x14ac:dyDescent="0.25">
      <c r="D3433" s="559" t="s">
        <v>867</v>
      </c>
      <c r="E3433" s="558" t="s">
        <v>2601</v>
      </c>
      <c r="F3433" s="559">
        <v>500357</v>
      </c>
      <c r="G3433" s="558" t="s">
        <v>2599</v>
      </c>
      <c r="H3433" s="564">
        <v>40015</v>
      </c>
      <c r="I3433" s="563">
        <v>688.35</v>
      </c>
      <c r="J3433" s="563">
        <v>-585</v>
      </c>
      <c r="K3433" s="582">
        <f t="shared" ref="K3433:K3496" si="159">+I3433+J3433</f>
        <v>103.35000000000002</v>
      </c>
      <c r="L3433" s="563">
        <f t="shared" ref="L3433:L3496" si="160">+K3433*1.1</f>
        <v>113.68500000000003</v>
      </c>
      <c r="M3433" s="563">
        <f t="shared" ref="M3433:M3496" si="161">+I3433*1.1</f>
        <v>757.18500000000006</v>
      </c>
      <c r="N3433" s="580"/>
    </row>
    <row r="3434" spans="4:14" x14ac:dyDescent="0.25">
      <c r="D3434" s="559" t="s">
        <v>867</v>
      </c>
      <c r="E3434" s="558" t="s">
        <v>2602</v>
      </c>
      <c r="F3434" s="559">
        <v>500358</v>
      </c>
      <c r="G3434" s="558" t="s">
        <v>2599</v>
      </c>
      <c r="H3434" s="564">
        <v>40015</v>
      </c>
      <c r="I3434" s="563">
        <v>688.35</v>
      </c>
      <c r="J3434" s="563">
        <v>-585</v>
      </c>
      <c r="K3434" s="582">
        <f t="shared" si="159"/>
        <v>103.35000000000002</v>
      </c>
      <c r="L3434" s="563">
        <f t="shared" si="160"/>
        <v>113.68500000000003</v>
      </c>
      <c r="M3434" s="563">
        <f t="shared" si="161"/>
        <v>757.18500000000006</v>
      </c>
      <c r="N3434" s="580"/>
    </row>
    <row r="3435" spans="4:14" x14ac:dyDescent="0.25">
      <c r="D3435" s="559" t="s">
        <v>867</v>
      </c>
      <c r="E3435" s="558" t="s">
        <v>2603</v>
      </c>
      <c r="F3435" s="559">
        <v>500359</v>
      </c>
      <c r="G3435" s="558" t="s">
        <v>2599</v>
      </c>
      <c r="H3435" s="564">
        <v>40015</v>
      </c>
      <c r="I3435" s="563">
        <v>181.35</v>
      </c>
      <c r="J3435" s="563">
        <v>-181.35</v>
      </c>
      <c r="K3435" s="582">
        <f t="shared" si="159"/>
        <v>0</v>
      </c>
      <c r="L3435" s="563">
        <f t="shared" si="160"/>
        <v>0</v>
      </c>
      <c r="M3435" s="563">
        <f t="shared" si="161"/>
        <v>199.48500000000001</v>
      </c>
      <c r="N3435" s="580"/>
    </row>
    <row r="3436" spans="4:14" x14ac:dyDescent="0.25">
      <c r="D3436" s="559" t="s">
        <v>867</v>
      </c>
      <c r="E3436" s="558" t="s">
        <v>2604</v>
      </c>
      <c r="F3436" s="559">
        <v>501388</v>
      </c>
      <c r="G3436" s="558" t="s">
        <v>2605</v>
      </c>
      <c r="H3436" s="564">
        <v>40015</v>
      </c>
      <c r="I3436" s="563">
        <v>688.35</v>
      </c>
      <c r="J3436" s="563">
        <v>-585</v>
      </c>
      <c r="K3436" s="582">
        <f t="shared" si="159"/>
        <v>103.35000000000002</v>
      </c>
      <c r="L3436" s="563">
        <f t="shared" si="160"/>
        <v>113.68500000000003</v>
      </c>
      <c r="M3436" s="563">
        <f t="shared" si="161"/>
        <v>757.18500000000006</v>
      </c>
      <c r="N3436" s="580"/>
    </row>
    <row r="3437" spans="4:14" x14ac:dyDescent="0.25">
      <c r="D3437" s="559" t="s">
        <v>867</v>
      </c>
      <c r="E3437" s="558" t="s">
        <v>2606</v>
      </c>
      <c r="F3437" s="559">
        <v>501389</v>
      </c>
      <c r="G3437" s="558" t="s">
        <v>2605</v>
      </c>
      <c r="H3437" s="564">
        <v>40015</v>
      </c>
      <c r="I3437" s="563">
        <v>64.349999999999994</v>
      </c>
      <c r="J3437" s="563">
        <v>-64.349999999999994</v>
      </c>
      <c r="K3437" s="582">
        <f t="shared" si="159"/>
        <v>0</v>
      </c>
      <c r="L3437" s="563">
        <f t="shared" si="160"/>
        <v>0</v>
      </c>
      <c r="M3437" s="563">
        <f t="shared" si="161"/>
        <v>70.784999999999997</v>
      </c>
      <c r="N3437" s="580"/>
    </row>
    <row r="3438" spans="4:14" x14ac:dyDescent="0.25">
      <c r="D3438" s="559" t="s">
        <v>867</v>
      </c>
      <c r="E3438" s="558" t="s">
        <v>2607</v>
      </c>
      <c r="F3438" s="559">
        <v>501392</v>
      </c>
      <c r="G3438" s="558" t="s">
        <v>2605</v>
      </c>
      <c r="H3438" s="564">
        <v>40015</v>
      </c>
      <c r="I3438" s="563">
        <v>220.35</v>
      </c>
      <c r="J3438" s="563">
        <v>-220.35</v>
      </c>
      <c r="K3438" s="582">
        <f t="shared" si="159"/>
        <v>0</v>
      </c>
      <c r="L3438" s="563">
        <f t="shared" si="160"/>
        <v>0</v>
      </c>
      <c r="M3438" s="563">
        <f t="shared" si="161"/>
        <v>242.38500000000002</v>
      </c>
      <c r="N3438" s="580"/>
    </row>
    <row r="3439" spans="4:14" x14ac:dyDescent="0.25">
      <c r="D3439" s="559" t="s">
        <v>867</v>
      </c>
      <c r="E3439" s="558" t="s">
        <v>2608</v>
      </c>
      <c r="F3439" s="559">
        <v>501394</v>
      </c>
      <c r="G3439" s="558" t="s">
        <v>2605</v>
      </c>
      <c r="H3439" s="564">
        <v>40015</v>
      </c>
      <c r="I3439" s="563">
        <v>64.349999999999994</v>
      </c>
      <c r="J3439" s="563">
        <v>-64.349999999999994</v>
      </c>
      <c r="K3439" s="582">
        <f t="shared" si="159"/>
        <v>0</v>
      </c>
      <c r="L3439" s="563">
        <f t="shared" si="160"/>
        <v>0</v>
      </c>
      <c r="M3439" s="563">
        <f t="shared" si="161"/>
        <v>70.784999999999997</v>
      </c>
      <c r="N3439" s="580"/>
    </row>
    <row r="3440" spans="4:14" x14ac:dyDescent="0.25">
      <c r="D3440" s="559" t="s">
        <v>867</v>
      </c>
      <c r="E3440" s="558" t="s">
        <v>2609</v>
      </c>
      <c r="F3440" s="559">
        <v>500360</v>
      </c>
      <c r="G3440" s="558" t="s">
        <v>2605</v>
      </c>
      <c r="H3440" s="564">
        <v>40015</v>
      </c>
      <c r="I3440" s="563">
        <v>64.349999999999994</v>
      </c>
      <c r="J3440" s="563">
        <v>-64.349999999999994</v>
      </c>
      <c r="K3440" s="582">
        <f t="shared" si="159"/>
        <v>0</v>
      </c>
      <c r="L3440" s="563">
        <f t="shared" si="160"/>
        <v>0</v>
      </c>
      <c r="M3440" s="563">
        <f t="shared" si="161"/>
        <v>70.784999999999997</v>
      </c>
      <c r="N3440" s="580"/>
    </row>
    <row r="3441" spans="4:14" x14ac:dyDescent="0.25">
      <c r="D3441" s="559" t="s">
        <v>867</v>
      </c>
      <c r="E3441" s="558" t="s">
        <v>2610</v>
      </c>
      <c r="F3441" s="559">
        <v>501400</v>
      </c>
      <c r="G3441" s="558" t="s">
        <v>2611</v>
      </c>
      <c r="H3441" s="564">
        <v>40015</v>
      </c>
      <c r="I3441" s="563">
        <v>649.35</v>
      </c>
      <c r="J3441" s="563">
        <v>-585</v>
      </c>
      <c r="K3441" s="582">
        <f t="shared" si="159"/>
        <v>64.350000000000023</v>
      </c>
      <c r="L3441" s="563">
        <f t="shared" si="160"/>
        <v>70.785000000000025</v>
      </c>
      <c r="M3441" s="563">
        <f t="shared" si="161"/>
        <v>714.28500000000008</v>
      </c>
      <c r="N3441" s="580"/>
    </row>
    <row r="3442" spans="4:14" x14ac:dyDescent="0.25">
      <c r="D3442" s="559" t="s">
        <v>867</v>
      </c>
      <c r="E3442" s="558" t="s">
        <v>2612</v>
      </c>
      <c r="F3442" s="559">
        <v>501406</v>
      </c>
      <c r="G3442" s="558" t="s">
        <v>2611</v>
      </c>
      <c r="H3442" s="564">
        <v>40015</v>
      </c>
      <c r="I3442" s="563">
        <v>571.35</v>
      </c>
      <c r="J3442" s="563">
        <v>-571.35</v>
      </c>
      <c r="K3442" s="582">
        <f t="shared" si="159"/>
        <v>0</v>
      </c>
      <c r="L3442" s="563">
        <f t="shared" si="160"/>
        <v>0</v>
      </c>
      <c r="M3442" s="563">
        <f t="shared" si="161"/>
        <v>628.48500000000013</v>
      </c>
      <c r="N3442" s="580"/>
    </row>
    <row r="3443" spans="4:14" x14ac:dyDescent="0.25">
      <c r="D3443" s="559" t="s">
        <v>867</v>
      </c>
      <c r="E3443" s="558" t="s">
        <v>2613</v>
      </c>
      <c r="F3443" s="559">
        <v>501020</v>
      </c>
      <c r="G3443" s="558" t="s">
        <v>2611</v>
      </c>
      <c r="H3443" s="564">
        <v>40015</v>
      </c>
      <c r="I3443" s="563">
        <v>688.35</v>
      </c>
      <c r="J3443" s="563">
        <v>-585</v>
      </c>
      <c r="K3443" s="582">
        <f t="shared" si="159"/>
        <v>103.35000000000002</v>
      </c>
      <c r="L3443" s="563">
        <f t="shared" si="160"/>
        <v>113.68500000000003</v>
      </c>
      <c r="M3443" s="563">
        <f t="shared" si="161"/>
        <v>757.18500000000006</v>
      </c>
      <c r="N3443" s="580"/>
    </row>
    <row r="3444" spans="4:14" x14ac:dyDescent="0.25">
      <c r="D3444" s="559" t="s">
        <v>867</v>
      </c>
      <c r="E3444" s="558" t="s">
        <v>2614</v>
      </c>
      <c r="F3444" s="559">
        <v>500363</v>
      </c>
      <c r="G3444" s="558" t="s">
        <v>2611</v>
      </c>
      <c r="H3444" s="564">
        <v>40015</v>
      </c>
      <c r="I3444" s="563">
        <v>64.400000000000006</v>
      </c>
      <c r="J3444" s="563">
        <v>-64.400000000000006</v>
      </c>
      <c r="K3444" s="582">
        <f t="shared" si="159"/>
        <v>0</v>
      </c>
      <c r="L3444" s="563">
        <f t="shared" si="160"/>
        <v>0</v>
      </c>
      <c r="M3444" s="563">
        <f t="shared" si="161"/>
        <v>70.840000000000018</v>
      </c>
      <c r="N3444" s="580"/>
    </row>
    <row r="3445" spans="4:14" x14ac:dyDescent="0.25">
      <c r="D3445" s="559" t="s">
        <v>867</v>
      </c>
      <c r="E3445" s="558" t="s">
        <v>2615</v>
      </c>
      <c r="F3445" s="559">
        <v>500364</v>
      </c>
      <c r="G3445" s="558" t="s">
        <v>2611</v>
      </c>
      <c r="H3445" s="564">
        <v>40015</v>
      </c>
      <c r="I3445" s="563">
        <v>64.349999999999994</v>
      </c>
      <c r="J3445" s="563">
        <v>-64.349999999999994</v>
      </c>
      <c r="K3445" s="582">
        <f t="shared" si="159"/>
        <v>0</v>
      </c>
      <c r="L3445" s="563">
        <f t="shared" si="160"/>
        <v>0</v>
      </c>
      <c r="M3445" s="563">
        <f t="shared" si="161"/>
        <v>70.784999999999997</v>
      </c>
      <c r="N3445" s="580"/>
    </row>
    <row r="3446" spans="4:14" x14ac:dyDescent="0.25">
      <c r="D3446" s="559" t="s">
        <v>867</v>
      </c>
      <c r="E3446" s="558" t="s">
        <v>2616</v>
      </c>
      <c r="F3446" s="559">
        <v>500365</v>
      </c>
      <c r="G3446" s="558" t="s">
        <v>2617</v>
      </c>
      <c r="H3446" s="564">
        <v>40015</v>
      </c>
      <c r="I3446" s="563">
        <v>688.35</v>
      </c>
      <c r="J3446" s="563">
        <v>-585</v>
      </c>
      <c r="K3446" s="582">
        <f t="shared" si="159"/>
        <v>103.35000000000002</v>
      </c>
      <c r="L3446" s="563">
        <f t="shared" si="160"/>
        <v>113.68500000000003</v>
      </c>
      <c r="M3446" s="563">
        <f t="shared" si="161"/>
        <v>757.18500000000006</v>
      </c>
      <c r="N3446" s="580"/>
    </row>
    <row r="3447" spans="4:14" x14ac:dyDescent="0.25">
      <c r="D3447" s="559" t="s">
        <v>867</v>
      </c>
      <c r="E3447" s="558" t="s">
        <v>2618</v>
      </c>
      <c r="F3447" s="559">
        <v>501427</v>
      </c>
      <c r="G3447" s="558" t="s">
        <v>2617</v>
      </c>
      <c r="H3447" s="564">
        <v>40015</v>
      </c>
      <c r="I3447" s="563">
        <v>727.35</v>
      </c>
      <c r="J3447" s="563">
        <v>-585</v>
      </c>
      <c r="K3447" s="582">
        <f t="shared" si="159"/>
        <v>142.35000000000002</v>
      </c>
      <c r="L3447" s="563">
        <f t="shared" si="160"/>
        <v>156.58500000000004</v>
      </c>
      <c r="M3447" s="563">
        <f t="shared" si="161"/>
        <v>800.08500000000004</v>
      </c>
      <c r="N3447" s="580"/>
    </row>
    <row r="3448" spans="4:14" x14ac:dyDescent="0.25">
      <c r="D3448" s="559" t="s">
        <v>867</v>
      </c>
      <c r="E3448" s="558" t="s">
        <v>2619</v>
      </c>
      <c r="F3448" s="559">
        <v>500366</v>
      </c>
      <c r="G3448" s="558" t="s">
        <v>2617</v>
      </c>
      <c r="H3448" s="564">
        <v>40015</v>
      </c>
      <c r="I3448" s="563">
        <v>64.349999999999994</v>
      </c>
      <c r="J3448" s="563">
        <v>-64.349999999999994</v>
      </c>
      <c r="K3448" s="582">
        <f t="shared" si="159"/>
        <v>0</v>
      </c>
      <c r="L3448" s="563">
        <f t="shared" si="160"/>
        <v>0</v>
      </c>
      <c r="M3448" s="563">
        <f t="shared" si="161"/>
        <v>70.784999999999997</v>
      </c>
      <c r="N3448" s="580"/>
    </row>
    <row r="3449" spans="4:14" x14ac:dyDescent="0.25">
      <c r="D3449" s="559" t="s">
        <v>867</v>
      </c>
      <c r="E3449" s="558" t="s">
        <v>2620</v>
      </c>
      <c r="F3449" s="559">
        <v>500367</v>
      </c>
      <c r="G3449" s="558" t="s">
        <v>2617</v>
      </c>
      <c r="H3449" s="564">
        <v>40015</v>
      </c>
      <c r="I3449" s="563">
        <v>688.35</v>
      </c>
      <c r="J3449" s="563">
        <v>-585</v>
      </c>
      <c r="K3449" s="582">
        <f t="shared" si="159"/>
        <v>103.35000000000002</v>
      </c>
      <c r="L3449" s="563">
        <f t="shared" si="160"/>
        <v>113.68500000000003</v>
      </c>
      <c r="M3449" s="563">
        <f t="shared" si="161"/>
        <v>757.18500000000006</v>
      </c>
      <c r="N3449" s="580"/>
    </row>
    <row r="3450" spans="4:14" x14ac:dyDescent="0.25">
      <c r="D3450" s="559" t="s">
        <v>867</v>
      </c>
      <c r="E3450" s="558" t="s">
        <v>2621</v>
      </c>
      <c r="F3450" s="559">
        <v>502300</v>
      </c>
      <c r="G3450" s="558" t="s">
        <v>2617</v>
      </c>
      <c r="H3450" s="564">
        <v>40015</v>
      </c>
      <c r="I3450" s="563">
        <v>493.35</v>
      </c>
      <c r="J3450" s="563">
        <v>-493.35</v>
      </c>
      <c r="K3450" s="582">
        <f t="shared" si="159"/>
        <v>0</v>
      </c>
      <c r="L3450" s="563">
        <f t="shared" si="160"/>
        <v>0</v>
      </c>
      <c r="M3450" s="563">
        <f t="shared" si="161"/>
        <v>542.68500000000006</v>
      </c>
      <c r="N3450" s="580"/>
    </row>
    <row r="3451" spans="4:14" x14ac:dyDescent="0.25">
      <c r="D3451" s="559" t="s">
        <v>867</v>
      </c>
      <c r="E3451" s="558" t="s">
        <v>2622</v>
      </c>
      <c r="F3451" s="559">
        <v>500368</v>
      </c>
      <c r="G3451" s="558" t="s">
        <v>2623</v>
      </c>
      <c r="H3451" s="564">
        <v>40015</v>
      </c>
      <c r="I3451" s="563">
        <v>688.35</v>
      </c>
      <c r="J3451" s="563">
        <v>-585</v>
      </c>
      <c r="K3451" s="582">
        <f t="shared" si="159"/>
        <v>103.35000000000002</v>
      </c>
      <c r="L3451" s="563">
        <f t="shared" si="160"/>
        <v>113.68500000000003</v>
      </c>
      <c r="M3451" s="563">
        <f t="shared" si="161"/>
        <v>757.18500000000006</v>
      </c>
      <c r="N3451" s="580"/>
    </row>
    <row r="3452" spans="4:14" x14ac:dyDescent="0.25">
      <c r="D3452" s="559" t="s">
        <v>867</v>
      </c>
      <c r="E3452" s="558" t="s">
        <v>2624</v>
      </c>
      <c r="F3452" s="559">
        <v>500369</v>
      </c>
      <c r="G3452" s="558" t="s">
        <v>2623</v>
      </c>
      <c r="H3452" s="564">
        <v>40015</v>
      </c>
      <c r="I3452" s="563">
        <v>688.35</v>
      </c>
      <c r="J3452" s="563">
        <v>-585</v>
      </c>
      <c r="K3452" s="582">
        <f t="shared" si="159"/>
        <v>103.35000000000002</v>
      </c>
      <c r="L3452" s="563">
        <f t="shared" si="160"/>
        <v>113.68500000000003</v>
      </c>
      <c r="M3452" s="563">
        <f t="shared" si="161"/>
        <v>757.18500000000006</v>
      </c>
      <c r="N3452" s="580"/>
    </row>
    <row r="3453" spans="4:14" x14ac:dyDescent="0.25">
      <c r="D3453" s="559" t="s">
        <v>867</v>
      </c>
      <c r="E3453" s="558" t="s">
        <v>2625</v>
      </c>
      <c r="F3453" s="559">
        <v>500370</v>
      </c>
      <c r="G3453" s="558" t="s">
        <v>2623</v>
      </c>
      <c r="H3453" s="564">
        <v>40015</v>
      </c>
      <c r="I3453" s="563">
        <v>64.349999999999994</v>
      </c>
      <c r="J3453" s="563">
        <v>-64.349999999999994</v>
      </c>
      <c r="K3453" s="582">
        <f t="shared" si="159"/>
        <v>0</v>
      </c>
      <c r="L3453" s="563">
        <f t="shared" si="160"/>
        <v>0</v>
      </c>
      <c r="M3453" s="563">
        <f t="shared" si="161"/>
        <v>70.784999999999997</v>
      </c>
      <c r="N3453" s="580"/>
    </row>
    <row r="3454" spans="4:14" x14ac:dyDescent="0.25">
      <c r="D3454" s="559" t="s">
        <v>867</v>
      </c>
      <c r="E3454" s="558" t="s">
        <v>2626</v>
      </c>
      <c r="F3454" s="559">
        <v>501428</v>
      </c>
      <c r="G3454" s="558" t="s">
        <v>2623</v>
      </c>
      <c r="H3454" s="564">
        <v>40015</v>
      </c>
      <c r="I3454" s="563">
        <v>220.35</v>
      </c>
      <c r="J3454" s="563">
        <v>-220.35</v>
      </c>
      <c r="K3454" s="582">
        <f t="shared" si="159"/>
        <v>0</v>
      </c>
      <c r="L3454" s="563">
        <f t="shared" si="160"/>
        <v>0</v>
      </c>
      <c r="M3454" s="563">
        <f t="shared" si="161"/>
        <v>242.38500000000002</v>
      </c>
      <c r="N3454" s="580"/>
    </row>
    <row r="3455" spans="4:14" x14ac:dyDescent="0.25">
      <c r="D3455" s="559" t="s">
        <v>867</v>
      </c>
      <c r="E3455" s="558" t="s">
        <v>2627</v>
      </c>
      <c r="F3455" s="559">
        <v>500371</v>
      </c>
      <c r="G3455" s="558" t="s">
        <v>2623</v>
      </c>
      <c r="H3455" s="564">
        <v>40015</v>
      </c>
      <c r="I3455" s="563">
        <v>25.35</v>
      </c>
      <c r="J3455" s="563">
        <v>-25.35</v>
      </c>
      <c r="K3455" s="582">
        <f t="shared" si="159"/>
        <v>0</v>
      </c>
      <c r="L3455" s="563">
        <f t="shared" si="160"/>
        <v>0</v>
      </c>
      <c r="M3455" s="563">
        <f t="shared" si="161"/>
        <v>27.885000000000005</v>
      </c>
      <c r="N3455" s="580"/>
    </row>
    <row r="3456" spans="4:14" x14ac:dyDescent="0.25">
      <c r="D3456" s="559" t="s">
        <v>867</v>
      </c>
      <c r="E3456" s="558" t="s">
        <v>2628</v>
      </c>
      <c r="F3456" s="559">
        <v>500372</v>
      </c>
      <c r="G3456" s="558" t="s">
        <v>2629</v>
      </c>
      <c r="H3456" s="564">
        <v>40015</v>
      </c>
      <c r="I3456" s="563">
        <v>493.35</v>
      </c>
      <c r="J3456" s="563">
        <v>-493.35</v>
      </c>
      <c r="K3456" s="582">
        <f t="shared" si="159"/>
        <v>0</v>
      </c>
      <c r="L3456" s="563">
        <f t="shared" si="160"/>
        <v>0</v>
      </c>
      <c r="M3456" s="563">
        <f t="shared" si="161"/>
        <v>542.68500000000006</v>
      </c>
      <c r="N3456" s="580"/>
    </row>
    <row r="3457" spans="4:14" x14ac:dyDescent="0.25">
      <c r="D3457" s="559" t="s">
        <v>867</v>
      </c>
      <c r="E3457" s="558" t="s">
        <v>2630</v>
      </c>
      <c r="F3457" s="559">
        <v>500373</v>
      </c>
      <c r="G3457" s="558" t="s">
        <v>2629</v>
      </c>
      <c r="H3457" s="564">
        <v>40015</v>
      </c>
      <c r="I3457" s="563">
        <v>493.35</v>
      </c>
      <c r="J3457" s="563">
        <v>-493.35</v>
      </c>
      <c r="K3457" s="582">
        <f t="shared" si="159"/>
        <v>0</v>
      </c>
      <c r="L3457" s="563">
        <f t="shared" si="160"/>
        <v>0</v>
      </c>
      <c r="M3457" s="563">
        <f t="shared" si="161"/>
        <v>542.68500000000006</v>
      </c>
      <c r="N3457" s="580"/>
    </row>
    <row r="3458" spans="4:14" x14ac:dyDescent="0.25">
      <c r="D3458" s="559" t="s">
        <v>867</v>
      </c>
      <c r="E3458" s="558" t="s">
        <v>2631</v>
      </c>
      <c r="F3458" s="559">
        <v>500374</v>
      </c>
      <c r="G3458" s="558" t="s">
        <v>2629</v>
      </c>
      <c r="H3458" s="564">
        <v>40015</v>
      </c>
      <c r="I3458" s="563">
        <v>493.35</v>
      </c>
      <c r="J3458" s="563">
        <v>-493.35</v>
      </c>
      <c r="K3458" s="582">
        <f t="shared" si="159"/>
        <v>0</v>
      </c>
      <c r="L3458" s="563">
        <f t="shared" si="160"/>
        <v>0</v>
      </c>
      <c r="M3458" s="563">
        <f t="shared" si="161"/>
        <v>542.68500000000006</v>
      </c>
      <c r="N3458" s="580"/>
    </row>
    <row r="3459" spans="4:14" x14ac:dyDescent="0.25">
      <c r="D3459" s="559" t="s">
        <v>867</v>
      </c>
      <c r="E3459" s="558" t="s">
        <v>2632</v>
      </c>
      <c r="F3459" s="559">
        <v>500375</v>
      </c>
      <c r="G3459" s="558" t="s">
        <v>2629</v>
      </c>
      <c r="H3459" s="564">
        <v>40015</v>
      </c>
      <c r="I3459" s="563">
        <v>337.35</v>
      </c>
      <c r="J3459" s="563">
        <v>-337.35</v>
      </c>
      <c r="K3459" s="582">
        <f t="shared" si="159"/>
        <v>0</v>
      </c>
      <c r="L3459" s="563">
        <f t="shared" si="160"/>
        <v>0</v>
      </c>
      <c r="M3459" s="563">
        <f t="shared" si="161"/>
        <v>371.08500000000004</v>
      </c>
      <c r="N3459" s="580"/>
    </row>
    <row r="3460" spans="4:14" x14ac:dyDescent="0.25">
      <c r="D3460" s="559" t="s">
        <v>867</v>
      </c>
      <c r="E3460" s="558" t="s">
        <v>2633</v>
      </c>
      <c r="F3460" s="559">
        <v>501433</v>
      </c>
      <c r="G3460" s="558" t="s">
        <v>2629</v>
      </c>
      <c r="H3460" s="564">
        <v>40015</v>
      </c>
      <c r="I3460" s="563">
        <v>25.35</v>
      </c>
      <c r="J3460" s="563">
        <v>-25.35</v>
      </c>
      <c r="K3460" s="582">
        <f t="shared" si="159"/>
        <v>0</v>
      </c>
      <c r="L3460" s="563">
        <f t="shared" si="160"/>
        <v>0</v>
      </c>
      <c r="M3460" s="563">
        <f t="shared" si="161"/>
        <v>27.885000000000005</v>
      </c>
      <c r="N3460" s="580"/>
    </row>
    <row r="3461" spans="4:14" x14ac:dyDescent="0.25">
      <c r="D3461" s="559" t="s">
        <v>867</v>
      </c>
      <c r="E3461" s="558" t="s">
        <v>2634</v>
      </c>
      <c r="F3461" s="559">
        <v>502207</v>
      </c>
      <c r="G3461" s="558" t="s">
        <v>2635</v>
      </c>
      <c r="H3461" s="564">
        <v>40015</v>
      </c>
      <c r="I3461" s="563">
        <v>688.35</v>
      </c>
      <c r="J3461" s="563">
        <v>-585</v>
      </c>
      <c r="K3461" s="582">
        <f t="shared" si="159"/>
        <v>103.35000000000002</v>
      </c>
      <c r="L3461" s="563">
        <f t="shared" si="160"/>
        <v>113.68500000000003</v>
      </c>
      <c r="M3461" s="563">
        <f t="shared" si="161"/>
        <v>757.18500000000006</v>
      </c>
      <c r="N3461" s="580"/>
    </row>
    <row r="3462" spans="4:14" x14ac:dyDescent="0.25">
      <c r="D3462" s="559" t="s">
        <v>867</v>
      </c>
      <c r="E3462" s="558" t="s">
        <v>2636</v>
      </c>
      <c r="F3462" s="559">
        <v>500377</v>
      </c>
      <c r="G3462" s="558" t="s">
        <v>2635</v>
      </c>
      <c r="H3462" s="564">
        <v>40015</v>
      </c>
      <c r="I3462" s="563">
        <v>64.349999999999994</v>
      </c>
      <c r="J3462" s="563">
        <v>-64.349999999999994</v>
      </c>
      <c r="K3462" s="582">
        <f t="shared" si="159"/>
        <v>0</v>
      </c>
      <c r="L3462" s="563">
        <f t="shared" si="160"/>
        <v>0</v>
      </c>
      <c r="M3462" s="563">
        <f t="shared" si="161"/>
        <v>70.784999999999997</v>
      </c>
      <c r="N3462" s="580"/>
    </row>
    <row r="3463" spans="4:14" x14ac:dyDescent="0.25">
      <c r="D3463" s="559" t="s">
        <v>867</v>
      </c>
      <c r="E3463" s="558" t="s">
        <v>2637</v>
      </c>
      <c r="F3463" s="559">
        <v>500378</v>
      </c>
      <c r="G3463" s="558" t="s">
        <v>2635</v>
      </c>
      <c r="H3463" s="564">
        <v>40015</v>
      </c>
      <c r="I3463" s="563">
        <v>25.35</v>
      </c>
      <c r="J3463" s="563">
        <v>-25.35</v>
      </c>
      <c r="K3463" s="582">
        <f t="shared" si="159"/>
        <v>0</v>
      </c>
      <c r="L3463" s="563">
        <f t="shared" si="160"/>
        <v>0</v>
      </c>
      <c r="M3463" s="563">
        <f t="shared" si="161"/>
        <v>27.885000000000005</v>
      </c>
      <c r="N3463" s="580"/>
    </row>
    <row r="3464" spans="4:14" x14ac:dyDescent="0.25">
      <c r="D3464" s="559" t="s">
        <v>867</v>
      </c>
      <c r="E3464" s="558" t="s">
        <v>2638</v>
      </c>
      <c r="F3464" s="559">
        <v>500379</v>
      </c>
      <c r="G3464" s="558" t="s">
        <v>2635</v>
      </c>
      <c r="H3464" s="564">
        <v>40015</v>
      </c>
      <c r="I3464" s="563">
        <v>493.35</v>
      </c>
      <c r="J3464" s="563">
        <v>-493.35</v>
      </c>
      <c r="K3464" s="582">
        <f t="shared" si="159"/>
        <v>0</v>
      </c>
      <c r="L3464" s="563">
        <f t="shared" si="160"/>
        <v>0</v>
      </c>
      <c r="M3464" s="563">
        <f t="shared" si="161"/>
        <v>542.68500000000006</v>
      </c>
      <c r="N3464" s="580"/>
    </row>
    <row r="3465" spans="4:14" x14ac:dyDescent="0.25">
      <c r="D3465" s="559" t="s">
        <v>867</v>
      </c>
      <c r="E3465" s="558" t="s">
        <v>2639</v>
      </c>
      <c r="F3465" s="559">
        <v>500380</v>
      </c>
      <c r="G3465" s="558" t="s">
        <v>2635</v>
      </c>
      <c r="H3465" s="564">
        <v>40015</v>
      </c>
      <c r="I3465" s="563">
        <v>493.35</v>
      </c>
      <c r="J3465" s="563">
        <v>-493.35</v>
      </c>
      <c r="K3465" s="582">
        <f t="shared" si="159"/>
        <v>0</v>
      </c>
      <c r="L3465" s="563">
        <f t="shared" si="160"/>
        <v>0</v>
      </c>
      <c r="M3465" s="563">
        <f t="shared" si="161"/>
        <v>542.68500000000006</v>
      </c>
      <c r="N3465" s="580"/>
    </row>
    <row r="3466" spans="4:14" x14ac:dyDescent="0.25">
      <c r="D3466" s="559" t="s">
        <v>867</v>
      </c>
      <c r="E3466" s="558" t="s">
        <v>2640</v>
      </c>
      <c r="F3466" s="559">
        <v>501442</v>
      </c>
      <c r="G3466" s="558" t="s">
        <v>2641</v>
      </c>
      <c r="H3466" s="564">
        <v>40015</v>
      </c>
      <c r="I3466" s="563">
        <v>493.35</v>
      </c>
      <c r="J3466" s="563">
        <v>-493.35</v>
      </c>
      <c r="K3466" s="582">
        <f t="shared" si="159"/>
        <v>0</v>
      </c>
      <c r="L3466" s="563">
        <f t="shared" si="160"/>
        <v>0</v>
      </c>
      <c r="M3466" s="563">
        <f t="shared" si="161"/>
        <v>542.68500000000006</v>
      </c>
      <c r="N3466" s="580"/>
    </row>
    <row r="3467" spans="4:14" x14ac:dyDescent="0.25">
      <c r="D3467" s="559" t="s">
        <v>867</v>
      </c>
      <c r="E3467" s="558" t="s">
        <v>2642</v>
      </c>
      <c r="F3467" s="559">
        <v>500382</v>
      </c>
      <c r="G3467" s="558" t="s">
        <v>2641</v>
      </c>
      <c r="H3467" s="564">
        <v>40015</v>
      </c>
      <c r="I3467" s="563">
        <v>493.35</v>
      </c>
      <c r="J3467" s="563">
        <v>-493.35</v>
      </c>
      <c r="K3467" s="582">
        <f t="shared" si="159"/>
        <v>0</v>
      </c>
      <c r="L3467" s="563">
        <f t="shared" si="160"/>
        <v>0</v>
      </c>
      <c r="M3467" s="563">
        <f t="shared" si="161"/>
        <v>542.68500000000006</v>
      </c>
      <c r="N3467" s="580"/>
    </row>
    <row r="3468" spans="4:14" x14ac:dyDescent="0.25">
      <c r="D3468" s="559" t="s">
        <v>867</v>
      </c>
      <c r="E3468" s="558" t="s">
        <v>2643</v>
      </c>
      <c r="F3468" s="559">
        <v>500383</v>
      </c>
      <c r="G3468" s="558" t="s">
        <v>2641</v>
      </c>
      <c r="H3468" s="564">
        <v>40015</v>
      </c>
      <c r="I3468" s="563">
        <v>493.35</v>
      </c>
      <c r="J3468" s="563">
        <v>-493.35</v>
      </c>
      <c r="K3468" s="582">
        <f t="shared" si="159"/>
        <v>0</v>
      </c>
      <c r="L3468" s="563">
        <f t="shared" si="160"/>
        <v>0</v>
      </c>
      <c r="M3468" s="563">
        <f t="shared" si="161"/>
        <v>542.68500000000006</v>
      </c>
      <c r="N3468" s="580"/>
    </row>
    <row r="3469" spans="4:14" x14ac:dyDescent="0.25">
      <c r="D3469" s="559" t="s">
        <v>867</v>
      </c>
      <c r="E3469" s="558" t="s">
        <v>2644</v>
      </c>
      <c r="F3469" s="559">
        <v>501444</v>
      </c>
      <c r="G3469" s="558" t="s">
        <v>2641</v>
      </c>
      <c r="H3469" s="564">
        <v>40015</v>
      </c>
      <c r="I3469" s="563">
        <v>493.35</v>
      </c>
      <c r="J3469" s="563">
        <v>-493.35</v>
      </c>
      <c r="K3469" s="582">
        <f t="shared" si="159"/>
        <v>0</v>
      </c>
      <c r="L3469" s="563">
        <f t="shared" si="160"/>
        <v>0</v>
      </c>
      <c r="M3469" s="563">
        <f t="shared" si="161"/>
        <v>542.68500000000006</v>
      </c>
      <c r="N3469" s="580"/>
    </row>
    <row r="3470" spans="4:14" x14ac:dyDescent="0.25">
      <c r="D3470" s="559" t="s">
        <v>867</v>
      </c>
      <c r="E3470" s="558" t="s">
        <v>2645</v>
      </c>
      <c r="F3470" s="559">
        <v>500384</v>
      </c>
      <c r="G3470" s="558" t="s">
        <v>2641</v>
      </c>
      <c r="H3470" s="564">
        <v>40015</v>
      </c>
      <c r="I3470" s="563">
        <v>493.35</v>
      </c>
      <c r="J3470" s="563">
        <v>-493.35</v>
      </c>
      <c r="K3470" s="582">
        <f t="shared" si="159"/>
        <v>0</v>
      </c>
      <c r="L3470" s="563">
        <f t="shared" si="160"/>
        <v>0</v>
      </c>
      <c r="M3470" s="563">
        <f t="shared" si="161"/>
        <v>542.68500000000006</v>
      </c>
      <c r="N3470" s="580"/>
    </row>
    <row r="3471" spans="4:14" x14ac:dyDescent="0.25">
      <c r="D3471" s="559" t="s">
        <v>867</v>
      </c>
      <c r="E3471" s="558" t="s">
        <v>2646</v>
      </c>
      <c r="F3471" s="559">
        <v>501445</v>
      </c>
      <c r="G3471" s="558" t="s">
        <v>2647</v>
      </c>
      <c r="H3471" s="564">
        <v>40015</v>
      </c>
      <c r="I3471" s="563">
        <v>493.35</v>
      </c>
      <c r="J3471" s="563">
        <v>-493.35</v>
      </c>
      <c r="K3471" s="582">
        <f t="shared" si="159"/>
        <v>0</v>
      </c>
      <c r="L3471" s="563">
        <f t="shared" si="160"/>
        <v>0</v>
      </c>
      <c r="M3471" s="563">
        <f t="shared" si="161"/>
        <v>542.68500000000006</v>
      </c>
      <c r="N3471" s="580"/>
    </row>
    <row r="3472" spans="4:14" x14ac:dyDescent="0.25">
      <c r="D3472" s="559" t="s">
        <v>867</v>
      </c>
      <c r="E3472" s="558" t="s">
        <v>2648</v>
      </c>
      <c r="F3472" s="559">
        <v>501430</v>
      </c>
      <c r="G3472" s="558" t="s">
        <v>2647</v>
      </c>
      <c r="H3472" s="564">
        <v>40015</v>
      </c>
      <c r="I3472" s="563">
        <v>64.349999999999994</v>
      </c>
      <c r="J3472" s="563">
        <v>-64.349999999999994</v>
      </c>
      <c r="K3472" s="582">
        <f t="shared" si="159"/>
        <v>0</v>
      </c>
      <c r="L3472" s="563">
        <f t="shared" si="160"/>
        <v>0</v>
      </c>
      <c r="M3472" s="563">
        <f t="shared" si="161"/>
        <v>70.784999999999997</v>
      </c>
      <c r="N3472" s="580"/>
    </row>
    <row r="3473" spans="4:14" x14ac:dyDescent="0.25">
      <c r="D3473" s="559" t="s">
        <v>867</v>
      </c>
      <c r="E3473" s="558" t="s">
        <v>2649</v>
      </c>
      <c r="F3473" s="559">
        <v>501450</v>
      </c>
      <c r="G3473" s="558" t="s">
        <v>2647</v>
      </c>
      <c r="H3473" s="564">
        <v>40015</v>
      </c>
      <c r="I3473" s="563">
        <v>571.35</v>
      </c>
      <c r="J3473" s="563">
        <v>-571.35</v>
      </c>
      <c r="K3473" s="582">
        <f t="shared" si="159"/>
        <v>0</v>
      </c>
      <c r="L3473" s="563">
        <f t="shared" si="160"/>
        <v>0</v>
      </c>
      <c r="M3473" s="563">
        <f t="shared" si="161"/>
        <v>628.48500000000013</v>
      </c>
      <c r="N3473" s="580"/>
    </row>
    <row r="3474" spans="4:14" x14ac:dyDescent="0.25">
      <c r="D3474" s="559" t="s">
        <v>867</v>
      </c>
      <c r="E3474" s="558" t="s">
        <v>2650</v>
      </c>
      <c r="F3474" s="559">
        <v>500386</v>
      </c>
      <c r="G3474" s="558" t="s">
        <v>2647</v>
      </c>
      <c r="H3474" s="564">
        <v>40015</v>
      </c>
      <c r="I3474" s="563">
        <v>493.35</v>
      </c>
      <c r="J3474" s="563">
        <v>-493.35</v>
      </c>
      <c r="K3474" s="582">
        <f t="shared" si="159"/>
        <v>0</v>
      </c>
      <c r="L3474" s="563">
        <f t="shared" si="160"/>
        <v>0</v>
      </c>
      <c r="M3474" s="563">
        <f t="shared" si="161"/>
        <v>542.68500000000006</v>
      </c>
      <c r="N3474" s="580"/>
    </row>
    <row r="3475" spans="4:14" x14ac:dyDescent="0.25">
      <c r="D3475" s="559" t="s">
        <v>867</v>
      </c>
      <c r="E3475" s="558" t="s">
        <v>2651</v>
      </c>
      <c r="F3475" s="559">
        <v>500388</v>
      </c>
      <c r="G3475" s="558" t="s">
        <v>2647</v>
      </c>
      <c r="H3475" s="564">
        <v>40015</v>
      </c>
      <c r="I3475" s="563">
        <v>493.35</v>
      </c>
      <c r="J3475" s="563">
        <v>-493.35</v>
      </c>
      <c r="K3475" s="582">
        <f t="shared" si="159"/>
        <v>0</v>
      </c>
      <c r="L3475" s="563">
        <f t="shared" si="160"/>
        <v>0</v>
      </c>
      <c r="M3475" s="563">
        <f t="shared" si="161"/>
        <v>542.68500000000006</v>
      </c>
      <c r="N3475" s="580"/>
    </row>
    <row r="3476" spans="4:14" x14ac:dyDescent="0.25">
      <c r="D3476" s="559" t="s">
        <v>867</v>
      </c>
      <c r="E3476" s="558" t="s">
        <v>2652</v>
      </c>
      <c r="F3476" s="559">
        <v>501452</v>
      </c>
      <c r="G3476" s="558" t="s">
        <v>2653</v>
      </c>
      <c r="H3476" s="564">
        <v>40015</v>
      </c>
      <c r="I3476" s="563">
        <v>493.35</v>
      </c>
      <c r="J3476" s="563">
        <v>-493.35</v>
      </c>
      <c r="K3476" s="582">
        <f t="shared" si="159"/>
        <v>0</v>
      </c>
      <c r="L3476" s="563">
        <f t="shared" si="160"/>
        <v>0</v>
      </c>
      <c r="M3476" s="563">
        <f t="shared" si="161"/>
        <v>542.68500000000006</v>
      </c>
      <c r="N3476" s="580"/>
    </row>
    <row r="3477" spans="4:14" x14ac:dyDescent="0.25">
      <c r="D3477" s="559" t="s">
        <v>867</v>
      </c>
      <c r="E3477" s="558" t="s">
        <v>2654</v>
      </c>
      <c r="F3477" s="559">
        <v>500389</v>
      </c>
      <c r="G3477" s="558" t="s">
        <v>2653</v>
      </c>
      <c r="H3477" s="564">
        <v>40015</v>
      </c>
      <c r="I3477" s="563">
        <v>493.35</v>
      </c>
      <c r="J3477" s="563">
        <v>-493.35</v>
      </c>
      <c r="K3477" s="582">
        <f t="shared" si="159"/>
        <v>0</v>
      </c>
      <c r="L3477" s="563">
        <f t="shared" si="160"/>
        <v>0</v>
      </c>
      <c r="M3477" s="563">
        <f t="shared" si="161"/>
        <v>542.68500000000006</v>
      </c>
      <c r="N3477" s="580"/>
    </row>
    <row r="3478" spans="4:14" x14ac:dyDescent="0.25">
      <c r="D3478" s="559" t="s">
        <v>867</v>
      </c>
      <c r="E3478" s="558" t="s">
        <v>2655</v>
      </c>
      <c r="F3478" s="559">
        <v>500390</v>
      </c>
      <c r="G3478" s="558" t="s">
        <v>2653</v>
      </c>
      <c r="H3478" s="564">
        <v>40015</v>
      </c>
      <c r="I3478" s="563">
        <v>493.35</v>
      </c>
      <c r="J3478" s="563">
        <v>-493.35</v>
      </c>
      <c r="K3478" s="582">
        <f t="shared" si="159"/>
        <v>0</v>
      </c>
      <c r="L3478" s="563">
        <f t="shared" si="160"/>
        <v>0</v>
      </c>
      <c r="M3478" s="563">
        <f t="shared" si="161"/>
        <v>542.68500000000006</v>
      </c>
      <c r="N3478" s="580"/>
    </row>
    <row r="3479" spans="4:14" x14ac:dyDescent="0.25">
      <c r="D3479" s="559" t="s">
        <v>867</v>
      </c>
      <c r="E3479" s="558" t="s">
        <v>2656</v>
      </c>
      <c r="F3479" s="559">
        <v>500391</v>
      </c>
      <c r="G3479" s="558" t="s">
        <v>2653</v>
      </c>
      <c r="H3479" s="564">
        <v>40015</v>
      </c>
      <c r="I3479" s="563">
        <v>493.35</v>
      </c>
      <c r="J3479" s="563">
        <v>-493.35</v>
      </c>
      <c r="K3479" s="582">
        <f t="shared" si="159"/>
        <v>0</v>
      </c>
      <c r="L3479" s="563">
        <f t="shared" si="160"/>
        <v>0</v>
      </c>
      <c r="M3479" s="563">
        <f t="shared" si="161"/>
        <v>542.68500000000006</v>
      </c>
      <c r="N3479" s="580"/>
    </row>
    <row r="3480" spans="4:14" x14ac:dyDescent="0.25">
      <c r="D3480" s="559" t="s">
        <v>867</v>
      </c>
      <c r="E3480" s="558" t="s">
        <v>2657</v>
      </c>
      <c r="F3480" s="559">
        <v>500392</v>
      </c>
      <c r="G3480" s="558" t="s">
        <v>2653</v>
      </c>
      <c r="H3480" s="564">
        <v>40015</v>
      </c>
      <c r="I3480" s="563">
        <v>493.35</v>
      </c>
      <c r="J3480" s="563">
        <v>-493.35</v>
      </c>
      <c r="K3480" s="582">
        <f t="shared" si="159"/>
        <v>0</v>
      </c>
      <c r="L3480" s="563">
        <f t="shared" si="160"/>
        <v>0</v>
      </c>
      <c r="M3480" s="563">
        <f t="shared" si="161"/>
        <v>542.68500000000006</v>
      </c>
      <c r="N3480" s="580"/>
    </row>
    <row r="3481" spans="4:14" x14ac:dyDescent="0.25">
      <c r="D3481" s="559" t="s">
        <v>867</v>
      </c>
      <c r="E3481" s="558" t="s">
        <v>2658</v>
      </c>
      <c r="F3481" s="559">
        <v>500393</v>
      </c>
      <c r="G3481" s="558" t="s">
        <v>2659</v>
      </c>
      <c r="H3481" s="564">
        <v>40015</v>
      </c>
      <c r="I3481" s="563">
        <v>493.35</v>
      </c>
      <c r="J3481" s="563">
        <v>-493.35</v>
      </c>
      <c r="K3481" s="582">
        <f t="shared" si="159"/>
        <v>0</v>
      </c>
      <c r="L3481" s="563">
        <f t="shared" si="160"/>
        <v>0</v>
      </c>
      <c r="M3481" s="563">
        <f t="shared" si="161"/>
        <v>542.68500000000006</v>
      </c>
      <c r="N3481" s="580"/>
    </row>
    <row r="3482" spans="4:14" x14ac:dyDescent="0.25">
      <c r="D3482" s="559" t="s">
        <v>867</v>
      </c>
      <c r="E3482" s="558" t="s">
        <v>2660</v>
      </c>
      <c r="F3482" s="559">
        <v>501453</v>
      </c>
      <c r="G3482" s="558" t="s">
        <v>2659</v>
      </c>
      <c r="H3482" s="564">
        <v>40015</v>
      </c>
      <c r="I3482" s="563">
        <v>493.35</v>
      </c>
      <c r="J3482" s="563">
        <v>-493.35</v>
      </c>
      <c r="K3482" s="582">
        <f t="shared" si="159"/>
        <v>0</v>
      </c>
      <c r="L3482" s="563">
        <f t="shared" si="160"/>
        <v>0</v>
      </c>
      <c r="M3482" s="563">
        <f t="shared" si="161"/>
        <v>542.68500000000006</v>
      </c>
      <c r="N3482" s="580"/>
    </row>
    <row r="3483" spans="4:14" x14ac:dyDescent="0.25">
      <c r="D3483" s="559" t="s">
        <v>867</v>
      </c>
      <c r="E3483" s="558" t="s">
        <v>2661</v>
      </c>
      <c r="F3483" s="559">
        <v>500394</v>
      </c>
      <c r="G3483" s="558" t="s">
        <v>2659</v>
      </c>
      <c r="H3483" s="564">
        <v>40015</v>
      </c>
      <c r="I3483" s="563">
        <v>727.35</v>
      </c>
      <c r="J3483" s="563">
        <v>-585</v>
      </c>
      <c r="K3483" s="582">
        <f t="shared" si="159"/>
        <v>142.35000000000002</v>
      </c>
      <c r="L3483" s="563">
        <f t="shared" si="160"/>
        <v>156.58500000000004</v>
      </c>
      <c r="M3483" s="563">
        <f t="shared" si="161"/>
        <v>800.08500000000004</v>
      </c>
      <c r="N3483" s="580"/>
    </row>
    <row r="3484" spans="4:14" x14ac:dyDescent="0.25">
      <c r="D3484" s="559" t="s">
        <v>867</v>
      </c>
      <c r="E3484" s="558" t="s">
        <v>2662</v>
      </c>
      <c r="F3484" s="559">
        <v>500395</v>
      </c>
      <c r="G3484" s="558" t="s">
        <v>2659</v>
      </c>
      <c r="H3484" s="564">
        <v>40015</v>
      </c>
      <c r="I3484" s="563">
        <v>493.35</v>
      </c>
      <c r="J3484" s="563">
        <v>-493.35</v>
      </c>
      <c r="K3484" s="582">
        <f t="shared" si="159"/>
        <v>0</v>
      </c>
      <c r="L3484" s="563">
        <f t="shared" si="160"/>
        <v>0</v>
      </c>
      <c r="M3484" s="563">
        <f t="shared" si="161"/>
        <v>542.68500000000006</v>
      </c>
      <c r="N3484" s="580"/>
    </row>
    <row r="3485" spans="4:14" x14ac:dyDescent="0.25">
      <c r="D3485" s="559" t="s">
        <v>867</v>
      </c>
      <c r="E3485" s="558" t="s">
        <v>2663</v>
      </c>
      <c r="F3485" s="559">
        <v>500396</v>
      </c>
      <c r="G3485" s="558" t="s">
        <v>2659</v>
      </c>
      <c r="H3485" s="564">
        <v>40015</v>
      </c>
      <c r="I3485" s="563">
        <v>688.35</v>
      </c>
      <c r="J3485" s="563">
        <v>-585</v>
      </c>
      <c r="K3485" s="582">
        <f t="shared" si="159"/>
        <v>103.35000000000002</v>
      </c>
      <c r="L3485" s="563">
        <f t="shared" si="160"/>
        <v>113.68500000000003</v>
      </c>
      <c r="M3485" s="563">
        <f t="shared" si="161"/>
        <v>757.18500000000006</v>
      </c>
      <c r="N3485" s="580"/>
    </row>
    <row r="3486" spans="4:14" x14ac:dyDescent="0.25">
      <c r="D3486" s="559" t="s">
        <v>867</v>
      </c>
      <c r="E3486" s="558" t="s">
        <v>2664</v>
      </c>
      <c r="F3486" s="559">
        <v>500397</v>
      </c>
      <c r="G3486" s="558" t="s">
        <v>2665</v>
      </c>
      <c r="H3486" s="564">
        <v>40015</v>
      </c>
      <c r="I3486" s="563">
        <v>220.35</v>
      </c>
      <c r="J3486" s="563">
        <v>-220.35</v>
      </c>
      <c r="K3486" s="582">
        <f t="shared" si="159"/>
        <v>0</v>
      </c>
      <c r="L3486" s="563">
        <f t="shared" si="160"/>
        <v>0</v>
      </c>
      <c r="M3486" s="563">
        <f t="shared" si="161"/>
        <v>242.38500000000002</v>
      </c>
      <c r="N3486" s="580"/>
    </row>
    <row r="3487" spans="4:14" x14ac:dyDescent="0.25">
      <c r="D3487" s="559" t="s">
        <v>867</v>
      </c>
      <c r="E3487" s="558" t="s">
        <v>2666</v>
      </c>
      <c r="F3487" s="559">
        <v>501462</v>
      </c>
      <c r="G3487" s="558" t="s">
        <v>2665</v>
      </c>
      <c r="H3487" s="564">
        <v>40015</v>
      </c>
      <c r="I3487" s="563">
        <v>298.35000000000002</v>
      </c>
      <c r="J3487" s="563">
        <v>-298.35000000000002</v>
      </c>
      <c r="K3487" s="582">
        <f t="shared" si="159"/>
        <v>0</v>
      </c>
      <c r="L3487" s="563">
        <f t="shared" si="160"/>
        <v>0</v>
      </c>
      <c r="M3487" s="563">
        <f t="shared" si="161"/>
        <v>328.18500000000006</v>
      </c>
      <c r="N3487" s="580"/>
    </row>
    <row r="3488" spans="4:14" x14ac:dyDescent="0.25">
      <c r="D3488" s="559" t="s">
        <v>867</v>
      </c>
      <c r="E3488" s="558" t="s">
        <v>2667</v>
      </c>
      <c r="F3488" s="559">
        <v>500398</v>
      </c>
      <c r="G3488" s="558" t="s">
        <v>2665</v>
      </c>
      <c r="H3488" s="564">
        <v>40015</v>
      </c>
      <c r="I3488" s="563">
        <v>337.35</v>
      </c>
      <c r="J3488" s="563">
        <v>-337.35</v>
      </c>
      <c r="K3488" s="582">
        <f t="shared" si="159"/>
        <v>0</v>
      </c>
      <c r="L3488" s="563">
        <f t="shared" si="160"/>
        <v>0</v>
      </c>
      <c r="M3488" s="563">
        <f t="shared" si="161"/>
        <v>371.08500000000004</v>
      </c>
      <c r="N3488" s="580"/>
    </row>
    <row r="3489" spans="4:14" x14ac:dyDescent="0.25">
      <c r="D3489" s="559" t="s">
        <v>867</v>
      </c>
      <c r="E3489" s="558" t="s">
        <v>2668</v>
      </c>
      <c r="F3489" s="559">
        <v>501464</v>
      </c>
      <c r="G3489" s="558" t="s">
        <v>2665</v>
      </c>
      <c r="H3489" s="564">
        <v>40015</v>
      </c>
      <c r="I3489" s="563">
        <v>220.35</v>
      </c>
      <c r="J3489" s="563">
        <v>-220.35</v>
      </c>
      <c r="K3489" s="582">
        <f t="shared" si="159"/>
        <v>0</v>
      </c>
      <c r="L3489" s="563">
        <f t="shared" si="160"/>
        <v>0</v>
      </c>
      <c r="M3489" s="563">
        <f t="shared" si="161"/>
        <v>242.38500000000002</v>
      </c>
      <c r="N3489" s="580"/>
    </row>
    <row r="3490" spans="4:14" x14ac:dyDescent="0.25">
      <c r="D3490" s="559" t="s">
        <v>867</v>
      </c>
      <c r="E3490" s="558" t="s">
        <v>3142</v>
      </c>
      <c r="F3490" s="559">
        <v>501465</v>
      </c>
      <c r="G3490" s="558" t="s">
        <v>2665</v>
      </c>
      <c r="H3490" s="564">
        <v>40015</v>
      </c>
      <c r="I3490" s="563">
        <v>142.35</v>
      </c>
      <c r="J3490" s="563">
        <v>-142.35</v>
      </c>
      <c r="K3490" s="582">
        <f t="shared" si="159"/>
        <v>0</v>
      </c>
      <c r="L3490" s="563">
        <f t="shared" si="160"/>
        <v>0</v>
      </c>
      <c r="M3490" s="563">
        <f t="shared" si="161"/>
        <v>156.58500000000001</v>
      </c>
      <c r="N3490" s="580"/>
    </row>
    <row r="3491" spans="4:14" x14ac:dyDescent="0.25">
      <c r="D3491" s="559" t="s">
        <v>867</v>
      </c>
      <c r="E3491" s="558" t="s">
        <v>3143</v>
      </c>
      <c r="F3491" s="559">
        <v>500399</v>
      </c>
      <c r="G3491" s="558" t="s">
        <v>3144</v>
      </c>
      <c r="H3491" s="564">
        <v>40015</v>
      </c>
      <c r="I3491" s="563">
        <v>337.35</v>
      </c>
      <c r="J3491" s="563">
        <v>-337.35</v>
      </c>
      <c r="K3491" s="582">
        <f t="shared" si="159"/>
        <v>0</v>
      </c>
      <c r="L3491" s="563">
        <f t="shared" si="160"/>
        <v>0</v>
      </c>
      <c r="M3491" s="563">
        <f t="shared" si="161"/>
        <v>371.08500000000004</v>
      </c>
      <c r="N3491" s="580"/>
    </row>
    <row r="3492" spans="4:14" x14ac:dyDescent="0.25">
      <c r="D3492" s="559" t="s">
        <v>867</v>
      </c>
      <c r="E3492" s="558" t="s">
        <v>3145</v>
      </c>
      <c r="F3492" s="559">
        <v>501466</v>
      </c>
      <c r="G3492" s="558" t="s">
        <v>3144</v>
      </c>
      <c r="H3492" s="564">
        <v>40015</v>
      </c>
      <c r="I3492" s="563">
        <v>493.35</v>
      </c>
      <c r="J3492" s="563">
        <v>-493.35</v>
      </c>
      <c r="K3492" s="582">
        <f t="shared" si="159"/>
        <v>0</v>
      </c>
      <c r="L3492" s="563">
        <f t="shared" si="160"/>
        <v>0</v>
      </c>
      <c r="M3492" s="563">
        <f t="shared" si="161"/>
        <v>542.68500000000006</v>
      </c>
      <c r="N3492" s="580"/>
    </row>
    <row r="3493" spans="4:14" x14ac:dyDescent="0.25">
      <c r="D3493" s="559" t="s">
        <v>867</v>
      </c>
      <c r="E3493" s="558" t="s">
        <v>3146</v>
      </c>
      <c r="F3493" s="559">
        <v>500400</v>
      </c>
      <c r="G3493" s="558" t="s">
        <v>3144</v>
      </c>
      <c r="H3493" s="564">
        <v>40015</v>
      </c>
      <c r="I3493" s="563">
        <v>337.35</v>
      </c>
      <c r="J3493" s="563">
        <v>-337.35</v>
      </c>
      <c r="K3493" s="582">
        <f t="shared" si="159"/>
        <v>0</v>
      </c>
      <c r="L3493" s="563">
        <f t="shared" si="160"/>
        <v>0</v>
      </c>
      <c r="M3493" s="563">
        <f t="shared" si="161"/>
        <v>371.08500000000004</v>
      </c>
      <c r="N3493" s="580"/>
    </row>
    <row r="3494" spans="4:14" x14ac:dyDescent="0.25">
      <c r="D3494" s="559" t="s">
        <v>867</v>
      </c>
      <c r="E3494" s="558" t="s">
        <v>3147</v>
      </c>
      <c r="F3494" s="559">
        <v>500402</v>
      </c>
      <c r="G3494" s="558" t="s">
        <v>3144</v>
      </c>
      <c r="H3494" s="564">
        <v>40015</v>
      </c>
      <c r="I3494" s="563">
        <v>337.35</v>
      </c>
      <c r="J3494" s="563">
        <v>-337.35</v>
      </c>
      <c r="K3494" s="582">
        <f t="shared" si="159"/>
        <v>0</v>
      </c>
      <c r="L3494" s="563">
        <f t="shared" si="160"/>
        <v>0</v>
      </c>
      <c r="M3494" s="563">
        <f t="shared" si="161"/>
        <v>371.08500000000004</v>
      </c>
      <c r="N3494" s="580"/>
    </row>
    <row r="3495" spans="4:14" x14ac:dyDescent="0.25">
      <c r="D3495" s="559" t="s">
        <v>867</v>
      </c>
      <c r="E3495" s="558" t="s">
        <v>3148</v>
      </c>
      <c r="F3495" s="559">
        <v>500403</v>
      </c>
      <c r="G3495" s="558" t="s">
        <v>3144</v>
      </c>
      <c r="H3495" s="564">
        <v>40015</v>
      </c>
      <c r="I3495" s="563">
        <v>298.35000000000002</v>
      </c>
      <c r="J3495" s="563">
        <v>-298.35000000000002</v>
      </c>
      <c r="K3495" s="582">
        <f t="shared" si="159"/>
        <v>0</v>
      </c>
      <c r="L3495" s="563">
        <f t="shared" si="160"/>
        <v>0</v>
      </c>
      <c r="M3495" s="563">
        <f t="shared" si="161"/>
        <v>328.18500000000006</v>
      </c>
      <c r="N3495" s="580"/>
    </row>
    <row r="3496" spans="4:14" x14ac:dyDescent="0.25">
      <c r="D3496" s="559" t="s">
        <v>867</v>
      </c>
      <c r="E3496" s="558" t="s">
        <v>3149</v>
      </c>
      <c r="F3496" s="559">
        <v>501471</v>
      </c>
      <c r="G3496" s="558" t="s">
        <v>3150</v>
      </c>
      <c r="H3496" s="564">
        <v>40015</v>
      </c>
      <c r="I3496" s="563">
        <v>337.35</v>
      </c>
      <c r="J3496" s="563">
        <v>-337.35</v>
      </c>
      <c r="K3496" s="582">
        <f t="shared" si="159"/>
        <v>0</v>
      </c>
      <c r="L3496" s="563">
        <f t="shared" si="160"/>
        <v>0</v>
      </c>
      <c r="M3496" s="563">
        <f t="shared" si="161"/>
        <v>371.08500000000004</v>
      </c>
      <c r="N3496" s="580"/>
    </row>
    <row r="3497" spans="4:14" x14ac:dyDescent="0.25">
      <c r="D3497" s="559" t="s">
        <v>867</v>
      </c>
      <c r="E3497" s="558" t="s">
        <v>3151</v>
      </c>
      <c r="F3497" s="559">
        <v>500404</v>
      </c>
      <c r="G3497" s="558" t="s">
        <v>3150</v>
      </c>
      <c r="H3497" s="564">
        <v>40015</v>
      </c>
      <c r="I3497" s="563">
        <v>688.35</v>
      </c>
      <c r="J3497" s="563">
        <v>-585</v>
      </c>
      <c r="K3497" s="582">
        <f t="shared" ref="K3497:K3560" si="162">+I3497+J3497</f>
        <v>103.35000000000002</v>
      </c>
      <c r="L3497" s="563">
        <f t="shared" ref="L3497:L3560" si="163">+K3497*1.1</f>
        <v>113.68500000000003</v>
      </c>
      <c r="M3497" s="563">
        <f t="shared" ref="M3497:M3560" si="164">+I3497*1.1</f>
        <v>757.18500000000006</v>
      </c>
      <c r="N3497" s="580"/>
    </row>
    <row r="3498" spans="4:14" x14ac:dyDescent="0.25">
      <c r="D3498" s="559" t="s">
        <v>867</v>
      </c>
      <c r="E3498" s="558" t="s">
        <v>3152</v>
      </c>
      <c r="F3498" s="559">
        <v>500405</v>
      </c>
      <c r="G3498" s="558" t="s">
        <v>3150</v>
      </c>
      <c r="H3498" s="564">
        <v>40015</v>
      </c>
      <c r="I3498" s="563">
        <v>688.35</v>
      </c>
      <c r="J3498" s="563">
        <v>-585</v>
      </c>
      <c r="K3498" s="582">
        <f t="shared" si="162"/>
        <v>103.35000000000002</v>
      </c>
      <c r="L3498" s="563">
        <f t="shared" si="163"/>
        <v>113.68500000000003</v>
      </c>
      <c r="M3498" s="563">
        <f t="shared" si="164"/>
        <v>757.18500000000006</v>
      </c>
      <c r="N3498" s="580"/>
    </row>
    <row r="3499" spans="4:14" x14ac:dyDescent="0.25">
      <c r="D3499" s="559" t="s">
        <v>867</v>
      </c>
      <c r="E3499" s="558" t="s">
        <v>3153</v>
      </c>
      <c r="F3499" s="559">
        <v>500406</v>
      </c>
      <c r="G3499" s="558" t="s">
        <v>3150</v>
      </c>
      <c r="H3499" s="564">
        <v>40015</v>
      </c>
      <c r="I3499" s="563">
        <v>688.35</v>
      </c>
      <c r="J3499" s="563">
        <v>-585</v>
      </c>
      <c r="K3499" s="582">
        <f t="shared" si="162"/>
        <v>103.35000000000002</v>
      </c>
      <c r="L3499" s="563">
        <f t="shared" si="163"/>
        <v>113.68500000000003</v>
      </c>
      <c r="M3499" s="563">
        <f t="shared" si="164"/>
        <v>757.18500000000006</v>
      </c>
      <c r="N3499" s="580"/>
    </row>
    <row r="3500" spans="4:14" x14ac:dyDescent="0.25">
      <c r="D3500" s="559" t="s">
        <v>867</v>
      </c>
      <c r="E3500" s="558" t="s">
        <v>3154</v>
      </c>
      <c r="F3500" s="559">
        <v>501474</v>
      </c>
      <c r="G3500" s="558" t="s">
        <v>3150</v>
      </c>
      <c r="H3500" s="564">
        <v>40015</v>
      </c>
      <c r="I3500" s="563">
        <v>220.35</v>
      </c>
      <c r="J3500" s="563">
        <v>-220.35</v>
      </c>
      <c r="K3500" s="582">
        <f t="shared" si="162"/>
        <v>0</v>
      </c>
      <c r="L3500" s="563">
        <f t="shared" si="163"/>
        <v>0</v>
      </c>
      <c r="M3500" s="563">
        <f t="shared" si="164"/>
        <v>242.38500000000002</v>
      </c>
      <c r="N3500" s="580"/>
    </row>
    <row r="3501" spans="4:14" x14ac:dyDescent="0.25">
      <c r="D3501" s="559" t="s">
        <v>867</v>
      </c>
      <c r="E3501" s="558" t="s">
        <v>3155</v>
      </c>
      <c r="F3501" s="559">
        <v>501480</v>
      </c>
      <c r="G3501" s="558" t="s">
        <v>3156</v>
      </c>
      <c r="H3501" s="564">
        <v>40015</v>
      </c>
      <c r="I3501" s="563">
        <v>298.35000000000002</v>
      </c>
      <c r="J3501" s="563">
        <v>-298.35000000000002</v>
      </c>
      <c r="K3501" s="582">
        <f t="shared" si="162"/>
        <v>0</v>
      </c>
      <c r="L3501" s="563">
        <f t="shared" si="163"/>
        <v>0</v>
      </c>
      <c r="M3501" s="563">
        <f t="shared" si="164"/>
        <v>328.18500000000006</v>
      </c>
      <c r="N3501" s="580"/>
    </row>
    <row r="3502" spans="4:14" x14ac:dyDescent="0.25">
      <c r="D3502" s="559" t="s">
        <v>867</v>
      </c>
      <c r="E3502" s="558" t="s">
        <v>3157</v>
      </c>
      <c r="F3502" s="559">
        <v>500401</v>
      </c>
      <c r="G3502" s="558" t="s">
        <v>3156</v>
      </c>
      <c r="H3502" s="564">
        <v>40015</v>
      </c>
      <c r="I3502" s="563">
        <v>493.35</v>
      </c>
      <c r="J3502" s="563">
        <v>-493.35</v>
      </c>
      <c r="K3502" s="582">
        <f t="shared" si="162"/>
        <v>0</v>
      </c>
      <c r="L3502" s="563">
        <f t="shared" si="163"/>
        <v>0</v>
      </c>
      <c r="M3502" s="563">
        <f t="shared" si="164"/>
        <v>542.68500000000006</v>
      </c>
      <c r="N3502" s="580"/>
    </row>
    <row r="3503" spans="4:14" x14ac:dyDescent="0.25">
      <c r="D3503" s="559" t="s">
        <v>867</v>
      </c>
      <c r="E3503" s="558" t="s">
        <v>3158</v>
      </c>
      <c r="F3503" s="559">
        <v>501486</v>
      </c>
      <c r="G3503" s="558" t="s">
        <v>3156</v>
      </c>
      <c r="H3503" s="564">
        <v>40015</v>
      </c>
      <c r="I3503" s="563">
        <v>415.35</v>
      </c>
      <c r="J3503" s="563">
        <v>-415.35</v>
      </c>
      <c r="K3503" s="582">
        <f t="shared" si="162"/>
        <v>0</v>
      </c>
      <c r="L3503" s="563">
        <f t="shared" si="163"/>
        <v>0</v>
      </c>
      <c r="M3503" s="563">
        <f t="shared" si="164"/>
        <v>456.88500000000005</v>
      </c>
      <c r="N3503" s="580"/>
    </row>
    <row r="3504" spans="4:14" x14ac:dyDescent="0.25">
      <c r="D3504" s="559" t="s">
        <v>867</v>
      </c>
      <c r="E3504" s="558" t="s">
        <v>3159</v>
      </c>
      <c r="F3504" s="559">
        <v>500407</v>
      </c>
      <c r="G3504" s="558" t="s">
        <v>3156</v>
      </c>
      <c r="H3504" s="564">
        <v>40015</v>
      </c>
      <c r="I3504" s="563">
        <v>220.35</v>
      </c>
      <c r="J3504" s="563">
        <v>-220.35</v>
      </c>
      <c r="K3504" s="582">
        <f t="shared" si="162"/>
        <v>0</v>
      </c>
      <c r="L3504" s="563">
        <f t="shared" si="163"/>
        <v>0</v>
      </c>
      <c r="M3504" s="563">
        <f t="shared" si="164"/>
        <v>242.38500000000002</v>
      </c>
      <c r="N3504" s="580"/>
    </row>
    <row r="3505" spans="4:16" x14ac:dyDescent="0.25">
      <c r="D3505" s="559" t="s">
        <v>867</v>
      </c>
      <c r="E3505" s="558" t="s">
        <v>3160</v>
      </c>
      <c r="F3505" s="559">
        <v>500408</v>
      </c>
      <c r="G3505" s="558" t="s">
        <v>3156</v>
      </c>
      <c r="H3505" s="564">
        <v>40015</v>
      </c>
      <c r="I3505" s="563">
        <v>493.35</v>
      </c>
      <c r="J3505" s="563">
        <v>-493.35</v>
      </c>
      <c r="K3505" s="582">
        <f t="shared" si="162"/>
        <v>0</v>
      </c>
      <c r="L3505" s="563">
        <f t="shared" si="163"/>
        <v>0</v>
      </c>
      <c r="M3505" s="563">
        <f t="shared" si="164"/>
        <v>542.68500000000006</v>
      </c>
      <c r="N3505" s="580"/>
    </row>
    <row r="3506" spans="4:16" x14ac:dyDescent="0.25">
      <c r="D3506" s="559" t="s">
        <v>867</v>
      </c>
      <c r="E3506" s="558" t="s">
        <v>3161</v>
      </c>
      <c r="F3506" s="559">
        <v>500409</v>
      </c>
      <c r="G3506" s="558" t="s">
        <v>3162</v>
      </c>
      <c r="H3506" s="564">
        <v>40015</v>
      </c>
      <c r="I3506" s="563">
        <v>688.35</v>
      </c>
      <c r="J3506" s="563">
        <v>-585</v>
      </c>
      <c r="K3506" s="582">
        <f t="shared" si="162"/>
        <v>103.35000000000002</v>
      </c>
      <c r="L3506" s="563">
        <f t="shared" si="163"/>
        <v>113.68500000000003</v>
      </c>
      <c r="M3506" s="563">
        <f t="shared" si="164"/>
        <v>757.18500000000006</v>
      </c>
      <c r="N3506" s="580"/>
    </row>
    <row r="3507" spans="4:16" x14ac:dyDescent="0.25">
      <c r="D3507" s="559" t="s">
        <v>867</v>
      </c>
      <c r="E3507" s="558" t="s">
        <v>1568</v>
      </c>
      <c r="F3507" s="559">
        <v>500410</v>
      </c>
      <c r="G3507" s="558" t="s">
        <v>3162</v>
      </c>
      <c r="H3507" s="564">
        <v>40015</v>
      </c>
      <c r="I3507" s="563">
        <v>688.35</v>
      </c>
      <c r="J3507" s="563">
        <v>-585</v>
      </c>
      <c r="K3507" s="582">
        <f t="shared" si="162"/>
        <v>103.35000000000002</v>
      </c>
      <c r="L3507" s="563">
        <f t="shared" si="163"/>
        <v>113.68500000000003</v>
      </c>
      <c r="M3507" s="563">
        <f t="shared" si="164"/>
        <v>757.18500000000006</v>
      </c>
      <c r="N3507" s="580"/>
    </row>
    <row r="3508" spans="4:16" x14ac:dyDescent="0.25">
      <c r="D3508" s="559" t="s">
        <v>867</v>
      </c>
      <c r="E3508" s="558" t="s">
        <v>1569</v>
      </c>
      <c r="F3508" s="559">
        <v>500411</v>
      </c>
      <c r="G3508" s="558" t="s">
        <v>3162</v>
      </c>
      <c r="H3508" s="564">
        <v>40015</v>
      </c>
      <c r="I3508" s="563">
        <v>688.35</v>
      </c>
      <c r="J3508" s="563">
        <v>-585</v>
      </c>
      <c r="K3508" s="582">
        <f t="shared" si="162"/>
        <v>103.35000000000002</v>
      </c>
      <c r="L3508" s="563">
        <f t="shared" si="163"/>
        <v>113.68500000000003</v>
      </c>
      <c r="M3508" s="563">
        <f t="shared" si="164"/>
        <v>757.18500000000006</v>
      </c>
      <c r="N3508" s="580"/>
    </row>
    <row r="3509" spans="4:16" x14ac:dyDescent="0.25">
      <c r="D3509" s="559" t="s">
        <v>867</v>
      </c>
      <c r="E3509" s="558" t="s">
        <v>1570</v>
      </c>
      <c r="F3509" s="559">
        <v>501072</v>
      </c>
      <c r="G3509" s="558" t="s">
        <v>3162</v>
      </c>
      <c r="H3509" s="564">
        <v>40015</v>
      </c>
      <c r="I3509" s="563">
        <v>64.349999999999994</v>
      </c>
      <c r="J3509" s="563">
        <v>-64.349999999999994</v>
      </c>
      <c r="K3509" s="582">
        <f t="shared" si="162"/>
        <v>0</v>
      </c>
      <c r="L3509" s="563">
        <f t="shared" si="163"/>
        <v>0</v>
      </c>
      <c r="M3509" s="563">
        <f t="shared" si="164"/>
        <v>70.784999999999997</v>
      </c>
      <c r="N3509" s="580"/>
    </row>
    <row r="3510" spans="4:16" x14ac:dyDescent="0.25">
      <c r="D3510" s="559" t="s">
        <v>867</v>
      </c>
      <c r="E3510" s="558" t="s">
        <v>1571</v>
      </c>
      <c r="F3510" s="559">
        <v>502046</v>
      </c>
      <c r="G3510" s="558" t="s">
        <v>3162</v>
      </c>
      <c r="H3510" s="564">
        <v>40015</v>
      </c>
      <c r="I3510" s="563">
        <v>688.35</v>
      </c>
      <c r="J3510" s="563">
        <v>-585</v>
      </c>
      <c r="K3510" s="582">
        <f t="shared" si="162"/>
        <v>103.35000000000002</v>
      </c>
      <c r="L3510" s="563">
        <f t="shared" si="163"/>
        <v>113.68500000000003</v>
      </c>
      <c r="M3510" s="563">
        <f t="shared" si="164"/>
        <v>757.18500000000006</v>
      </c>
      <c r="N3510" s="580"/>
    </row>
    <row r="3511" spans="4:16" x14ac:dyDescent="0.25">
      <c r="D3511" s="559" t="s">
        <v>867</v>
      </c>
      <c r="E3511" s="558" t="s">
        <v>1572</v>
      </c>
      <c r="F3511" s="559">
        <v>501022</v>
      </c>
      <c r="G3511" s="558" t="s">
        <v>887</v>
      </c>
      <c r="H3511" s="564">
        <v>40015</v>
      </c>
      <c r="I3511" s="563">
        <v>5251.35</v>
      </c>
      <c r="J3511" s="563">
        <v>-585</v>
      </c>
      <c r="K3511" s="582">
        <f t="shared" si="162"/>
        <v>4666.3500000000004</v>
      </c>
      <c r="L3511" s="563">
        <f t="shared" si="163"/>
        <v>5132.9850000000006</v>
      </c>
      <c r="M3511" s="563">
        <f t="shared" si="164"/>
        <v>5776.4850000000006</v>
      </c>
      <c r="N3511" s="580"/>
    </row>
    <row r="3512" spans="4:16" x14ac:dyDescent="0.25">
      <c r="D3512" s="559" t="s">
        <v>867</v>
      </c>
      <c r="E3512" s="558" t="s">
        <v>4848</v>
      </c>
      <c r="F3512" s="559">
        <v>500018</v>
      </c>
      <c r="G3512" s="558" t="s">
        <v>887</v>
      </c>
      <c r="H3512" s="564">
        <v>40015</v>
      </c>
      <c r="I3512" s="563">
        <v>1294.8</v>
      </c>
      <c r="J3512" s="563">
        <v>-585</v>
      </c>
      <c r="K3512" s="563">
        <f t="shared" si="162"/>
        <v>709.8</v>
      </c>
      <c r="L3512" s="563">
        <f t="shared" si="163"/>
        <v>780.78</v>
      </c>
      <c r="M3512" s="563">
        <f t="shared" si="164"/>
        <v>1424.28</v>
      </c>
      <c r="N3512" s="580"/>
      <c r="O3512" s="558"/>
      <c r="P3512" s="564"/>
    </row>
    <row r="3513" spans="4:16" x14ac:dyDescent="0.25">
      <c r="D3513" s="559" t="s">
        <v>867</v>
      </c>
      <c r="E3513" s="558" t="s">
        <v>4849</v>
      </c>
      <c r="F3513" s="559">
        <v>500016</v>
      </c>
      <c r="G3513" s="558" t="s">
        <v>887</v>
      </c>
      <c r="H3513" s="564">
        <v>40015</v>
      </c>
      <c r="I3513" s="563">
        <v>362.7</v>
      </c>
      <c r="J3513" s="563">
        <v>-362.7</v>
      </c>
      <c r="K3513" s="563">
        <f t="shared" si="162"/>
        <v>0</v>
      </c>
      <c r="L3513" s="563">
        <f t="shared" si="163"/>
        <v>0</v>
      </c>
      <c r="M3513" s="563">
        <f t="shared" si="164"/>
        <v>398.97</v>
      </c>
      <c r="N3513" s="580"/>
      <c r="O3513" s="558"/>
      <c r="P3513" s="564"/>
    </row>
    <row r="3514" spans="4:16" x14ac:dyDescent="0.25">
      <c r="D3514" s="559" t="s">
        <v>867</v>
      </c>
      <c r="E3514" s="558" t="s">
        <v>4850</v>
      </c>
      <c r="F3514" s="559">
        <v>500507</v>
      </c>
      <c r="G3514" s="558" t="s">
        <v>889</v>
      </c>
      <c r="H3514" s="564">
        <v>40015</v>
      </c>
      <c r="I3514" s="563">
        <v>66.3</v>
      </c>
      <c r="J3514" s="563">
        <v>-66.3</v>
      </c>
      <c r="K3514" s="563">
        <f t="shared" si="162"/>
        <v>0</v>
      </c>
      <c r="L3514" s="563">
        <f t="shared" si="163"/>
        <v>0</v>
      </c>
      <c r="M3514" s="563">
        <f t="shared" si="164"/>
        <v>72.930000000000007</v>
      </c>
      <c r="N3514" s="580"/>
      <c r="O3514" s="558"/>
      <c r="P3514" s="564"/>
    </row>
    <row r="3515" spans="4:16" x14ac:dyDescent="0.25">
      <c r="D3515" s="559" t="s">
        <v>867</v>
      </c>
      <c r="E3515" s="558" t="s">
        <v>1573</v>
      </c>
      <c r="F3515" s="559">
        <v>502095</v>
      </c>
      <c r="G3515" s="558" t="s">
        <v>889</v>
      </c>
      <c r="H3515" s="564">
        <v>40015</v>
      </c>
      <c r="I3515" s="563">
        <v>922.35</v>
      </c>
      <c r="J3515" s="563">
        <v>-585</v>
      </c>
      <c r="K3515" s="582">
        <f t="shared" si="162"/>
        <v>337.35</v>
      </c>
      <c r="L3515" s="563">
        <f t="shared" si="163"/>
        <v>371.08500000000004</v>
      </c>
      <c r="M3515" s="563">
        <f t="shared" si="164"/>
        <v>1014.5850000000002</v>
      </c>
      <c r="N3515" s="580"/>
    </row>
    <row r="3516" spans="4:16" x14ac:dyDescent="0.25">
      <c r="D3516" s="559" t="s">
        <v>867</v>
      </c>
      <c r="E3516" s="558" t="s">
        <v>4851</v>
      </c>
      <c r="F3516" s="559">
        <v>500006</v>
      </c>
      <c r="G3516" s="558" t="s">
        <v>889</v>
      </c>
      <c r="H3516" s="564">
        <v>40015</v>
      </c>
      <c r="I3516" s="563">
        <v>25.35</v>
      </c>
      <c r="J3516" s="563">
        <v>-25.35</v>
      </c>
      <c r="K3516" s="563">
        <f t="shared" si="162"/>
        <v>0</v>
      </c>
      <c r="L3516" s="563">
        <f t="shared" si="163"/>
        <v>0</v>
      </c>
      <c r="M3516" s="563">
        <f t="shared" si="164"/>
        <v>27.885000000000005</v>
      </c>
      <c r="N3516" s="580"/>
      <c r="O3516" s="558"/>
      <c r="P3516" s="564"/>
    </row>
    <row r="3517" spans="4:16" x14ac:dyDescent="0.25">
      <c r="D3517" s="559" t="s">
        <v>867</v>
      </c>
      <c r="E3517" s="558" t="s">
        <v>4852</v>
      </c>
      <c r="F3517" s="559">
        <v>500006</v>
      </c>
      <c r="G3517" s="558" t="s">
        <v>964</v>
      </c>
      <c r="H3517" s="564">
        <v>40015</v>
      </c>
      <c r="I3517" s="563">
        <v>1688.7</v>
      </c>
      <c r="J3517" s="563">
        <v>-585</v>
      </c>
      <c r="K3517" s="563">
        <f t="shared" si="162"/>
        <v>1103.7</v>
      </c>
      <c r="L3517" s="563">
        <f t="shared" si="163"/>
        <v>1214.0700000000002</v>
      </c>
      <c r="M3517" s="563">
        <f t="shared" si="164"/>
        <v>1857.5700000000002</v>
      </c>
      <c r="N3517" s="580"/>
      <c r="O3517" s="558"/>
      <c r="P3517" s="564"/>
    </row>
    <row r="3518" spans="4:16" x14ac:dyDescent="0.25">
      <c r="D3518" s="559" t="s">
        <v>867</v>
      </c>
      <c r="E3518" s="558" t="s">
        <v>4853</v>
      </c>
      <c r="F3518" s="559">
        <v>500507</v>
      </c>
      <c r="G3518" s="558" t="s">
        <v>964</v>
      </c>
      <c r="H3518" s="564">
        <v>40015</v>
      </c>
      <c r="I3518" s="563">
        <v>1099.8</v>
      </c>
      <c r="J3518" s="563">
        <v>-585</v>
      </c>
      <c r="K3518" s="563">
        <f t="shared" si="162"/>
        <v>514.79999999999995</v>
      </c>
      <c r="L3518" s="563">
        <f t="shared" si="163"/>
        <v>566.28</v>
      </c>
      <c r="M3518" s="563">
        <f t="shared" si="164"/>
        <v>1209.78</v>
      </c>
      <c r="N3518" s="580"/>
      <c r="O3518" s="558"/>
      <c r="P3518" s="564"/>
    </row>
    <row r="3519" spans="4:16" x14ac:dyDescent="0.25">
      <c r="D3519" s="559" t="s">
        <v>867</v>
      </c>
      <c r="E3519" s="558" t="s">
        <v>4854</v>
      </c>
      <c r="F3519" s="559">
        <v>500016</v>
      </c>
      <c r="G3519" s="558" t="s">
        <v>964</v>
      </c>
      <c r="H3519" s="564">
        <v>40015</v>
      </c>
      <c r="I3519" s="563">
        <v>351</v>
      </c>
      <c r="J3519" s="563">
        <v>-351</v>
      </c>
      <c r="K3519" s="563">
        <f t="shared" si="162"/>
        <v>0</v>
      </c>
      <c r="L3519" s="563">
        <f t="shared" si="163"/>
        <v>0</v>
      </c>
      <c r="M3519" s="563">
        <f t="shared" si="164"/>
        <v>386.1</v>
      </c>
      <c r="N3519" s="580"/>
      <c r="O3519" s="558"/>
      <c r="P3519" s="564"/>
    </row>
    <row r="3520" spans="4:16" x14ac:dyDescent="0.25">
      <c r="D3520" s="559" t="s">
        <v>867</v>
      </c>
      <c r="E3520" s="558" t="s">
        <v>1574</v>
      </c>
      <c r="F3520" s="559">
        <v>501345</v>
      </c>
      <c r="G3520" s="558" t="s">
        <v>964</v>
      </c>
      <c r="H3520" s="564">
        <v>40015</v>
      </c>
      <c r="I3520" s="563">
        <v>865.8</v>
      </c>
      <c r="J3520" s="563">
        <v>-585</v>
      </c>
      <c r="K3520" s="582">
        <f t="shared" si="162"/>
        <v>280.79999999999995</v>
      </c>
      <c r="L3520" s="563">
        <f t="shared" si="163"/>
        <v>308.88</v>
      </c>
      <c r="M3520" s="563">
        <f t="shared" si="164"/>
        <v>952.38</v>
      </c>
      <c r="N3520" s="580"/>
    </row>
    <row r="3521" spans="4:16" x14ac:dyDescent="0.25">
      <c r="D3521" s="559" t="s">
        <v>867</v>
      </c>
      <c r="E3521" s="558" t="s">
        <v>1575</v>
      </c>
      <c r="F3521" s="559">
        <v>502211</v>
      </c>
      <c r="G3521" s="558" t="s">
        <v>966</v>
      </c>
      <c r="H3521" s="564">
        <v>40015</v>
      </c>
      <c r="I3521" s="563">
        <v>844.35</v>
      </c>
      <c r="J3521" s="563">
        <v>-585</v>
      </c>
      <c r="K3521" s="582">
        <f t="shared" si="162"/>
        <v>259.35000000000002</v>
      </c>
      <c r="L3521" s="563">
        <f t="shared" si="163"/>
        <v>285.28500000000003</v>
      </c>
      <c r="M3521" s="563">
        <f t="shared" si="164"/>
        <v>928.78500000000008</v>
      </c>
      <c r="N3521" s="580"/>
    </row>
    <row r="3522" spans="4:16" x14ac:dyDescent="0.25">
      <c r="D3522" s="559" t="s">
        <v>867</v>
      </c>
      <c r="E3522" s="558" t="s">
        <v>1576</v>
      </c>
      <c r="F3522" s="559">
        <v>502211</v>
      </c>
      <c r="G3522" s="558" t="s">
        <v>966</v>
      </c>
      <c r="H3522" s="564">
        <v>40015</v>
      </c>
      <c r="I3522" s="563">
        <v>56.55</v>
      </c>
      <c r="J3522" s="563">
        <v>-56.55</v>
      </c>
      <c r="K3522" s="582">
        <f t="shared" si="162"/>
        <v>0</v>
      </c>
      <c r="L3522" s="563">
        <f t="shared" si="163"/>
        <v>0</v>
      </c>
      <c r="M3522" s="563">
        <f t="shared" si="164"/>
        <v>62.205000000000005</v>
      </c>
      <c r="N3522" s="580"/>
    </row>
    <row r="3523" spans="4:16" x14ac:dyDescent="0.25">
      <c r="D3523" s="559" t="s">
        <v>867</v>
      </c>
      <c r="E3523" s="558" t="s">
        <v>1577</v>
      </c>
      <c r="F3523" s="559">
        <v>502204</v>
      </c>
      <c r="G3523" s="558" t="s">
        <v>966</v>
      </c>
      <c r="H3523" s="564">
        <v>40015</v>
      </c>
      <c r="I3523" s="563">
        <v>25.35</v>
      </c>
      <c r="J3523" s="563">
        <v>-25.35</v>
      </c>
      <c r="K3523" s="582">
        <f t="shared" si="162"/>
        <v>0</v>
      </c>
      <c r="L3523" s="563">
        <f t="shared" si="163"/>
        <v>0</v>
      </c>
      <c r="M3523" s="563">
        <f t="shared" si="164"/>
        <v>27.885000000000005</v>
      </c>
      <c r="N3523" s="580"/>
    </row>
    <row r="3524" spans="4:16" x14ac:dyDescent="0.25">
      <c r="D3524" s="559" t="s">
        <v>867</v>
      </c>
      <c r="E3524" s="558" t="s">
        <v>1578</v>
      </c>
      <c r="F3524" s="559">
        <v>502204</v>
      </c>
      <c r="G3524" s="558" t="s">
        <v>966</v>
      </c>
      <c r="H3524" s="564">
        <v>40015</v>
      </c>
      <c r="I3524" s="563">
        <v>25.35</v>
      </c>
      <c r="J3524" s="563">
        <v>-25.35</v>
      </c>
      <c r="K3524" s="582">
        <f t="shared" si="162"/>
        <v>0</v>
      </c>
      <c r="L3524" s="563">
        <f t="shared" si="163"/>
        <v>0</v>
      </c>
      <c r="M3524" s="563">
        <f t="shared" si="164"/>
        <v>27.885000000000005</v>
      </c>
      <c r="N3524" s="580"/>
    </row>
    <row r="3525" spans="4:16" x14ac:dyDescent="0.25">
      <c r="D3525" s="559" t="s">
        <v>867</v>
      </c>
      <c r="E3525" s="558" t="s">
        <v>1579</v>
      </c>
      <c r="F3525" s="559">
        <v>502211</v>
      </c>
      <c r="G3525" s="558" t="s">
        <v>970</v>
      </c>
      <c r="H3525" s="564">
        <v>40015</v>
      </c>
      <c r="I3525" s="563">
        <v>35.1</v>
      </c>
      <c r="J3525" s="563">
        <v>-35.1</v>
      </c>
      <c r="K3525" s="582">
        <f t="shared" si="162"/>
        <v>0</v>
      </c>
      <c r="L3525" s="563">
        <f t="shared" si="163"/>
        <v>0</v>
      </c>
      <c r="M3525" s="563">
        <f t="shared" si="164"/>
        <v>38.610000000000007</v>
      </c>
      <c r="N3525" s="580"/>
    </row>
    <row r="3526" spans="4:16" x14ac:dyDescent="0.25">
      <c r="D3526" s="559" t="s">
        <v>867</v>
      </c>
      <c r="E3526" s="558" t="s">
        <v>1580</v>
      </c>
      <c r="F3526" s="559">
        <v>502152</v>
      </c>
      <c r="G3526" s="558" t="s">
        <v>970</v>
      </c>
      <c r="H3526" s="564">
        <v>40015</v>
      </c>
      <c r="I3526" s="563">
        <v>25.35</v>
      </c>
      <c r="J3526" s="563">
        <v>-25.35</v>
      </c>
      <c r="K3526" s="582">
        <f t="shared" si="162"/>
        <v>0</v>
      </c>
      <c r="L3526" s="563">
        <f t="shared" si="163"/>
        <v>0</v>
      </c>
      <c r="M3526" s="563">
        <f t="shared" si="164"/>
        <v>27.885000000000005</v>
      </c>
      <c r="N3526" s="580"/>
    </row>
    <row r="3527" spans="4:16" x14ac:dyDescent="0.25">
      <c r="D3527" s="559" t="s">
        <v>867</v>
      </c>
      <c r="E3527" s="558" t="s">
        <v>1581</v>
      </c>
      <c r="F3527" s="559">
        <v>502153</v>
      </c>
      <c r="G3527" s="558" t="s">
        <v>970</v>
      </c>
      <c r="H3527" s="564">
        <v>40015</v>
      </c>
      <c r="I3527" s="563">
        <v>25.35</v>
      </c>
      <c r="J3527" s="563">
        <v>-25.35</v>
      </c>
      <c r="K3527" s="582">
        <f t="shared" si="162"/>
        <v>0</v>
      </c>
      <c r="L3527" s="563">
        <f t="shared" si="163"/>
        <v>0</v>
      </c>
      <c r="M3527" s="563">
        <f t="shared" si="164"/>
        <v>27.885000000000005</v>
      </c>
      <c r="N3527" s="580"/>
    </row>
    <row r="3528" spans="4:16" x14ac:dyDescent="0.25">
      <c r="D3528" s="559" t="s">
        <v>867</v>
      </c>
      <c r="E3528" s="558" t="s">
        <v>1582</v>
      </c>
      <c r="F3528" s="559">
        <v>512194</v>
      </c>
      <c r="G3528" s="558" t="s">
        <v>970</v>
      </c>
      <c r="H3528" s="564">
        <v>40015</v>
      </c>
      <c r="I3528" s="563">
        <v>2677.35</v>
      </c>
      <c r="J3528" s="563">
        <v>-585</v>
      </c>
      <c r="K3528" s="582">
        <f t="shared" si="162"/>
        <v>2092.35</v>
      </c>
      <c r="L3528" s="563">
        <f t="shared" si="163"/>
        <v>2301.585</v>
      </c>
      <c r="M3528" s="563">
        <f t="shared" si="164"/>
        <v>2945.085</v>
      </c>
      <c r="N3528" s="580"/>
    </row>
    <row r="3529" spans="4:16" x14ac:dyDescent="0.25">
      <c r="D3529" s="559" t="s">
        <v>867</v>
      </c>
      <c r="E3529" s="558" t="s">
        <v>4855</v>
      </c>
      <c r="F3529" s="559">
        <v>502130</v>
      </c>
      <c r="G3529" s="558" t="s">
        <v>895</v>
      </c>
      <c r="H3529" s="564">
        <v>40015</v>
      </c>
      <c r="I3529" s="563">
        <v>5.85</v>
      </c>
      <c r="J3529" s="563">
        <v>-5.85</v>
      </c>
      <c r="K3529" s="563">
        <f t="shared" si="162"/>
        <v>0</v>
      </c>
      <c r="L3529" s="563">
        <f t="shared" si="163"/>
        <v>0</v>
      </c>
      <c r="M3529" s="563">
        <f t="shared" si="164"/>
        <v>6.4350000000000005</v>
      </c>
      <c r="N3529" s="580"/>
      <c r="O3529" s="558"/>
      <c r="P3529" s="564"/>
    </row>
    <row r="3530" spans="4:16" x14ac:dyDescent="0.25">
      <c r="D3530" s="559" t="s">
        <v>867</v>
      </c>
      <c r="E3530" s="558" t="s">
        <v>1583</v>
      </c>
      <c r="F3530" s="559">
        <v>502239</v>
      </c>
      <c r="G3530" s="558" t="s">
        <v>895</v>
      </c>
      <c r="H3530" s="564">
        <v>40015</v>
      </c>
      <c r="I3530" s="563">
        <v>1027.6500000000001</v>
      </c>
      <c r="J3530" s="563">
        <v>-585</v>
      </c>
      <c r="K3530" s="582">
        <f t="shared" si="162"/>
        <v>442.65000000000009</v>
      </c>
      <c r="L3530" s="563">
        <f t="shared" si="163"/>
        <v>486.91500000000013</v>
      </c>
      <c r="M3530" s="563">
        <f t="shared" si="164"/>
        <v>1130.4150000000002</v>
      </c>
      <c r="N3530" s="580"/>
    </row>
    <row r="3531" spans="4:16" x14ac:dyDescent="0.25">
      <c r="D3531" s="559" t="s">
        <v>867</v>
      </c>
      <c r="E3531" s="558" t="s">
        <v>1584</v>
      </c>
      <c r="F3531" s="559">
        <v>502239</v>
      </c>
      <c r="G3531" s="558" t="s">
        <v>895</v>
      </c>
      <c r="H3531" s="564">
        <v>40015</v>
      </c>
      <c r="I3531" s="563">
        <v>1203.1500000000001</v>
      </c>
      <c r="J3531" s="563">
        <v>-585</v>
      </c>
      <c r="K3531" s="582">
        <f t="shared" si="162"/>
        <v>618.15000000000009</v>
      </c>
      <c r="L3531" s="563">
        <f t="shared" si="163"/>
        <v>679.96500000000015</v>
      </c>
      <c r="M3531" s="563">
        <f t="shared" si="164"/>
        <v>1323.4650000000001</v>
      </c>
      <c r="N3531" s="580"/>
    </row>
    <row r="3532" spans="4:16" x14ac:dyDescent="0.25">
      <c r="D3532" s="559" t="s">
        <v>867</v>
      </c>
      <c r="E3532" s="558" t="s">
        <v>4856</v>
      </c>
      <c r="F3532" s="559">
        <v>502274</v>
      </c>
      <c r="G3532" s="558" t="s">
        <v>895</v>
      </c>
      <c r="H3532" s="564">
        <v>40015</v>
      </c>
      <c r="I3532" s="563">
        <v>3159</v>
      </c>
      <c r="J3532" s="563">
        <v>-585</v>
      </c>
      <c r="K3532" s="563">
        <f t="shared" si="162"/>
        <v>2574</v>
      </c>
      <c r="L3532" s="563">
        <f t="shared" si="163"/>
        <v>2831.4</v>
      </c>
      <c r="M3532" s="563">
        <f t="shared" si="164"/>
        <v>3474.9</v>
      </c>
      <c r="N3532" s="580"/>
      <c r="O3532" s="558"/>
      <c r="P3532" s="564"/>
    </row>
    <row r="3533" spans="4:16" x14ac:dyDescent="0.25">
      <c r="D3533" s="559" t="s">
        <v>867</v>
      </c>
      <c r="E3533" s="558" t="s">
        <v>4857</v>
      </c>
      <c r="F3533" s="559">
        <v>500042</v>
      </c>
      <c r="G3533" s="558" t="s">
        <v>899</v>
      </c>
      <c r="H3533" s="564">
        <v>40015</v>
      </c>
      <c r="I3533" s="563">
        <v>1004.25</v>
      </c>
      <c r="J3533" s="563">
        <v>-585</v>
      </c>
      <c r="K3533" s="563">
        <f t="shared" si="162"/>
        <v>419.25</v>
      </c>
      <c r="L3533" s="563">
        <f t="shared" si="163"/>
        <v>461.17500000000001</v>
      </c>
      <c r="M3533" s="563">
        <f t="shared" si="164"/>
        <v>1104.6750000000002</v>
      </c>
      <c r="N3533" s="580"/>
      <c r="O3533" s="558"/>
      <c r="P3533" s="564"/>
    </row>
    <row r="3534" spans="4:16" x14ac:dyDescent="0.25">
      <c r="D3534" s="559" t="s">
        <v>867</v>
      </c>
      <c r="E3534" s="558" t="s">
        <v>4858</v>
      </c>
      <c r="F3534" s="559">
        <v>502274</v>
      </c>
      <c r="G3534" s="558" t="s">
        <v>899</v>
      </c>
      <c r="H3534" s="564">
        <v>40015</v>
      </c>
      <c r="I3534" s="563">
        <v>819</v>
      </c>
      <c r="J3534" s="563">
        <v>-585</v>
      </c>
      <c r="K3534" s="563">
        <f t="shared" si="162"/>
        <v>234</v>
      </c>
      <c r="L3534" s="563">
        <f t="shared" si="163"/>
        <v>257.40000000000003</v>
      </c>
      <c r="M3534" s="563">
        <f t="shared" si="164"/>
        <v>900.90000000000009</v>
      </c>
      <c r="N3534" s="580"/>
      <c r="O3534" s="558"/>
      <c r="P3534" s="564"/>
    </row>
    <row r="3535" spans="4:16" x14ac:dyDescent="0.25">
      <c r="D3535" s="559" t="s">
        <v>867</v>
      </c>
      <c r="E3535" s="558" t="s">
        <v>1585</v>
      </c>
      <c r="F3535" s="559">
        <v>500043</v>
      </c>
      <c r="G3535" s="558" t="s">
        <v>899</v>
      </c>
      <c r="H3535" s="564">
        <v>40015</v>
      </c>
      <c r="I3535" s="563">
        <v>23.4</v>
      </c>
      <c r="J3535" s="563">
        <v>-23.4</v>
      </c>
      <c r="K3535" s="582">
        <f t="shared" si="162"/>
        <v>0</v>
      </c>
      <c r="L3535" s="563">
        <f t="shared" si="163"/>
        <v>0</v>
      </c>
      <c r="M3535" s="563">
        <f t="shared" si="164"/>
        <v>25.740000000000002</v>
      </c>
      <c r="N3535" s="580"/>
    </row>
    <row r="3536" spans="4:16" x14ac:dyDescent="0.25">
      <c r="D3536" s="559" t="s">
        <v>867</v>
      </c>
      <c r="E3536" s="558" t="s">
        <v>4859</v>
      </c>
      <c r="F3536" s="559">
        <v>502285</v>
      </c>
      <c r="G3536" s="558" t="s">
        <v>899</v>
      </c>
      <c r="H3536" s="564">
        <v>40015</v>
      </c>
      <c r="I3536" s="563">
        <v>1000.35</v>
      </c>
      <c r="J3536" s="563">
        <v>-585</v>
      </c>
      <c r="K3536" s="563">
        <f t="shared" si="162"/>
        <v>415.35</v>
      </c>
      <c r="L3536" s="563">
        <f t="shared" si="163"/>
        <v>456.88500000000005</v>
      </c>
      <c r="M3536" s="563">
        <f t="shared" si="164"/>
        <v>1100.3850000000002</v>
      </c>
      <c r="N3536" s="580"/>
      <c r="O3536" s="558"/>
      <c r="P3536" s="564"/>
    </row>
    <row r="3537" spans="4:16" x14ac:dyDescent="0.25">
      <c r="D3537" s="559" t="s">
        <v>867</v>
      </c>
      <c r="E3537" s="558" t="s">
        <v>4860</v>
      </c>
      <c r="F3537" s="559">
        <v>502285</v>
      </c>
      <c r="G3537" s="558" t="s">
        <v>901</v>
      </c>
      <c r="H3537" s="564">
        <v>40015</v>
      </c>
      <c r="I3537" s="563">
        <v>44.85</v>
      </c>
      <c r="J3537" s="563">
        <v>-44.85</v>
      </c>
      <c r="K3537" s="563">
        <f t="shared" si="162"/>
        <v>0</v>
      </c>
      <c r="L3537" s="563">
        <f t="shared" si="163"/>
        <v>0</v>
      </c>
      <c r="M3537" s="563">
        <f t="shared" si="164"/>
        <v>49.335000000000008</v>
      </c>
      <c r="N3537" s="580"/>
      <c r="O3537" s="558"/>
      <c r="P3537" s="564"/>
    </row>
    <row r="3538" spans="4:16" x14ac:dyDescent="0.25">
      <c r="D3538" s="559" t="s">
        <v>867</v>
      </c>
      <c r="E3538" s="558" t="s">
        <v>4861</v>
      </c>
      <c r="F3538" s="559">
        <v>502292</v>
      </c>
      <c r="G3538" s="558" t="s">
        <v>901</v>
      </c>
      <c r="H3538" s="564">
        <v>40015</v>
      </c>
      <c r="I3538" s="563">
        <v>44.85</v>
      </c>
      <c r="J3538" s="563">
        <v>-44.85</v>
      </c>
      <c r="K3538" s="563">
        <f t="shared" si="162"/>
        <v>0</v>
      </c>
      <c r="L3538" s="563">
        <f t="shared" si="163"/>
        <v>0</v>
      </c>
      <c r="M3538" s="563">
        <f t="shared" si="164"/>
        <v>49.335000000000008</v>
      </c>
      <c r="N3538" s="580"/>
      <c r="O3538" s="558"/>
      <c r="P3538" s="564"/>
    </row>
    <row r="3539" spans="4:16" x14ac:dyDescent="0.25">
      <c r="D3539" s="559" t="s">
        <v>867</v>
      </c>
      <c r="E3539" s="558" t="s">
        <v>1586</v>
      </c>
      <c r="F3539" s="559">
        <v>500047</v>
      </c>
      <c r="G3539" s="558" t="s">
        <v>901</v>
      </c>
      <c r="H3539" s="564">
        <v>40015</v>
      </c>
      <c r="I3539" s="563">
        <v>25.35</v>
      </c>
      <c r="J3539" s="563">
        <v>-25.35</v>
      </c>
      <c r="K3539" s="582">
        <f t="shared" si="162"/>
        <v>0</v>
      </c>
      <c r="L3539" s="563">
        <f t="shared" si="163"/>
        <v>0</v>
      </c>
      <c r="M3539" s="563">
        <f t="shared" si="164"/>
        <v>27.885000000000005</v>
      </c>
      <c r="N3539" s="580"/>
    </row>
    <row r="3540" spans="4:16" x14ac:dyDescent="0.25">
      <c r="D3540" s="559" t="s">
        <v>867</v>
      </c>
      <c r="E3540" s="558" t="s">
        <v>4862</v>
      </c>
      <c r="F3540" s="559">
        <v>502285</v>
      </c>
      <c r="G3540" s="558" t="s">
        <v>901</v>
      </c>
      <c r="H3540" s="564">
        <v>40015</v>
      </c>
      <c r="I3540" s="563">
        <v>25.35</v>
      </c>
      <c r="J3540" s="563">
        <v>-25.35</v>
      </c>
      <c r="K3540" s="563">
        <f t="shared" si="162"/>
        <v>0</v>
      </c>
      <c r="L3540" s="563">
        <f t="shared" si="163"/>
        <v>0</v>
      </c>
      <c r="M3540" s="563">
        <f t="shared" si="164"/>
        <v>27.885000000000005</v>
      </c>
      <c r="N3540" s="580"/>
      <c r="O3540" s="558"/>
      <c r="P3540" s="564"/>
    </row>
    <row r="3541" spans="4:16" x14ac:dyDescent="0.25">
      <c r="D3541" s="559" t="s">
        <v>867</v>
      </c>
      <c r="E3541" s="558" t="s">
        <v>4863</v>
      </c>
      <c r="F3541" s="559">
        <v>502292</v>
      </c>
      <c r="G3541" s="558" t="s">
        <v>901</v>
      </c>
      <c r="H3541" s="564">
        <v>40015</v>
      </c>
      <c r="I3541" s="563">
        <v>643.5</v>
      </c>
      <c r="J3541" s="563">
        <v>-585</v>
      </c>
      <c r="K3541" s="563">
        <f t="shared" si="162"/>
        <v>58.5</v>
      </c>
      <c r="L3541" s="563">
        <f t="shared" si="163"/>
        <v>64.350000000000009</v>
      </c>
      <c r="M3541" s="563">
        <f t="shared" si="164"/>
        <v>707.85</v>
      </c>
      <c r="N3541" s="580"/>
      <c r="O3541" s="558"/>
      <c r="P3541" s="564"/>
    </row>
    <row r="3542" spans="4:16" x14ac:dyDescent="0.25">
      <c r="D3542" s="559" t="s">
        <v>867</v>
      </c>
      <c r="E3542" s="558" t="s">
        <v>4864</v>
      </c>
      <c r="F3542" s="559">
        <v>500507</v>
      </c>
      <c r="G3542" s="558" t="s">
        <v>4865</v>
      </c>
      <c r="H3542" s="564">
        <v>40015</v>
      </c>
      <c r="I3542" s="563">
        <v>1840.8</v>
      </c>
      <c r="J3542" s="563">
        <v>-585</v>
      </c>
      <c r="K3542" s="563">
        <f t="shared" si="162"/>
        <v>1255.8</v>
      </c>
      <c r="L3542" s="563">
        <f t="shared" si="163"/>
        <v>1381.38</v>
      </c>
      <c r="M3542" s="563">
        <f t="shared" si="164"/>
        <v>2024.88</v>
      </c>
      <c r="N3542" s="580"/>
      <c r="O3542" s="558"/>
      <c r="P3542" s="564"/>
    </row>
    <row r="3543" spans="4:16" x14ac:dyDescent="0.25">
      <c r="D3543" s="559" t="s">
        <v>867</v>
      </c>
      <c r="E3543" s="558" t="s">
        <v>1587</v>
      </c>
      <c r="F3543" s="559">
        <v>502189</v>
      </c>
      <c r="G3543" s="558" t="s">
        <v>4865</v>
      </c>
      <c r="H3543" s="564">
        <v>40015</v>
      </c>
      <c r="I3543" s="563">
        <v>1860.3</v>
      </c>
      <c r="J3543" s="563">
        <v>-585</v>
      </c>
      <c r="K3543" s="582">
        <f t="shared" si="162"/>
        <v>1275.3</v>
      </c>
      <c r="L3543" s="563">
        <f t="shared" si="163"/>
        <v>1402.8300000000002</v>
      </c>
      <c r="M3543" s="563">
        <f t="shared" si="164"/>
        <v>2046.3300000000002</v>
      </c>
      <c r="N3543" s="580"/>
    </row>
    <row r="3544" spans="4:16" x14ac:dyDescent="0.25">
      <c r="D3544" s="559" t="s">
        <v>867</v>
      </c>
      <c r="E3544" s="558" t="s">
        <v>4866</v>
      </c>
      <c r="F3544" s="559">
        <v>500016</v>
      </c>
      <c r="G3544" s="558" t="s">
        <v>4865</v>
      </c>
      <c r="H3544" s="564">
        <v>40015</v>
      </c>
      <c r="I3544" s="563">
        <v>1571.7</v>
      </c>
      <c r="J3544" s="563">
        <v>-585</v>
      </c>
      <c r="K3544" s="563">
        <f t="shared" si="162"/>
        <v>986.7</v>
      </c>
      <c r="L3544" s="563">
        <f t="shared" si="163"/>
        <v>1085.3700000000001</v>
      </c>
      <c r="M3544" s="563">
        <f t="shared" si="164"/>
        <v>1728.8700000000001</v>
      </c>
      <c r="N3544" s="580"/>
      <c r="O3544" s="558"/>
      <c r="P3544" s="564"/>
    </row>
    <row r="3545" spans="4:16" x14ac:dyDescent="0.25">
      <c r="D3545" s="559" t="s">
        <v>867</v>
      </c>
      <c r="E3545" s="558" t="s">
        <v>4867</v>
      </c>
      <c r="F3545" s="559">
        <v>500017</v>
      </c>
      <c r="G3545" s="558" t="s">
        <v>4865</v>
      </c>
      <c r="H3545" s="564">
        <v>40015</v>
      </c>
      <c r="I3545" s="563">
        <v>37.049999999999997</v>
      </c>
      <c r="J3545" s="563">
        <v>-37.049999999999997</v>
      </c>
      <c r="K3545" s="563">
        <f t="shared" si="162"/>
        <v>0</v>
      </c>
      <c r="L3545" s="563">
        <f t="shared" si="163"/>
        <v>0</v>
      </c>
      <c r="M3545" s="563">
        <f t="shared" si="164"/>
        <v>40.755000000000003</v>
      </c>
      <c r="N3545" s="580"/>
      <c r="O3545" s="558"/>
      <c r="P3545" s="564"/>
    </row>
    <row r="3546" spans="4:16" x14ac:dyDescent="0.25">
      <c r="D3546" s="559" t="s">
        <v>867</v>
      </c>
      <c r="E3546" s="558" t="s">
        <v>4868</v>
      </c>
      <c r="F3546" s="559">
        <v>500017</v>
      </c>
      <c r="G3546" s="558" t="s">
        <v>4865</v>
      </c>
      <c r="H3546" s="564">
        <v>40015</v>
      </c>
      <c r="I3546" s="563">
        <v>164.95</v>
      </c>
      <c r="J3546" s="563">
        <v>-164.95</v>
      </c>
      <c r="K3546" s="563">
        <f t="shared" si="162"/>
        <v>0</v>
      </c>
      <c r="L3546" s="563">
        <f t="shared" si="163"/>
        <v>0</v>
      </c>
      <c r="M3546" s="563">
        <f t="shared" si="164"/>
        <v>181.44499999999999</v>
      </c>
      <c r="N3546" s="580"/>
      <c r="O3546" s="558"/>
      <c r="P3546" s="564"/>
    </row>
    <row r="3547" spans="4:16" x14ac:dyDescent="0.25">
      <c r="D3547" s="559" t="s">
        <v>867</v>
      </c>
      <c r="E3547" s="558" t="s">
        <v>1588</v>
      </c>
      <c r="F3547" s="559">
        <v>502190</v>
      </c>
      <c r="G3547" s="558" t="s">
        <v>4669</v>
      </c>
      <c r="H3547" s="564">
        <v>40015</v>
      </c>
      <c r="I3547" s="563">
        <v>27.3</v>
      </c>
      <c r="J3547" s="563">
        <v>-27.3</v>
      </c>
      <c r="K3547" s="582">
        <f t="shared" si="162"/>
        <v>0</v>
      </c>
      <c r="L3547" s="563">
        <f t="shared" si="163"/>
        <v>0</v>
      </c>
      <c r="M3547" s="563">
        <f t="shared" si="164"/>
        <v>30.030000000000005</v>
      </c>
      <c r="N3547" s="580"/>
    </row>
    <row r="3548" spans="4:16" x14ac:dyDescent="0.25">
      <c r="D3548" s="559" t="s">
        <v>867</v>
      </c>
      <c r="E3548" s="558" t="s">
        <v>4668</v>
      </c>
      <c r="F3548" s="559">
        <v>500053</v>
      </c>
      <c r="G3548" s="558" t="s">
        <v>4669</v>
      </c>
      <c r="H3548" s="564">
        <v>40015</v>
      </c>
      <c r="I3548" s="563">
        <v>542.1</v>
      </c>
      <c r="J3548" s="563">
        <v>-542.1</v>
      </c>
      <c r="K3548" s="563">
        <f t="shared" si="162"/>
        <v>0</v>
      </c>
      <c r="L3548" s="563">
        <f t="shared" si="163"/>
        <v>0</v>
      </c>
      <c r="M3548" s="563">
        <f t="shared" si="164"/>
        <v>596.31000000000006</v>
      </c>
      <c r="N3548" s="580"/>
      <c r="O3548" s="558"/>
      <c r="P3548" s="564"/>
    </row>
    <row r="3549" spans="4:16" x14ac:dyDescent="0.25">
      <c r="D3549" s="559" t="s">
        <v>867</v>
      </c>
      <c r="E3549" s="558" t="s">
        <v>1589</v>
      </c>
      <c r="F3549" s="559">
        <v>502241</v>
      </c>
      <c r="G3549" s="558" t="s">
        <v>4669</v>
      </c>
      <c r="H3549" s="564">
        <v>40015</v>
      </c>
      <c r="I3549" s="563">
        <v>897</v>
      </c>
      <c r="J3549" s="563">
        <v>-585</v>
      </c>
      <c r="K3549" s="582">
        <f t="shared" si="162"/>
        <v>312</v>
      </c>
      <c r="L3549" s="563">
        <f t="shared" si="163"/>
        <v>343.20000000000005</v>
      </c>
      <c r="M3549" s="563">
        <f t="shared" si="164"/>
        <v>986.7</v>
      </c>
      <c r="N3549" s="580"/>
    </row>
    <row r="3550" spans="4:16" x14ac:dyDescent="0.25">
      <c r="D3550" s="559" t="s">
        <v>867</v>
      </c>
      <c r="E3550" s="558" t="s">
        <v>4670</v>
      </c>
      <c r="F3550" s="559">
        <v>502288</v>
      </c>
      <c r="G3550" s="558" t="s">
        <v>4669</v>
      </c>
      <c r="H3550" s="564">
        <v>40015</v>
      </c>
      <c r="I3550" s="563">
        <v>27.3</v>
      </c>
      <c r="J3550" s="563">
        <v>-27.3</v>
      </c>
      <c r="K3550" s="563">
        <f t="shared" si="162"/>
        <v>0</v>
      </c>
      <c r="L3550" s="563">
        <f t="shared" si="163"/>
        <v>0</v>
      </c>
      <c r="M3550" s="563">
        <f t="shared" si="164"/>
        <v>30.030000000000005</v>
      </c>
      <c r="N3550" s="580"/>
      <c r="O3550" s="558"/>
      <c r="P3550" s="564"/>
    </row>
    <row r="3551" spans="4:16" x14ac:dyDescent="0.25">
      <c r="D3551" s="559" t="s">
        <v>867</v>
      </c>
      <c r="E3551" s="558" t="s">
        <v>4671</v>
      </c>
      <c r="F3551" s="559">
        <v>500053</v>
      </c>
      <c r="G3551" s="558" t="s">
        <v>4669</v>
      </c>
      <c r="H3551" s="564">
        <v>40015</v>
      </c>
      <c r="I3551" s="563">
        <v>27.3</v>
      </c>
      <c r="J3551" s="563">
        <v>-27.3</v>
      </c>
      <c r="K3551" s="563">
        <f t="shared" si="162"/>
        <v>0</v>
      </c>
      <c r="L3551" s="563">
        <f t="shared" si="163"/>
        <v>0</v>
      </c>
      <c r="M3551" s="563">
        <f t="shared" si="164"/>
        <v>30.030000000000005</v>
      </c>
      <c r="N3551" s="580"/>
      <c r="O3551" s="558"/>
      <c r="P3551" s="564"/>
    </row>
    <row r="3552" spans="4:16" x14ac:dyDescent="0.25">
      <c r="D3552" s="559" t="s">
        <v>867</v>
      </c>
      <c r="E3552" s="558" t="s">
        <v>4672</v>
      </c>
      <c r="F3552" s="559">
        <v>500053</v>
      </c>
      <c r="G3552" s="558" t="s">
        <v>4673</v>
      </c>
      <c r="H3552" s="564">
        <v>40015</v>
      </c>
      <c r="I3552" s="563">
        <v>27.3</v>
      </c>
      <c r="J3552" s="563">
        <v>-27.3</v>
      </c>
      <c r="K3552" s="563">
        <f t="shared" si="162"/>
        <v>0</v>
      </c>
      <c r="L3552" s="563">
        <f t="shared" si="163"/>
        <v>0</v>
      </c>
      <c r="M3552" s="563">
        <f t="shared" si="164"/>
        <v>30.030000000000005</v>
      </c>
      <c r="N3552" s="580"/>
      <c r="O3552" s="558"/>
      <c r="P3552" s="564"/>
    </row>
    <row r="3553" spans="4:16" x14ac:dyDescent="0.25">
      <c r="D3553" s="559" t="s">
        <v>867</v>
      </c>
      <c r="E3553" s="558" t="s">
        <v>1590</v>
      </c>
      <c r="F3553" s="559">
        <v>502213</v>
      </c>
      <c r="G3553" s="558" t="s">
        <v>4673</v>
      </c>
      <c r="H3553" s="564">
        <v>40015</v>
      </c>
      <c r="I3553" s="563">
        <v>27.3</v>
      </c>
      <c r="J3553" s="563">
        <v>-27.3</v>
      </c>
      <c r="K3553" s="582">
        <f t="shared" si="162"/>
        <v>0</v>
      </c>
      <c r="L3553" s="563">
        <f t="shared" si="163"/>
        <v>0</v>
      </c>
      <c r="M3553" s="563">
        <f t="shared" si="164"/>
        <v>30.030000000000005</v>
      </c>
      <c r="N3553" s="580"/>
    </row>
    <row r="3554" spans="4:16" x14ac:dyDescent="0.25">
      <c r="D3554" s="559" t="s">
        <v>867</v>
      </c>
      <c r="E3554" s="558" t="s">
        <v>4674</v>
      </c>
      <c r="F3554" s="559">
        <v>500055</v>
      </c>
      <c r="G3554" s="558" t="s">
        <v>4673</v>
      </c>
      <c r="H3554" s="564">
        <v>40015</v>
      </c>
      <c r="I3554" s="563">
        <v>897</v>
      </c>
      <c r="J3554" s="563">
        <v>-585</v>
      </c>
      <c r="K3554" s="563">
        <f t="shared" si="162"/>
        <v>312</v>
      </c>
      <c r="L3554" s="563">
        <f t="shared" si="163"/>
        <v>343.20000000000005</v>
      </c>
      <c r="M3554" s="563">
        <f t="shared" si="164"/>
        <v>986.7</v>
      </c>
      <c r="N3554" s="580"/>
      <c r="O3554" s="558"/>
      <c r="P3554" s="564"/>
    </row>
    <row r="3555" spans="4:16" x14ac:dyDescent="0.25">
      <c r="D3555" s="559" t="s">
        <v>867</v>
      </c>
      <c r="E3555" s="558" t="s">
        <v>4675</v>
      </c>
      <c r="F3555" s="559">
        <v>500055</v>
      </c>
      <c r="G3555" s="558" t="s">
        <v>4673</v>
      </c>
      <c r="H3555" s="564">
        <v>40015</v>
      </c>
      <c r="I3555" s="563">
        <v>25.35</v>
      </c>
      <c r="J3555" s="563">
        <v>-25.35</v>
      </c>
      <c r="K3555" s="563">
        <f t="shared" si="162"/>
        <v>0</v>
      </c>
      <c r="L3555" s="563">
        <f t="shared" si="163"/>
        <v>0</v>
      </c>
      <c r="M3555" s="563">
        <f t="shared" si="164"/>
        <v>27.885000000000005</v>
      </c>
      <c r="N3555" s="580"/>
      <c r="O3555" s="558"/>
      <c r="P3555" s="564"/>
    </row>
    <row r="3556" spans="4:16" x14ac:dyDescent="0.25">
      <c r="D3556" s="559" t="s">
        <v>867</v>
      </c>
      <c r="E3556" s="558" t="s">
        <v>4676</v>
      </c>
      <c r="F3556" s="559">
        <v>500055</v>
      </c>
      <c r="G3556" s="558" t="s">
        <v>4673</v>
      </c>
      <c r="H3556" s="564">
        <v>40015</v>
      </c>
      <c r="I3556" s="563">
        <v>25.35</v>
      </c>
      <c r="J3556" s="563">
        <v>-25.35</v>
      </c>
      <c r="K3556" s="563">
        <f t="shared" si="162"/>
        <v>0</v>
      </c>
      <c r="L3556" s="563">
        <f t="shared" si="163"/>
        <v>0</v>
      </c>
      <c r="M3556" s="563">
        <f t="shared" si="164"/>
        <v>27.885000000000005</v>
      </c>
      <c r="N3556" s="580"/>
      <c r="O3556" s="558"/>
      <c r="P3556" s="564"/>
    </row>
    <row r="3557" spans="4:16" x14ac:dyDescent="0.25">
      <c r="D3557" s="559" t="s">
        <v>867</v>
      </c>
      <c r="E3557" s="558" t="s">
        <v>4677</v>
      </c>
      <c r="F3557" s="559">
        <v>500055</v>
      </c>
      <c r="G3557" s="558" t="s">
        <v>4678</v>
      </c>
      <c r="H3557" s="564">
        <v>40015</v>
      </c>
      <c r="I3557" s="563">
        <v>25.35</v>
      </c>
      <c r="J3557" s="563">
        <v>-25.35</v>
      </c>
      <c r="K3557" s="563">
        <f t="shared" si="162"/>
        <v>0</v>
      </c>
      <c r="L3557" s="563">
        <f t="shared" si="163"/>
        <v>0</v>
      </c>
      <c r="M3557" s="563">
        <f t="shared" si="164"/>
        <v>27.885000000000005</v>
      </c>
      <c r="N3557" s="580"/>
      <c r="O3557" s="558"/>
      <c r="P3557" s="564"/>
    </row>
    <row r="3558" spans="4:16" x14ac:dyDescent="0.25">
      <c r="D3558" s="559" t="s">
        <v>867</v>
      </c>
      <c r="E3558" s="558" t="s">
        <v>4679</v>
      </c>
      <c r="F3558" s="559">
        <v>500055</v>
      </c>
      <c r="G3558" s="558" t="s">
        <v>4678</v>
      </c>
      <c r="H3558" s="564">
        <v>40015</v>
      </c>
      <c r="I3558" s="563">
        <v>25.35</v>
      </c>
      <c r="J3558" s="563">
        <v>-25.35</v>
      </c>
      <c r="K3558" s="563">
        <f t="shared" si="162"/>
        <v>0</v>
      </c>
      <c r="L3558" s="563">
        <f t="shared" si="163"/>
        <v>0</v>
      </c>
      <c r="M3558" s="563">
        <f t="shared" si="164"/>
        <v>27.885000000000005</v>
      </c>
      <c r="N3558" s="580"/>
      <c r="O3558" s="558"/>
      <c r="P3558" s="564"/>
    </row>
    <row r="3559" spans="4:16" x14ac:dyDescent="0.25">
      <c r="D3559" s="559" t="s">
        <v>867</v>
      </c>
      <c r="E3559" s="558" t="s">
        <v>4680</v>
      </c>
      <c r="F3559" s="559">
        <v>500055</v>
      </c>
      <c r="G3559" s="558" t="s">
        <v>4678</v>
      </c>
      <c r="H3559" s="564">
        <v>40015</v>
      </c>
      <c r="I3559" s="563">
        <v>25.35</v>
      </c>
      <c r="J3559" s="563">
        <v>-25.35</v>
      </c>
      <c r="K3559" s="563">
        <f t="shared" si="162"/>
        <v>0</v>
      </c>
      <c r="L3559" s="563">
        <f t="shared" si="163"/>
        <v>0</v>
      </c>
      <c r="M3559" s="563">
        <f t="shared" si="164"/>
        <v>27.885000000000005</v>
      </c>
      <c r="N3559" s="580"/>
      <c r="O3559" s="558"/>
      <c r="P3559" s="564"/>
    </row>
    <row r="3560" spans="4:16" x14ac:dyDescent="0.25">
      <c r="D3560" s="559" t="s">
        <v>867</v>
      </c>
      <c r="E3560" s="558" t="s">
        <v>4681</v>
      </c>
      <c r="F3560" s="559">
        <v>500055</v>
      </c>
      <c r="G3560" s="558" t="s">
        <v>4678</v>
      </c>
      <c r="H3560" s="564">
        <v>40015</v>
      </c>
      <c r="I3560" s="563">
        <v>25.35</v>
      </c>
      <c r="J3560" s="563">
        <v>-25.35</v>
      </c>
      <c r="K3560" s="563">
        <f t="shared" si="162"/>
        <v>0</v>
      </c>
      <c r="L3560" s="563">
        <f t="shared" si="163"/>
        <v>0</v>
      </c>
      <c r="M3560" s="563">
        <f t="shared" si="164"/>
        <v>27.885000000000005</v>
      </c>
      <c r="N3560" s="580"/>
      <c r="O3560" s="558"/>
      <c r="P3560" s="564"/>
    </row>
    <row r="3561" spans="4:16" x14ac:dyDescent="0.25">
      <c r="D3561" s="559" t="s">
        <v>867</v>
      </c>
      <c r="E3561" s="558" t="s">
        <v>4682</v>
      </c>
      <c r="F3561" s="559">
        <v>500055</v>
      </c>
      <c r="G3561" s="558" t="s">
        <v>4678</v>
      </c>
      <c r="H3561" s="564">
        <v>40015</v>
      </c>
      <c r="I3561" s="563">
        <v>25.35</v>
      </c>
      <c r="J3561" s="563">
        <v>-25.35</v>
      </c>
      <c r="K3561" s="563">
        <f t="shared" ref="K3561:K3624" si="165">+I3561+J3561</f>
        <v>0</v>
      </c>
      <c r="L3561" s="563">
        <f t="shared" ref="L3561:L3624" si="166">+K3561*1.1</f>
        <v>0</v>
      </c>
      <c r="M3561" s="563">
        <f t="shared" ref="M3561:M3624" si="167">+I3561*1.1</f>
        <v>27.885000000000005</v>
      </c>
      <c r="N3561" s="580"/>
      <c r="O3561" s="558"/>
      <c r="P3561" s="564"/>
    </row>
    <row r="3562" spans="4:16" x14ac:dyDescent="0.25">
      <c r="D3562" s="559" t="s">
        <v>867</v>
      </c>
      <c r="E3562" s="558" t="s">
        <v>1591</v>
      </c>
      <c r="F3562" s="559">
        <v>502290</v>
      </c>
      <c r="G3562" s="558" t="s">
        <v>4684</v>
      </c>
      <c r="H3562" s="564">
        <v>40015</v>
      </c>
      <c r="I3562" s="563">
        <v>495.3</v>
      </c>
      <c r="J3562" s="563">
        <v>-495.3</v>
      </c>
      <c r="K3562" s="582">
        <f t="shared" si="165"/>
        <v>0</v>
      </c>
      <c r="L3562" s="563">
        <f t="shared" si="166"/>
        <v>0</v>
      </c>
      <c r="M3562" s="563">
        <f t="shared" si="167"/>
        <v>544.83000000000004</v>
      </c>
      <c r="N3562" s="580"/>
    </row>
    <row r="3563" spans="4:16" x14ac:dyDescent="0.25">
      <c r="D3563" s="559" t="s">
        <v>867</v>
      </c>
      <c r="E3563" s="558" t="s">
        <v>4683</v>
      </c>
      <c r="F3563" s="559">
        <v>500030</v>
      </c>
      <c r="G3563" s="558" t="s">
        <v>4684</v>
      </c>
      <c r="H3563" s="564">
        <v>40015</v>
      </c>
      <c r="I3563" s="563">
        <v>2679.3</v>
      </c>
      <c r="J3563" s="563">
        <v>-585</v>
      </c>
      <c r="K3563" s="563">
        <f t="shared" si="165"/>
        <v>2094.3000000000002</v>
      </c>
      <c r="L3563" s="563">
        <f t="shared" si="166"/>
        <v>2303.7300000000005</v>
      </c>
      <c r="M3563" s="563">
        <f t="shared" si="167"/>
        <v>2947.2300000000005</v>
      </c>
      <c r="N3563" s="580"/>
      <c r="O3563" s="558"/>
      <c r="P3563" s="564"/>
    </row>
    <row r="3564" spans="4:16" x14ac:dyDescent="0.25">
      <c r="D3564" s="559" t="s">
        <v>867</v>
      </c>
      <c r="E3564" s="558" t="s">
        <v>4685</v>
      </c>
      <c r="F3564" s="559">
        <v>500030</v>
      </c>
      <c r="G3564" s="558" t="s">
        <v>4684</v>
      </c>
      <c r="H3564" s="564">
        <v>40015</v>
      </c>
      <c r="I3564" s="563">
        <v>46.8</v>
      </c>
      <c r="J3564" s="563">
        <v>-46.8</v>
      </c>
      <c r="K3564" s="563">
        <f t="shared" si="165"/>
        <v>0</v>
      </c>
      <c r="L3564" s="563">
        <f t="shared" si="166"/>
        <v>0</v>
      </c>
      <c r="M3564" s="563">
        <f t="shared" si="167"/>
        <v>51.480000000000004</v>
      </c>
      <c r="N3564" s="580"/>
      <c r="O3564" s="558"/>
      <c r="P3564" s="564"/>
    </row>
    <row r="3565" spans="4:16" x14ac:dyDescent="0.25">
      <c r="D3565" s="559" t="s">
        <v>867</v>
      </c>
      <c r="E3565" s="558" t="s">
        <v>4686</v>
      </c>
      <c r="F3565" s="559">
        <v>500002</v>
      </c>
      <c r="G3565" s="558" t="s">
        <v>4684</v>
      </c>
      <c r="H3565" s="564">
        <v>40015</v>
      </c>
      <c r="I3565" s="563">
        <v>27.3</v>
      </c>
      <c r="J3565" s="563">
        <v>-27.3</v>
      </c>
      <c r="K3565" s="563">
        <f t="shared" si="165"/>
        <v>0</v>
      </c>
      <c r="L3565" s="563">
        <f t="shared" si="166"/>
        <v>0</v>
      </c>
      <c r="M3565" s="563">
        <f t="shared" si="167"/>
        <v>30.030000000000005</v>
      </c>
      <c r="N3565" s="580"/>
      <c r="O3565" s="558"/>
      <c r="P3565" s="564"/>
    </row>
    <row r="3566" spans="4:16" x14ac:dyDescent="0.25">
      <c r="D3566" s="559" t="s">
        <v>867</v>
      </c>
      <c r="E3566" s="558" t="s">
        <v>4687</v>
      </c>
      <c r="F3566" s="559">
        <v>500002</v>
      </c>
      <c r="G3566" s="558" t="s">
        <v>4684</v>
      </c>
      <c r="H3566" s="564">
        <v>40015</v>
      </c>
      <c r="I3566" s="563">
        <v>27.3</v>
      </c>
      <c r="J3566" s="563">
        <v>-27.3</v>
      </c>
      <c r="K3566" s="563">
        <f t="shared" si="165"/>
        <v>0</v>
      </c>
      <c r="L3566" s="563">
        <f t="shared" si="166"/>
        <v>0</v>
      </c>
      <c r="M3566" s="563">
        <f t="shared" si="167"/>
        <v>30.030000000000005</v>
      </c>
      <c r="N3566" s="580"/>
      <c r="O3566" s="558"/>
      <c r="P3566" s="564"/>
    </row>
    <row r="3567" spans="4:16" x14ac:dyDescent="0.25">
      <c r="D3567" s="559" t="s">
        <v>867</v>
      </c>
      <c r="E3567" s="558" t="s">
        <v>1592</v>
      </c>
      <c r="F3567" s="559">
        <v>502024</v>
      </c>
      <c r="G3567" s="558" t="s">
        <v>4689</v>
      </c>
      <c r="H3567" s="564">
        <v>40015</v>
      </c>
      <c r="I3567" s="563">
        <v>581.1</v>
      </c>
      <c r="J3567" s="563">
        <v>-581.1</v>
      </c>
      <c r="K3567" s="582">
        <f t="shared" si="165"/>
        <v>0</v>
      </c>
      <c r="L3567" s="563">
        <f t="shared" si="166"/>
        <v>0</v>
      </c>
      <c r="M3567" s="563">
        <f t="shared" si="167"/>
        <v>639.21</v>
      </c>
      <c r="N3567" s="580"/>
    </row>
    <row r="3568" spans="4:16" x14ac:dyDescent="0.25">
      <c r="D3568" s="559" t="s">
        <v>867</v>
      </c>
      <c r="E3568" s="558" t="s">
        <v>4688</v>
      </c>
      <c r="F3568" s="559">
        <v>500002</v>
      </c>
      <c r="G3568" s="558" t="s">
        <v>4689</v>
      </c>
      <c r="H3568" s="564">
        <v>40015</v>
      </c>
      <c r="I3568" s="563">
        <v>39</v>
      </c>
      <c r="J3568" s="563">
        <v>-39</v>
      </c>
      <c r="K3568" s="563">
        <f t="shared" si="165"/>
        <v>0</v>
      </c>
      <c r="L3568" s="563">
        <f t="shared" si="166"/>
        <v>0</v>
      </c>
      <c r="M3568" s="563">
        <f t="shared" si="167"/>
        <v>42.900000000000006</v>
      </c>
      <c r="N3568" s="580"/>
      <c r="O3568" s="558"/>
      <c r="P3568" s="564"/>
    </row>
    <row r="3569" spans="4:16" x14ac:dyDescent="0.25">
      <c r="D3569" s="559" t="s">
        <v>867</v>
      </c>
      <c r="E3569" s="558" t="s">
        <v>4690</v>
      </c>
      <c r="F3569" s="559">
        <v>500059</v>
      </c>
      <c r="G3569" s="558" t="s">
        <v>4689</v>
      </c>
      <c r="H3569" s="564">
        <v>40015</v>
      </c>
      <c r="I3569" s="563">
        <v>934.05</v>
      </c>
      <c r="J3569" s="563">
        <v>-585</v>
      </c>
      <c r="K3569" s="563">
        <f t="shared" si="165"/>
        <v>349.04999999999995</v>
      </c>
      <c r="L3569" s="563">
        <f t="shared" si="166"/>
        <v>383.95499999999998</v>
      </c>
      <c r="M3569" s="563">
        <f t="shared" si="167"/>
        <v>1027.4549999999999</v>
      </c>
      <c r="N3569" s="580"/>
      <c r="O3569" s="558"/>
      <c r="P3569" s="564"/>
    </row>
    <row r="3570" spans="4:16" x14ac:dyDescent="0.25">
      <c r="D3570" s="559" t="s">
        <v>867</v>
      </c>
      <c r="E3570" s="558" t="s">
        <v>1593</v>
      </c>
      <c r="F3570" s="559">
        <v>502243</v>
      </c>
      <c r="G3570" s="558" t="s">
        <v>4689</v>
      </c>
      <c r="H3570" s="564">
        <v>40015</v>
      </c>
      <c r="I3570" s="563">
        <v>973.05</v>
      </c>
      <c r="J3570" s="563">
        <v>-585</v>
      </c>
      <c r="K3570" s="582">
        <f t="shared" si="165"/>
        <v>388.04999999999995</v>
      </c>
      <c r="L3570" s="563">
        <f t="shared" si="166"/>
        <v>426.85499999999996</v>
      </c>
      <c r="M3570" s="563">
        <f t="shared" si="167"/>
        <v>1070.355</v>
      </c>
      <c r="N3570" s="580"/>
    </row>
    <row r="3571" spans="4:16" x14ac:dyDescent="0.25">
      <c r="D3571" s="559" t="s">
        <v>867</v>
      </c>
      <c r="E3571" s="558" t="s">
        <v>1594</v>
      </c>
      <c r="F3571" s="559">
        <v>500416</v>
      </c>
      <c r="G3571" s="558" t="s">
        <v>4689</v>
      </c>
      <c r="H3571" s="564">
        <v>40015</v>
      </c>
      <c r="I3571" s="563">
        <v>897</v>
      </c>
      <c r="J3571" s="563">
        <v>-585</v>
      </c>
      <c r="K3571" s="582">
        <f t="shared" si="165"/>
        <v>312</v>
      </c>
      <c r="L3571" s="563">
        <f t="shared" si="166"/>
        <v>343.20000000000005</v>
      </c>
      <c r="M3571" s="563">
        <f t="shared" si="167"/>
        <v>986.7</v>
      </c>
      <c r="N3571" s="580"/>
    </row>
    <row r="3572" spans="4:16" x14ac:dyDescent="0.25">
      <c r="D3572" s="559" t="s">
        <v>867</v>
      </c>
      <c r="E3572" s="558" t="s">
        <v>1595</v>
      </c>
      <c r="F3572" s="559">
        <v>512189</v>
      </c>
      <c r="G3572" s="558" t="s">
        <v>4692</v>
      </c>
      <c r="H3572" s="564">
        <v>40015</v>
      </c>
      <c r="I3572" s="563">
        <v>692.25</v>
      </c>
      <c r="J3572" s="563">
        <v>-585</v>
      </c>
      <c r="K3572" s="582">
        <f t="shared" si="165"/>
        <v>107.25</v>
      </c>
      <c r="L3572" s="563">
        <f t="shared" si="166"/>
        <v>117.97500000000001</v>
      </c>
      <c r="M3572" s="563">
        <f t="shared" si="167"/>
        <v>761.47500000000002</v>
      </c>
      <c r="N3572" s="580"/>
    </row>
    <row r="3573" spans="4:16" x14ac:dyDescent="0.25">
      <c r="D3573" s="559" t="s">
        <v>867</v>
      </c>
      <c r="E3573" s="558" t="s">
        <v>4691</v>
      </c>
      <c r="F3573" s="559">
        <v>500067</v>
      </c>
      <c r="G3573" s="558" t="s">
        <v>4692</v>
      </c>
      <c r="H3573" s="564">
        <v>40015</v>
      </c>
      <c r="I3573" s="563">
        <v>1394.25</v>
      </c>
      <c r="J3573" s="563">
        <v>-585</v>
      </c>
      <c r="K3573" s="563">
        <f t="shared" si="165"/>
        <v>809.25</v>
      </c>
      <c r="L3573" s="563">
        <f t="shared" si="166"/>
        <v>890.17500000000007</v>
      </c>
      <c r="M3573" s="563">
        <f t="shared" si="167"/>
        <v>1533.6750000000002</v>
      </c>
      <c r="N3573" s="580"/>
      <c r="O3573" s="558"/>
      <c r="P3573" s="564"/>
    </row>
    <row r="3574" spans="4:16" x14ac:dyDescent="0.25">
      <c r="D3574" s="559" t="s">
        <v>867</v>
      </c>
      <c r="E3574" s="558" t="s">
        <v>1596</v>
      </c>
      <c r="F3574" s="559">
        <v>502192</v>
      </c>
      <c r="G3574" s="558" t="s">
        <v>4692</v>
      </c>
      <c r="H3574" s="564">
        <v>40015</v>
      </c>
      <c r="I3574" s="563">
        <v>965.25</v>
      </c>
      <c r="J3574" s="563">
        <v>-585</v>
      </c>
      <c r="K3574" s="582">
        <f t="shared" si="165"/>
        <v>380.25</v>
      </c>
      <c r="L3574" s="563">
        <f t="shared" si="166"/>
        <v>418.27500000000003</v>
      </c>
      <c r="M3574" s="563">
        <f t="shared" si="167"/>
        <v>1061.7750000000001</v>
      </c>
      <c r="N3574" s="580"/>
    </row>
    <row r="3575" spans="4:16" x14ac:dyDescent="0.25">
      <c r="D3575" s="559" t="s">
        <v>867</v>
      </c>
      <c r="E3575" s="558" t="s">
        <v>4693</v>
      </c>
      <c r="F3575" s="559">
        <v>500424</v>
      </c>
      <c r="G3575" s="558" t="s">
        <v>4692</v>
      </c>
      <c r="H3575" s="564">
        <v>40015</v>
      </c>
      <c r="I3575" s="563">
        <v>1199.25</v>
      </c>
      <c r="J3575" s="563">
        <v>-585</v>
      </c>
      <c r="K3575" s="563">
        <f t="shared" si="165"/>
        <v>614.25</v>
      </c>
      <c r="L3575" s="563">
        <f t="shared" si="166"/>
        <v>675.67500000000007</v>
      </c>
      <c r="M3575" s="563">
        <f t="shared" si="167"/>
        <v>1319.1750000000002</v>
      </c>
      <c r="N3575" s="580"/>
      <c r="O3575" s="558"/>
      <c r="P3575" s="564"/>
    </row>
    <row r="3576" spans="4:16" x14ac:dyDescent="0.25">
      <c r="D3576" s="559" t="s">
        <v>867</v>
      </c>
      <c r="E3576" s="558" t="s">
        <v>1597</v>
      </c>
      <c r="F3576" s="559">
        <v>502025</v>
      </c>
      <c r="G3576" s="558" t="s">
        <v>4692</v>
      </c>
      <c r="H3576" s="564">
        <v>40015</v>
      </c>
      <c r="I3576" s="563">
        <v>1004.25</v>
      </c>
      <c r="J3576" s="563">
        <v>-585</v>
      </c>
      <c r="K3576" s="582">
        <f t="shared" si="165"/>
        <v>419.25</v>
      </c>
      <c r="L3576" s="563">
        <f t="shared" si="166"/>
        <v>461.17500000000001</v>
      </c>
      <c r="M3576" s="563">
        <f t="shared" si="167"/>
        <v>1104.6750000000002</v>
      </c>
      <c r="N3576" s="580"/>
    </row>
    <row r="3577" spans="4:16" x14ac:dyDescent="0.25">
      <c r="D3577" s="559" t="s">
        <v>867</v>
      </c>
      <c r="E3577" s="558" t="s">
        <v>4694</v>
      </c>
      <c r="F3577" s="559">
        <v>500067</v>
      </c>
      <c r="G3577" s="558" t="s">
        <v>972</v>
      </c>
      <c r="H3577" s="564">
        <v>40015</v>
      </c>
      <c r="I3577" s="563">
        <v>1053</v>
      </c>
      <c r="J3577" s="563">
        <v>-585</v>
      </c>
      <c r="K3577" s="563">
        <f t="shared" si="165"/>
        <v>468</v>
      </c>
      <c r="L3577" s="563">
        <f t="shared" si="166"/>
        <v>514.80000000000007</v>
      </c>
      <c r="M3577" s="563">
        <f t="shared" si="167"/>
        <v>1158.3000000000002</v>
      </c>
      <c r="N3577" s="580"/>
      <c r="O3577" s="558"/>
      <c r="P3577" s="564"/>
    </row>
    <row r="3578" spans="4:16" x14ac:dyDescent="0.25">
      <c r="D3578" s="559" t="s">
        <v>867</v>
      </c>
      <c r="E3578" s="558" t="s">
        <v>1598</v>
      </c>
      <c r="F3578" s="559">
        <v>500416</v>
      </c>
      <c r="G3578" s="558" t="s">
        <v>972</v>
      </c>
      <c r="H3578" s="564">
        <v>40015</v>
      </c>
      <c r="I3578" s="563">
        <v>468</v>
      </c>
      <c r="J3578" s="563">
        <v>-468</v>
      </c>
      <c r="K3578" s="582">
        <f t="shared" si="165"/>
        <v>0</v>
      </c>
      <c r="L3578" s="563">
        <f t="shared" si="166"/>
        <v>0</v>
      </c>
      <c r="M3578" s="563">
        <f t="shared" si="167"/>
        <v>514.80000000000007</v>
      </c>
      <c r="N3578" s="580"/>
    </row>
    <row r="3579" spans="4:16" x14ac:dyDescent="0.25">
      <c r="D3579" s="559" t="s">
        <v>867</v>
      </c>
      <c r="E3579" s="558" t="s">
        <v>1599</v>
      </c>
      <c r="F3579" s="559">
        <v>502157</v>
      </c>
      <c r="G3579" s="558" t="s">
        <v>972</v>
      </c>
      <c r="H3579" s="564">
        <v>40015</v>
      </c>
      <c r="I3579" s="563">
        <v>29.25</v>
      </c>
      <c r="J3579" s="563">
        <v>-29.25</v>
      </c>
      <c r="K3579" s="582">
        <f t="shared" si="165"/>
        <v>0</v>
      </c>
      <c r="L3579" s="563">
        <f t="shared" si="166"/>
        <v>0</v>
      </c>
      <c r="M3579" s="563">
        <f t="shared" si="167"/>
        <v>32.175000000000004</v>
      </c>
      <c r="N3579" s="580"/>
    </row>
    <row r="3580" spans="4:16" x14ac:dyDescent="0.25">
      <c r="D3580" s="559" t="s">
        <v>867</v>
      </c>
      <c r="E3580" s="558" t="s">
        <v>1600</v>
      </c>
      <c r="F3580" s="559">
        <v>502155</v>
      </c>
      <c r="G3580" s="558" t="s">
        <v>972</v>
      </c>
      <c r="H3580" s="564">
        <v>40015</v>
      </c>
      <c r="I3580" s="563">
        <v>2622.75</v>
      </c>
      <c r="J3580" s="563">
        <v>-585</v>
      </c>
      <c r="K3580" s="582">
        <f t="shared" si="165"/>
        <v>2037.75</v>
      </c>
      <c r="L3580" s="563">
        <f t="shared" si="166"/>
        <v>2241.5250000000001</v>
      </c>
      <c r="M3580" s="563">
        <f t="shared" si="167"/>
        <v>2885.0250000000001</v>
      </c>
      <c r="N3580" s="580"/>
    </row>
    <row r="3581" spans="4:16" x14ac:dyDescent="0.25">
      <c r="D3581" s="559" t="s">
        <v>867</v>
      </c>
      <c r="E3581" s="558" t="s">
        <v>1601</v>
      </c>
      <c r="F3581" s="559">
        <v>502209</v>
      </c>
      <c r="G3581" s="558" t="s">
        <v>4696</v>
      </c>
      <c r="H3581" s="564">
        <v>40015</v>
      </c>
      <c r="I3581" s="563">
        <v>1004.25</v>
      </c>
      <c r="J3581" s="563">
        <v>-585</v>
      </c>
      <c r="K3581" s="582">
        <f t="shared" si="165"/>
        <v>419.25</v>
      </c>
      <c r="L3581" s="563">
        <f t="shared" si="166"/>
        <v>461.17500000000001</v>
      </c>
      <c r="M3581" s="563">
        <f t="shared" si="167"/>
        <v>1104.6750000000002</v>
      </c>
      <c r="N3581" s="580"/>
    </row>
    <row r="3582" spans="4:16" x14ac:dyDescent="0.25">
      <c r="D3582" s="559" t="s">
        <v>867</v>
      </c>
      <c r="E3582" s="558" t="s">
        <v>1602</v>
      </c>
      <c r="F3582" s="559">
        <v>502269</v>
      </c>
      <c r="G3582" s="558" t="s">
        <v>4696</v>
      </c>
      <c r="H3582" s="564">
        <v>40015</v>
      </c>
      <c r="I3582" s="563">
        <v>29.25</v>
      </c>
      <c r="J3582" s="563">
        <v>-29.25</v>
      </c>
      <c r="K3582" s="582">
        <f t="shared" si="165"/>
        <v>0</v>
      </c>
      <c r="L3582" s="563">
        <f t="shared" si="166"/>
        <v>0</v>
      </c>
      <c r="M3582" s="563">
        <f t="shared" si="167"/>
        <v>32.175000000000004</v>
      </c>
      <c r="N3582" s="580"/>
    </row>
    <row r="3583" spans="4:16" x14ac:dyDescent="0.25">
      <c r="D3583" s="559" t="s">
        <v>867</v>
      </c>
      <c r="E3583" s="558" t="s">
        <v>4695</v>
      </c>
      <c r="F3583" s="559">
        <v>502131</v>
      </c>
      <c r="G3583" s="558" t="s">
        <v>4696</v>
      </c>
      <c r="H3583" s="564">
        <v>40015</v>
      </c>
      <c r="I3583" s="563">
        <v>1004.25</v>
      </c>
      <c r="J3583" s="563">
        <v>-585</v>
      </c>
      <c r="K3583" s="563">
        <f t="shared" si="165"/>
        <v>419.25</v>
      </c>
      <c r="L3583" s="563">
        <f t="shared" si="166"/>
        <v>461.17500000000001</v>
      </c>
      <c r="M3583" s="563">
        <f t="shared" si="167"/>
        <v>1104.6750000000002</v>
      </c>
      <c r="N3583" s="580"/>
      <c r="O3583" s="558"/>
      <c r="P3583" s="564"/>
    </row>
    <row r="3584" spans="4:16" x14ac:dyDescent="0.25">
      <c r="D3584" s="559" t="s">
        <v>867</v>
      </c>
      <c r="E3584" s="558" t="s">
        <v>4697</v>
      </c>
      <c r="F3584" s="559">
        <v>500142</v>
      </c>
      <c r="G3584" s="558" t="s">
        <v>4696</v>
      </c>
      <c r="H3584" s="564">
        <v>40015</v>
      </c>
      <c r="I3584" s="563">
        <v>1160.25</v>
      </c>
      <c r="J3584" s="563">
        <v>-585</v>
      </c>
      <c r="K3584" s="563">
        <f t="shared" si="165"/>
        <v>575.25</v>
      </c>
      <c r="L3584" s="563">
        <f t="shared" si="166"/>
        <v>632.77500000000009</v>
      </c>
      <c r="M3584" s="563">
        <f t="shared" si="167"/>
        <v>1276.2750000000001</v>
      </c>
      <c r="N3584" s="580"/>
      <c r="O3584" s="558"/>
      <c r="P3584" s="564"/>
    </row>
    <row r="3585" spans="4:16" x14ac:dyDescent="0.25">
      <c r="D3585" s="559" t="s">
        <v>867</v>
      </c>
      <c r="E3585" s="558" t="s">
        <v>4698</v>
      </c>
      <c r="F3585" s="559">
        <v>500444</v>
      </c>
      <c r="G3585" s="558" t="s">
        <v>4696</v>
      </c>
      <c r="H3585" s="564">
        <v>40015</v>
      </c>
      <c r="I3585" s="563">
        <v>770.25</v>
      </c>
      <c r="J3585" s="563">
        <v>-585</v>
      </c>
      <c r="K3585" s="563">
        <f t="shared" si="165"/>
        <v>185.25</v>
      </c>
      <c r="L3585" s="563">
        <f t="shared" si="166"/>
        <v>203.77500000000001</v>
      </c>
      <c r="M3585" s="563">
        <f t="shared" si="167"/>
        <v>847.27500000000009</v>
      </c>
      <c r="N3585" s="580"/>
      <c r="O3585" s="558"/>
      <c r="P3585" s="564"/>
    </row>
    <row r="3586" spans="4:16" x14ac:dyDescent="0.25">
      <c r="D3586" s="559" t="s">
        <v>867</v>
      </c>
      <c r="E3586" s="558" t="s">
        <v>4699</v>
      </c>
      <c r="F3586" s="559">
        <v>500444</v>
      </c>
      <c r="G3586" s="558" t="s">
        <v>4700</v>
      </c>
      <c r="H3586" s="564">
        <v>40015</v>
      </c>
      <c r="I3586" s="563">
        <v>48.75</v>
      </c>
      <c r="J3586" s="563">
        <v>-48.75</v>
      </c>
      <c r="K3586" s="563">
        <f t="shared" si="165"/>
        <v>0</v>
      </c>
      <c r="L3586" s="563">
        <f t="shared" si="166"/>
        <v>0</v>
      </c>
      <c r="M3586" s="563">
        <f t="shared" si="167"/>
        <v>53.625000000000007</v>
      </c>
      <c r="N3586" s="580"/>
      <c r="O3586" s="558"/>
      <c r="P3586" s="564"/>
    </row>
    <row r="3587" spans="4:16" x14ac:dyDescent="0.25">
      <c r="D3587" s="559" t="s">
        <v>867</v>
      </c>
      <c r="E3587" s="558" t="s">
        <v>1603</v>
      </c>
      <c r="F3587" s="559">
        <v>500577</v>
      </c>
      <c r="G3587" s="558" t="s">
        <v>4700</v>
      </c>
      <c r="H3587" s="564">
        <v>40015</v>
      </c>
      <c r="I3587" s="563">
        <v>1901.25</v>
      </c>
      <c r="J3587" s="563">
        <v>-585</v>
      </c>
      <c r="K3587" s="582">
        <f t="shared" si="165"/>
        <v>1316.25</v>
      </c>
      <c r="L3587" s="563">
        <f t="shared" si="166"/>
        <v>1447.8750000000002</v>
      </c>
      <c r="M3587" s="563">
        <f t="shared" si="167"/>
        <v>2091.375</v>
      </c>
      <c r="N3587" s="580"/>
    </row>
    <row r="3588" spans="4:16" x14ac:dyDescent="0.25">
      <c r="D3588" s="559" t="s">
        <v>867</v>
      </c>
      <c r="E3588" s="558" t="s">
        <v>4701</v>
      </c>
      <c r="F3588" s="559">
        <v>500075</v>
      </c>
      <c r="G3588" s="558" t="s">
        <v>4700</v>
      </c>
      <c r="H3588" s="564">
        <v>40015</v>
      </c>
      <c r="I3588" s="563">
        <v>1745.25</v>
      </c>
      <c r="J3588" s="563">
        <v>-585</v>
      </c>
      <c r="K3588" s="563">
        <f t="shared" si="165"/>
        <v>1160.25</v>
      </c>
      <c r="L3588" s="563">
        <f t="shared" si="166"/>
        <v>1276.2750000000001</v>
      </c>
      <c r="M3588" s="563">
        <f t="shared" si="167"/>
        <v>1919.7750000000001</v>
      </c>
      <c r="N3588" s="580"/>
      <c r="O3588" s="558"/>
      <c r="P3588" s="564"/>
    </row>
    <row r="3589" spans="4:16" x14ac:dyDescent="0.25">
      <c r="D3589" s="559" t="s">
        <v>867</v>
      </c>
      <c r="E3589" s="558" t="s">
        <v>4702</v>
      </c>
      <c r="F3589" s="559">
        <v>502271</v>
      </c>
      <c r="G3589" s="558" t="s">
        <v>4700</v>
      </c>
      <c r="H3589" s="564">
        <v>40015</v>
      </c>
      <c r="I3589" s="563">
        <v>858</v>
      </c>
      <c r="J3589" s="563">
        <v>-585</v>
      </c>
      <c r="K3589" s="563">
        <f t="shared" si="165"/>
        <v>273</v>
      </c>
      <c r="L3589" s="563">
        <f t="shared" si="166"/>
        <v>300.3</v>
      </c>
      <c r="M3589" s="563">
        <f t="shared" si="167"/>
        <v>943.80000000000007</v>
      </c>
      <c r="N3589" s="580"/>
      <c r="O3589" s="558"/>
      <c r="P3589" s="564"/>
    </row>
    <row r="3590" spans="4:16" x14ac:dyDescent="0.25">
      <c r="D3590" s="559" t="s">
        <v>867</v>
      </c>
      <c r="E3590" s="558" t="s">
        <v>4703</v>
      </c>
      <c r="F3590" s="559">
        <v>502271</v>
      </c>
      <c r="G3590" s="558" t="s">
        <v>4700</v>
      </c>
      <c r="H3590" s="564">
        <v>40015</v>
      </c>
      <c r="I3590" s="563">
        <v>87.75</v>
      </c>
      <c r="J3590" s="563">
        <v>-87.75</v>
      </c>
      <c r="K3590" s="563">
        <f t="shared" si="165"/>
        <v>0</v>
      </c>
      <c r="L3590" s="563">
        <f t="shared" si="166"/>
        <v>0</v>
      </c>
      <c r="M3590" s="563">
        <f t="shared" si="167"/>
        <v>96.525000000000006</v>
      </c>
      <c r="N3590" s="580"/>
      <c r="O3590" s="558"/>
      <c r="P3590" s="564"/>
    </row>
    <row r="3591" spans="4:16" x14ac:dyDescent="0.25">
      <c r="D3591" s="559" t="s">
        <v>867</v>
      </c>
      <c r="E3591" s="558" t="s">
        <v>1604</v>
      </c>
      <c r="F3591" s="559">
        <v>502220</v>
      </c>
      <c r="G3591" s="558" t="s">
        <v>4705</v>
      </c>
      <c r="H3591" s="564">
        <v>40015</v>
      </c>
      <c r="I3591" s="563">
        <v>1472.25</v>
      </c>
      <c r="J3591" s="563">
        <v>-585</v>
      </c>
      <c r="K3591" s="582">
        <f t="shared" si="165"/>
        <v>887.25</v>
      </c>
      <c r="L3591" s="563">
        <f t="shared" si="166"/>
        <v>975.97500000000002</v>
      </c>
      <c r="M3591" s="563">
        <f t="shared" si="167"/>
        <v>1619.4750000000001</v>
      </c>
      <c r="N3591" s="580"/>
    </row>
    <row r="3592" spans="4:16" x14ac:dyDescent="0.25">
      <c r="D3592" s="559" t="s">
        <v>867</v>
      </c>
      <c r="E3592" s="558" t="s">
        <v>4704</v>
      </c>
      <c r="F3592" s="559">
        <v>500036</v>
      </c>
      <c r="G3592" s="558" t="s">
        <v>4705</v>
      </c>
      <c r="H3592" s="564">
        <v>40015</v>
      </c>
      <c r="I3592" s="563">
        <v>29.25</v>
      </c>
      <c r="J3592" s="563">
        <v>-29.25</v>
      </c>
      <c r="K3592" s="563">
        <f t="shared" si="165"/>
        <v>0</v>
      </c>
      <c r="L3592" s="563">
        <f t="shared" si="166"/>
        <v>0</v>
      </c>
      <c r="M3592" s="563">
        <f t="shared" si="167"/>
        <v>32.175000000000004</v>
      </c>
      <c r="N3592" s="580"/>
      <c r="O3592" s="558"/>
      <c r="P3592" s="564"/>
    </row>
    <row r="3593" spans="4:16" x14ac:dyDescent="0.25">
      <c r="D3593" s="559" t="s">
        <v>867</v>
      </c>
      <c r="E3593" s="558" t="s">
        <v>4706</v>
      </c>
      <c r="F3593" s="559">
        <v>500036</v>
      </c>
      <c r="G3593" s="558" t="s">
        <v>4705</v>
      </c>
      <c r="H3593" s="564">
        <v>40015</v>
      </c>
      <c r="I3593" s="563">
        <v>29.25</v>
      </c>
      <c r="J3593" s="563">
        <v>-29.25</v>
      </c>
      <c r="K3593" s="563">
        <f t="shared" si="165"/>
        <v>0</v>
      </c>
      <c r="L3593" s="563">
        <f t="shared" si="166"/>
        <v>0</v>
      </c>
      <c r="M3593" s="563">
        <f t="shared" si="167"/>
        <v>32.175000000000004</v>
      </c>
      <c r="N3593" s="580"/>
      <c r="O3593" s="558"/>
      <c r="P3593" s="564"/>
    </row>
    <row r="3594" spans="4:16" x14ac:dyDescent="0.25">
      <c r="D3594" s="559" t="s">
        <v>867</v>
      </c>
      <c r="E3594" s="558" t="s">
        <v>4707</v>
      </c>
      <c r="F3594" s="559">
        <v>500036</v>
      </c>
      <c r="G3594" s="558" t="s">
        <v>4705</v>
      </c>
      <c r="H3594" s="564">
        <v>40015</v>
      </c>
      <c r="I3594" s="563">
        <v>1394.25</v>
      </c>
      <c r="J3594" s="563">
        <v>-585</v>
      </c>
      <c r="K3594" s="563">
        <f t="shared" si="165"/>
        <v>809.25</v>
      </c>
      <c r="L3594" s="563">
        <f t="shared" si="166"/>
        <v>890.17500000000007</v>
      </c>
      <c r="M3594" s="563">
        <f t="shared" si="167"/>
        <v>1533.6750000000002</v>
      </c>
      <c r="N3594" s="580"/>
      <c r="O3594" s="558"/>
      <c r="P3594" s="564"/>
    </row>
    <row r="3595" spans="4:16" x14ac:dyDescent="0.25">
      <c r="D3595" s="559" t="s">
        <v>867</v>
      </c>
      <c r="E3595" s="558" t="s">
        <v>4708</v>
      </c>
      <c r="F3595" s="559">
        <v>500036</v>
      </c>
      <c r="G3595" s="558" t="s">
        <v>4705</v>
      </c>
      <c r="H3595" s="564">
        <v>40015</v>
      </c>
      <c r="I3595" s="563">
        <v>107.25</v>
      </c>
      <c r="J3595" s="563">
        <v>-107.25</v>
      </c>
      <c r="K3595" s="563">
        <f t="shared" si="165"/>
        <v>0</v>
      </c>
      <c r="L3595" s="563">
        <f t="shared" si="166"/>
        <v>0</v>
      </c>
      <c r="M3595" s="563">
        <f t="shared" si="167"/>
        <v>117.97500000000001</v>
      </c>
      <c r="N3595" s="580"/>
      <c r="O3595" s="558"/>
      <c r="P3595" s="564"/>
    </row>
    <row r="3596" spans="4:16" x14ac:dyDescent="0.25">
      <c r="D3596" s="559" t="s">
        <v>867</v>
      </c>
      <c r="E3596" s="558" t="s">
        <v>4709</v>
      </c>
      <c r="F3596" s="559">
        <v>500021</v>
      </c>
      <c r="G3596" s="558" t="s">
        <v>4710</v>
      </c>
      <c r="H3596" s="564">
        <v>40015</v>
      </c>
      <c r="I3596" s="563">
        <v>29.25</v>
      </c>
      <c r="J3596" s="563">
        <v>-29.25</v>
      </c>
      <c r="K3596" s="563">
        <f t="shared" si="165"/>
        <v>0</v>
      </c>
      <c r="L3596" s="563">
        <f t="shared" si="166"/>
        <v>0</v>
      </c>
      <c r="M3596" s="563">
        <f t="shared" si="167"/>
        <v>32.175000000000004</v>
      </c>
      <c r="N3596" s="580"/>
      <c r="O3596" s="558"/>
      <c r="P3596" s="564"/>
    </row>
    <row r="3597" spans="4:16" x14ac:dyDescent="0.25">
      <c r="D3597" s="559" t="s">
        <v>867</v>
      </c>
      <c r="E3597" s="558" t="s">
        <v>4711</v>
      </c>
      <c r="F3597" s="559">
        <v>500507</v>
      </c>
      <c r="G3597" s="558" t="s">
        <v>4710</v>
      </c>
      <c r="H3597" s="564">
        <v>40015</v>
      </c>
      <c r="I3597" s="563">
        <v>29.25</v>
      </c>
      <c r="J3597" s="563">
        <v>-29.25</v>
      </c>
      <c r="K3597" s="563">
        <f t="shared" si="165"/>
        <v>0</v>
      </c>
      <c r="L3597" s="563">
        <f t="shared" si="166"/>
        <v>0</v>
      </c>
      <c r="M3597" s="563">
        <f t="shared" si="167"/>
        <v>32.175000000000004</v>
      </c>
      <c r="N3597" s="580"/>
      <c r="O3597" s="558"/>
      <c r="P3597" s="564"/>
    </row>
    <row r="3598" spans="4:16" x14ac:dyDescent="0.25">
      <c r="D3598" s="559" t="s">
        <v>867</v>
      </c>
      <c r="E3598" s="558" t="s">
        <v>4712</v>
      </c>
      <c r="F3598" s="559">
        <v>500184</v>
      </c>
      <c r="G3598" s="558" t="s">
        <v>4710</v>
      </c>
      <c r="H3598" s="564">
        <v>40015</v>
      </c>
      <c r="I3598" s="563">
        <v>27.3</v>
      </c>
      <c r="J3598" s="563">
        <v>-27.3</v>
      </c>
      <c r="K3598" s="563">
        <f t="shared" si="165"/>
        <v>0</v>
      </c>
      <c r="L3598" s="563">
        <f t="shared" si="166"/>
        <v>0</v>
      </c>
      <c r="M3598" s="563">
        <f t="shared" si="167"/>
        <v>30.030000000000005</v>
      </c>
      <c r="N3598" s="580"/>
      <c r="O3598" s="558"/>
      <c r="P3598" s="564"/>
    </row>
    <row r="3599" spans="4:16" x14ac:dyDescent="0.25">
      <c r="D3599" s="559" t="s">
        <v>867</v>
      </c>
      <c r="E3599" s="558" t="s">
        <v>4713</v>
      </c>
      <c r="F3599" s="559">
        <v>500184</v>
      </c>
      <c r="G3599" s="558" t="s">
        <v>4710</v>
      </c>
      <c r="H3599" s="564">
        <v>40015</v>
      </c>
      <c r="I3599" s="563">
        <v>2016.3</v>
      </c>
      <c r="J3599" s="563">
        <v>-585</v>
      </c>
      <c r="K3599" s="563">
        <f t="shared" si="165"/>
        <v>1431.3</v>
      </c>
      <c r="L3599" s="563">
        <f t="shared" si="166"/>
        <v>1574.43</v>
      </c>
      <c r="M3599" s="563">
        <f t="shared" si="167"/>
        <v>2217.9300000000003</v>
      </c>
      <c r="N3599" s="580"/>
      <c r="O3599" s="558"/>
      <c r="P3599" s="564"/>
    </row>
    <row r="3600" spans="4:16" x14ac:dyDescent="0.25">
      <c r="D3600" s="559" t="s">
        <v>867</v>
      </c>
      <c r="E3600" s="558" t="s">
        <v>4714</v>
      </c>
      <c r="F3600" s="559">
        <v>500184</v>
      </c>
      <c r="G3600" s="558" t="s">
        <v>4710</v>
      </c>
      <c r="H3600" s="564">
        <v>40015</v>
      </c>
      <c r="I3600" s="563">
        <v>222.3</v>
      </c>
      <c r="J3600" s="563">
        <v>-222.3</v>
      </c>
      <c r="K3600" s="563">
        <f t="shared" si="165"/>
        <v>0</v>
      </c>
      <c r="L3600" s="563">
        <f t="shared" si="166"/>
        <v>0</v>
      </c>
      <c r="M3600" s="563">
        <f t="shared" si="167"/>
        <v>244.53000000000003</v>
      </c>
      <c r="N3600" s="580"/>
      <c r="O3600" s="558"/>
      <c r="P3600" s="564"/>
    </row>
    <row r="3601" spans="4:16" x14ac:dyDescent="0.25">
      <c r="D3601" s="559" t="s">
        <v>867</v>
      </c>
      <c r="E3601" s="558" t="s">
        <v>1605</v>
      </c>
      <c r="F3601" s="559">
        <v>500080</v>
      </c>
      <c r="G3601" s="558" t="s">
        <v>903</v>
      </c>
      <c r="H3601" s="564">
        <v>40015</v>
      </c>
      <c r="I3601" s="563">
        <v>1509.3</v>
      </c>
      <c r="J3601" s="563">
        <v>-585</v>
      </c>
      <c r="K3601" s="582">
        <f t="shared" si="165"/>
        <v>924.3</v>
      </c>
      <c r="L3601" s="563">
        <f t="shared" si="166"/>
        <v>1016.73</v>
      </c>
      <c r="M3601" s="563">
        <f t="shared" si="167"/>
        <v>1660.23</v>
      </c>
      <c r="N3601" s="580"/>
    </row>
    <row r="3602" spans="4:16" x14ac:dyDescent="0.25">
      <c r="D3602" s="559" t="s">
        <v>867</v>
      </c>
      <c r="E3602" s="558" t="s">
        <v>4715</v>
      </c>
      <c r="F3602" s="559">
        <v>500081</v>
      </c>
      <c r="G3602" s="558" t="s">
        <v>903</v>
      </c>
      <c r="H3602" s="564">
        <v>40015</v>
      </c>
      <c r="I3602" s="563">
        <v>35.1</v>
      </c>
      <c r="J3602" s="563">
        <v>-35.1</v>
      </c>
      <c r="K3602" s="563">
        <f t="shared" si="165"/>
        <v>0</v>
      </c>
      <c r="L3602" s="563">
        <f t="shared" si="166"/>
        <v>0</v>
      </c>
      <c r="M3602" s="563">
        <f t="shared" si="167"/>
        <v>38.610000000000007</v>
      </c>
      <c r="N3602" s="580"/>
      <c r="O3602" s="558"/>
      <c r="P3602" s="564"/>
    </row>
    <row r="3603" spans="4:16" x14ac:dyDescent="0.25">
      <c r="D3603" s="559" t="s">
        <v>867</v>
      </c>
      <c r="E3603" s="558" t="s">
        <v>4716</v>
      </c>
      <c r="F3603" s="559">
        <v>500081</v>
      </c>
      <c r="G3603" s="558" t="s">
        <v>903</v>
      </c>
      <c r="H3603" s="564">
        <v>40015</v>
      </c>
      <c r="I3603" s="563">
        <v>35.1</v>
      </c>
      <c r="J3603" s="563">
        <v>-35.1</v>
      </c>
      <c r="K3603" s="563">
        <f t="shared" si="165"/>
        <v>0</v>
      </c>
      <c r="L3603" s="563">
        <f t="shared" si="166"/>
        <v>0</v>
      </c>
      <c r="M3603" s="563">
        <f t="shared" si="167"/>
        <v>38.610000000000007</v>
      </c>
      <c r="N3603" s="580"/>
      <c r="O3603" s="558"/>
      <c r="P3603" s="564"/>
    </row>
    <row r="3604" spans="4:16" x14ac:dyDescent="0.25">
      <c r="D3604" s="559" t="s">
        <v>867</v>
      </c>
      <c r="E3604" s="558" t="s">
        <v>4717</v>
      </c>
      <c r="F3604" s="559">
        <v>500081</v>
      </c>
      <c r="G3604" s="558" t="s">
        <v>903</v>
      </c>
      <c r="H3604" s="564">
        <v>40015</v>
      </c>
      <c r="I3604" s="563">
        <v>776.1</v>
      </c>
      <c r="J3604" s="563">
        <v>-585</v>
      </c>
      <c r="K3604" s="563">
        <f t="shared" si="165"/>
        <v>191.10000000000002</v>
      </c>
      <c r="L3604" s="563">
        <f t="shared" si="166"/>
        <v>210.21000000000004</v>
      </c>
      <c r="M3604" s="563">
        <f t="shared" si="167"/>
        <v>853.71000000000015</v>
      </c>
      <c r="N3604" s="580"/>
      <c r="O3604" s="558"/>
      <c r="P3604" s="564"/>
    </row>
    <row r="3605" spans="4:16" x14ac:dyDescent="0.25">
      <c r="D3605" s="559" t="s">
        <v>867</v>
      </c>
      <c r="E3605" s="558" t="s">
        <v>1606</v>
      </c>
      <c r="F3605" s="559">
        <v>500447</v>
      </c>
      <c r="G3605" s="558" t="s">
        <v>4719</v>
      </c>
      <c r="H3605" s="564">
        <v>40015</v>
      </c>
      <c r="I3605" s="563">
        <v>819</v>
      </c>
      <c r="J3605" s="563">
        <v>-585</v>
      </c>
      <c r="K3605" s="582">
        <f t="shared" si="165"/>
        <v>234</v>
      </c>
      <c r="L3605" s="563">
        <f t="shared" si="166"/>
        <v>257.40000000000003</v>
      </c>
      <c r="M3605" s="563">
        <f t="shared" si="167"/>
        <v>900.90000000000009</v>
      </c>
      <c r="N3605" s="580"/>
    </row>
    <row r="3606" spans="4:16" x14ac:dyDescent="0.25">
      <c r="D3606" s="559" t="s">
        <v>867</v>
      </c>
      <c r="E3606" s="558" t="s">
        <v>1607</v>
      </c>
      <c r="F3606" s="559">
        <v>500448</v>
      </c>
      <c r="G3606" s="558" t="s">
        <v>4719</v>
      </c>
      <c r="H3606" s="564">
        <v>40015</v>
      </c>
      <c r="I3606" s="563">
        <v>553.79999999999995</v>
      </c>
      <c r="J3606" s="563">
        <v>-553.79999999999995</v>
      </c>
      <c r="K3606" s="582">
        <f t="shared" si="165"/>
        <v>0</v>
      </c>
      <c r="L3606" s="563">
        <f t="shared" si="166"/>
        <v>0</v>
      </c>
      <c r="M3606" s="563">
        <f t="shared" si="167"/>
        <v>609.17999999999995</v>
      </c>
      <c r="N3606" s="580"/>
    </row>
    <row r="3607" spans="4:16" x14ac:dyDescent="0.25">
      <c r="D3607" s="559" t="s">
        <v>867</v>
      </c>
      <c r="E3607" s="558" t="s">
        <v>4718</v>
      </c>
      <c r="F3607" s="559">
        <v>500085</v>
      </c>
      <c r="G3607" s="558" t="s">
        <v>4719</v>
      </c>
      <c r="H3607" s="564">
        <v>40015</v>
      </c>
      <c r="I3607" s="563">
        <v>748.8</v>
      </c>
      <c r="J3607" s="563">
        <v>-585</v>
      </c>
      <c r="K3607" s="563">
        <f t="shared" si="165"/>
        <v>163.79999999999995</v>
      </c>
      <c r="L3607" s="563">
        <f t="shared" si="166"/>
        <v>180.17999999999998</v>
      </c>
      <c r="M3607" s="563">
        <f t="shared" si="167"/>
        <v>823.68000000000006</v>
      </c>
      <c r="N3607" s="580"/>
      <c r="O3607" s="558"/>
      <c r="P3607" s="564"/>
    </row>
    <row r="3608" spans="4:16" x14ac:dyDescent="0.25">
      <c r="D3608" s="559" t="s">
        <v>867</v>
      </c>
      <c r="E3608" s="558" t="s">
        <v>1608</v>
      </c>
      <c r="F3608" s="559">
        <v>502282</v>
      </c>
      <c r="G3608" s="558" t="s">
        <v>4719</v>
      </c>
      <c r="H3608" s="564">
        <v>40015</v>
      </c>
      <c r="I3608" s="563">
        <v>1567.8</v>
      </c>
      <c r="J3608" s="563">
        <v>-585</v>
      </c>
      <c r="K3608" s="582">
        <f t="shared" si="165"/>
        <v>982.8</v>
      </c>
      <c r="L3608" s="563">
        <f t="shared" si="166"/>
        <v>1081.08</v>
      </c>
      <c r="M3608" s="563">
        <f t="shared" si="167"/>
        <v>1724.5800000000002</v>
      </c>
      <c r="N3608" s="580"/>
    </row>
    <row r="3609" spans="4:16" x14ac:dyDescent="0.25">
      <c r="D3609" s="559" t="s">
        <v>867</v>
      </c>
      <c r="E3609" s="558" t="s">
        <v>1609</v>
      </c>
      <c r="F3609" s="559">
        <v>500087</v>
      </c>
      <c r="G3609" s="558" t="s">
        <v>4719</v>
      </c>
      <c r="H3609" s="564">
        <v>40015</v>
      </c>
      <c r="I3609" s="563">
        <v>507</v>
      </c>
      <c r="J3609" s="563">
        <v>-507</v>
      </c>
      <c r="K3609" s="582">
        <f t="shared" si="165"/>
        <v>0</v>
      </c>
      <c r="L3609" s="563">
        <f t="shared" si="166"/>
        <v>0</v>
      </c>
      <c r="M3609" s="563">
        <f t="shared" si="167"/>
        <v>557.70000000000005</v>
      </c>
      <c r="N3609" s="580"/>
    </row>
    <row r="3610" spans="4:16" x14ac:dyDescent="0.25">
      <c r="D3610" s="559" t="s">
        <v>867</v>
      </c>
      <c r="E3610" s="558" t="s">
        <v>1610</v>
      </c>
      <c r="F3610" s="559">
        <v>502275</v>
      </c>
      <c r="G3610" s="558" t="s">
        <v>779</v>
      </c>
      <c r="H3610" s="564">
        <v>40015</v>
      </c>
      <c r="I3610" s="563">
        <v>986.7</v>
      </c>
      <c r="J3610" s="563">
        <v>-585</v>
      </c>
      <c r="K3610" s="582">
        <f t="shared" si="165"/>
        <v>401.70000000000005</v>
      </c>
      <c r="L3610" s="563">
        <f t="shared" si="166"/>
        <v>441.87000000000006</v>
      </c>
      <c r="M3610" s="563">
        <f t="shared" si="167"/>
        <v>1085.3700000000001</v>
      </c>
      <c r="N3610" s="580"/>
    </row>
    <row r="3611" spans="4:16" x14ac:dyDescent="0.25">
      <c r="D3611" s="559" t="s">
        <v>867</v>
      </c>
      <c r="E3611" s="558" t="s">
        <v>4720</v>
      </c>
      <c r="F3611" s="559">
        <v>500090</v>
      </c>
      <c r="G3611" s="558" t="s">
        <v>4721</v>
      </c>
      <c r="H3611" s="564">
        <v>40015</v>
      </c>
      <c r="I3611" s="563">
        <v>1692.6</v>
      </c>
      <c r="J3611" s="563">
        <v>-585</v>
      </c>
      <c r="K3611" s="563">
        <f t="shared" si="165"/>
        <v>1107.5999999999999</v>
      </c>
      <c r="L3611" s="563">
        <f t="shared" si="166"/>
        <v>1218.3599999999999</v>
      </c>
      <c r="M3611" s="563">
        <f t="shared" si="167"/>
        <v>1861.8600000000001</v>
      </c>
      <c r="N3611" s="580"/>
      <c r="O3611" s="558"/>
      <c r="P3611" s="564"/>
    </row>
    <row r="3612" spans="4:16" x14ac:dyDescent="0.25">
      <c r="D3612" s="559" t="s">
        <v>867</v>
      </c>
      <c r="E3612" s="558" t="s">
        <v>4722</v>
      </c>
      <c r="F3612" s="559">
        <v>502256</v>
      </c>
      <c r="G3612" s="558" t="s">
        <v>4721</v>
      </c>
      <c r="H3612" s="564">
        <v>40015</v>
      </c>
      <c r="I3612" s="563">
        <v>2082.6</v>
      </c>
      <c r="J3612" s="563">
        <v>-585</v>
      </c>
      <c r="K3612" s="563">
        <f t="shared" si="165"/>
        <v>1497.6</v>
      </c>
      <c r="L3612" s="563">
        <f t="shared" si="166"/>
        <v>1647.3600000000001</v>
      </c>
      <c r="M3612" s="563">
        <f t="shared" si="167"/>
        <v>2290.86</v>
      </c>
      <c r="N3612" s="580"/>
      <c r="O3612" s="558"/>
      <c r="P3612" s="564"/>
    </row>
    <row r="3613" spans="4:16" x14ac:dyDescent="0.25">
      <c r="D3613" s="559" t="s">
        <v>867</v>
      </c>
      <c r="E3613" s="558" t="s">
        <v>4723</v>
      </c>
      <c r="F3613" s="559">
        <v>502256</v>
      </c>
      <c r="G3613" s="558" t="s">
        <v>4721</v>
      </c>
      <c r="H3613" s="564">
        <v>40015</v>
      </c>
      <c r="I3613" s="563">
        <v>819</v>
      </c>
      <c r="J3613" s="563">
        <v>-585</v>
      </c>
      <c r="K3613" s="563">
        <f t="shared" si="165"/>
        <v>234</v>
      </c>
      <c r="L3613" s="563">
        <f t="shared" si="166"/>
        <v>257.40000000000003</v>
      </c>
      <c r="M3613" s="563">
        <f t="shared" si="167"/>
        <v>900.90000000000009</v>
      </c>
      <c r="N3613" s="580"/>
      <c r="O3613" s="558"/>
      <c r="P3613" s="564"/>
    </row>
    <row r="3614" spans="4:16" x14ac:dyDescent="0.25">
      <c r="D3614" s="559" t="s">
        <v>867</v>
      </c>
      <c r="E3614" s="558" t="s">
        <v>4724</v>
      </c>
      <c r="F3614" s="559">
        <v>502158</v>
      </c>
      <c r="G3614" s="558" t="s">
        <v>4721</v>
      </c>
      <c r="H3614" s="564">
        <v>40015</v>
      </c>
      <c r="I3614" s="563">
        <v>1458.6</v>
      </c>
      <c r="J3614" s="563">
        <v>-585</v>
      </c>
      <c r="K3614" s="563">
        <f t="shared" si="165"/>
        <v>873.59999999999991</v>
      </c>
      <c r="L3614" s="563">
        <f t="shared" si="166"/>
        <v>960.95999999999992</v>
      </c>
      <c r="M3614" s="563">
        <f t="shared" si="167"/>
        <v>1604.46</v>
      </c>
      <c r="N3614" s="580"/>
      <c r="O3614" s="558"/>
      <c r="P3614" s="564"/>
    </row>
    <row r="3615" spans="4:16" x14ac:dyDescent="0.25">
      <c r="D3615" s="559" t="s">
        <v>867</v>
      </c>
      <c r="E3615" s="558" t="s">
        <v>1611</v>
      </c>
      <c r="F3615" s="559">
        <v>500025</v>
      </c>
      <c r="G3615" s="558" t="s">
        <v>4721</v>
      </c>
      <c r="H3615" s="564">
        <v>40015</v>
      </c>
      <c r="I3615" s="563">
        <v>468</v>
      </c>
      <c r="J3615" s="563">
        <v>-468</v>
      </c>
      <c r="K3615" s="582">
        <f t="shared" si="165"/>
        <v>0</v>
      </c>
      <c r="L3615" s="563">
        <f t="shared" si="166"/>
        <v>0</v>
      </c>
      <c r="M3615" s="563">
        <f t="shared" si="167"/>
        <v>514.80000000000007</v>
      </c>
      <c r="N3615" s="580"/>
    </row>
    <row r="3616" spans="4:16" x14ac:dyDescent="0.25">
      <c r="D3616" s="559" t="s">
        <v>867</v>
      </c>
      <c r="E3616" s="558" t="s">
        <v>4725</v>
      </c>
      <c r="F3616" s="559">
        <v>500095</v>
      </c>
      <c r="G3616" s="558" t="s">
        <v>4726</v>
      </c>
      <c r="H3616" s="564">
        <v>40015</v>
      </c>
      <c r="I3616" s="563">
        <v>2043.6</v>
      </c>
      <c r="J3616" s="563">
        <v>-585</v>
      </c>
      <c r="K3616" s="563">
        <f t="shared" si="165"/>
        <v>1458.6</v>
      </c>
      <c r="L3616" s="563">
        <f t="shared" si="166"/>
        <v>1604.46</v>
      </c>
      <c r="M3616" s="563">
        <f t="shared" si="167"/>
        <v>2247.96</v>
      </c>
      <c r="N3616" s="580"/>
      <c r="O3616" s="558"/>
      <c r="P3616" s="564"/>
    </row>
    <row r="3617" spans="4:16" x14ac:dyDescent="0.25">
      <c r="D3617" s="559" t="s">
        <v>867</v>
      </c>
      <c r="E3617" s="558" t="s">
        <v>4727</v>
      </c>
      <c r="F3617" s="559">
        <v>500095</v>
      </c>
      <c r="G3617" s="558" t="s">
        <v>4726</v>
      </c>
      <c r="H3617" s="564">
        <v>40015</v>
      </c>
      <c r="I3617" s="563">
        <v>101.4</v>
      </c>
      <c r="J3617" s="563">
        <v>-101.4</v>
      </c>
      <c r="K3617" s="563">
        <f t="shared" si="165"/>
        <v>0</v>
      </c>
      <c r="L3617" s="563">
        <f t="shared" si="166"/>
        <v>0</v>
      </c>
      <c r="M3617" s="563">
        <f t="shared" si="167"/>
        <v>111.54000000000002</v>
      </c>
      <c r="N3617" s="580"/>
      <c r="O3617" s="558"/>
      <c r="P3617" s="564"/>
    </row>
    <row r="3618" spans="4:16" x14ac:dyDescent="0.25">
      <c r="D3618" s="559" t="s">
        <v>867</v>
      </c>
      <c r="E3618" s="558" t="s">
        <v>4728</v>
      </c>
      <c r="F3618" s="559">
        <v>500096</v>
      </c>
      <c r="G3618" s="558" t="s">
        <v>4726</v>
      </c>
      <c r="H3618" s="564">
        <v>40015</v>
      </c>
      <c r="I3618" s="563">
        <v>93.6</v>
      </c>
      <c r="J3618" s="563">
        <v>-93.6</v>
      </c>
      <c r="K3618" s="563">
        <f t="shared" si="165"/>
        <v>0</v>
      </c>
      <c r="L3618" s="563">
        <f t="shared" si="166"/>
        <v>0</v>
      </c>
      <c r="M3618" s="563">
        <f t="shared" si="167"/>
        <v>102.96000000000001</v>
      </c>
      <c r="N3618" s="580"/>
      <c r="O3618" s="558"/>
      <c r="P3618" s="564"/>
    </row>
    <row r="3619" spans="4:16" x14ac:dyDescent="0.25">
      <c r="D3619" s="559" t="s">
        <v>867</v>
      </c>
      <c r="E3619" s="558" t="s">
        <v>4729</v>
      </c>
      <c r="F3619" s="559">
        <v>500096</v>
      </c>
      <c r="G3619" s="558" t="s">
        <v>4726</v>
      </c>
      <c r="H3619" s="564">
        <v>40015</v>
      </c>
      <c r="I3619" s="563">
        <v>5514.6</v>
      </c>
      <c r="J3619" s="563">
        <v>-585</v>
      </c>
      <c r="K3619" s="563">
        <f t="shared" si="165"/>
        <v>4929.6000000000004</v>
      </c>
      <c r="L3619" s="563">
        <f t="shared" si="166"/>
        <v>5422.56</v>
      </c>
      <c r="M3619" s="563">
        <f t="shared" si="167"/>
        <v>6066.0600000000013</v>
      </c>
      <c r="N3619" s="580"/>
      <c r="O3619" s="558"/>
      <c r="P3619" s="564"/>
    </row>
    <row r="3620" spans="4:16" x14ac:dyDescent="0.25">
      <c r="D3620" s="559" t="s">
        <v>867</v>
      </c>
      <c r="E3620" s="558" t="s">
        <v>4730</v>
      </c>
      <c r="F3620" s="559">
        <v>500098</v>
      </c>
      <c r="G3620" s="558" t="s">
        <v>4726</v>
      </c>
      <c r="H3620" s="564">
        <v>40015</v>
      </c>
      <c r="I3620" s="563">
        <v>4929.6000000000004</v>
      </c>
      <c r="J3620" s="563">
        <v>-585</v>
      </c>
      <c r="K3620" s="563">
        <f t="shared" si="165"/>
        <v>4344.6000000000004</v>
      </c>
      <c r="L3620" s="563">
        <f t="shared" si="166"/>
        <v>4779.0600000000004</v>
      </c>
      <c r="M3620" s="563">
        <f t="shared" si="167"/>
        <v>5422.56</v>
      </c>
      <c r="N3620" s="580"/>
      <c r="O3620" s="558"/>
      <c r="P3620" s="564"/>
    </row>
    <row r="3621" spans="4:16" x14ac:dyDescent="0.25">
      <c r="D3621" s="559" t="s">
        <v>867</v>
      </c>
      <c r="E3621" s="558" t="s">
        <v>4731</v>
      </c>
      <c r="F3621" s="559">
        <v>502260</v>
      </c>
      <c r="G3621" s="558" t="s">
        <v>4732</v>
      </c>
      <c r="H3621" s="564">
        <v>40015</v>
      </c>
      <c r="I3621" s="563">
        <v>2004.6</v>
      </c>
      <c r="J3621" s="563">
        <v>-585</v>
      </c>
      <c r="K3621" s="563">
        <f t="shared" si="165"/>
        <v>1419.6</v>
      </c>
      <c r="L3621" s="563">
        <f t="shared" si="166"/>
        <v>1561.56</v>
      </c>
      <c r="M3621" s="563">
        <f t="shared" si="167"/>
        <v>2205.06</v>
      </c>
      <c r="N3621" s="580"/>
      <c r="O3621" s="558"/>
      <c r="P3621" s="564"/>
    </row>
    <row r="3622" spans="4:16" x14ac:dyDescent="0.25">
      <c r="D3622" s="559" t="s">
        <v>867</v>
      </c>
      <c r="E3622" s="558" t="s">
        <v>4733</v>
      </c>
      <c r="F3622" s="559">
        <v>502294</v>
      </c>
      <c r="G3622" s="558" t="s">
        <v>4732</v>
      </c>
      <c r="H3622" s="564">
        <v>40015</v>
      </c>
      <c r="I3622" s="563">
        <v>2043.6</v>
      </c>
      <c r="J3622" s="563">
        <v>-585</v>
      </c>
      <c r="K3622" s="563">
        <f t="shared" si="165"/>
        <v>1458.6</v>
      </c>
      <c r="L3622" s="563">
        <f t="shared" si="166"/>
        <v>1604.46</v>
      </c>
      <c r="M3622" s="563">
        <f t="shared" si="167"/>
        <v>2247.96</v>
      </c>
      <c r="N3622" s="580"/>
      <c r="O3622" s="558"/>
      <c r="P3622" s="564"/>
    </row>
    <row r="3623" spans="4:16" x14ac:dyDescent="0.25">
      <c r="D3623" s="559" t="s">
        <v>867</v>
      </c>
      <c r="E3623" s="558" t="s">
        <v>1612</v>
      </c>
      <c r="F3623" s="559">
        <v>502141</v>
      </c>
      <c r="G3623" s="558" t="s">
        <v>4732</v>
      </c>
      <c r="H3623" s="564">
        <v>40015</v>
      </c>
      <c r="I3623" s="563">
        <v>2784.6</v>
      </c>
      <c r="J3623" s="563">
        <v>-585</v>
      </c>
      <c r="K3623" s="582">
        <f t="shared" si="165"/>
        <v>2199.6</v>
      </c>
      <c r="L3623" s="563">
        <f t="shared" si="166"/>
        <v>2419.56</v>
      </c>
      <c r="M3623" s="563">
        <f t="shared" si="167"/>
        <v>3063.06</v>
      </c>
      <c r="N3623" s="580"/>
    </row>
    <row r="3624" spans="4:16" x14ac:dyDescent="0.25">
      <c r="D3624" s="559" t="s">
        <v>867</v>
      </c>
      <c r="E3624" s="558" t="s">
        <v>1613</v>
      </c>
      <c r="F3624" s="559">
        <v>502224</v>
      </c>
      <c r="G3624" s="558" t="s">
        <v>4732</v>
      </c>
      <c r="H3624" s="564">
        <v>40015</v>
      </c>
      <c r="I3624" s="563">
        <v>805.35</v>
      </c>
      <c r="J3624" s="563">
        <v>-585</v>
      </c>
      <c r="K3624" s="582">
        <f t="shared" si="165"/>
        <v>220.35000000000002</v>
      </c>
      <c r="L3624" s="563">
        <f t="shared" si="166"/>
        <v>242.38500000000005</v>
      </c>
      <c r="M3624" s="563">
        <f t="shared" si="167"/>
        <v>885.8850000000001</v>
      </c>
      <c r="N3624" s="580"/>
    </row>
    <row r="3625" spans="4:16" x14ac:dyDescent="0.25">
      <c r="D3625" s="559" t="s">
        <v>867</v>
      </c>
      <c r="E3625" s="558" t="s">
        <v>1614</v>
      </c>
      <c r="F3625" s="559">
        <v>502224</v>
      </c>
      <c r="G3625" s="558" t="s">
        <v>4732</v>
      </c>
      <c r="H3625" s="564">
        <v>40015</v>
      </c>
      <c r="I3625" s="563">
        <v>60.45</v>
      </c>
      <c r="J3625" s="563">
        <v>-60.45</v>
      </c>
      <c r="K3625" s="582">
        <f t="shared" ref="K3625:K3688" si="168">+I3625+J3625</f>
        <v>0</v>
      </c>
      <c r="L3625" s="563">
        <f t="shared" ref="L3625:L3688" si="169">+K3625*1.1</f>
        <v>0</v>
      </c>
      <c r="M3625" s="563">
        <f t="shared" ref="M3625:M3688" si="170">+I3625*1.1</f>
        <v>66.495000000000005</v>
      </c>
      <c r="N3625" s="580"/>
    </row>
    <row r="3626" spans="4:16" x14ac:dyDescent="0.25">
      <c r="D3626" s="559" t="s">
        <v>867</v>
      </c>
      <c r="E3626" s="558" t="s">
        <v>4734</v>
      </c>
      <c r="F3626" s="559">
        <v>500116</v>
      </c>
      <c r="G3626" s="558" t="s">
        <v>4735</v>
      </c>
      <c r="H3626" s="564">
        <v>40015</v>
      </c>
      <c r="I3626" s="563">
        <v>2977.65</v>
      </c>
      <c r="J3626" s="563">
        <v>-585</v>
      </c>
      <c r="K3626" s="563">
        <f t="shared" si="168"/>
        <v>2392.65</v>
      </c>
      <c r="L3626" s="563">
        <f t="shared" si="169"/>
        <v>2631.9150000000004</v>
      </c>
      <c r="M3626" s="563">
        <f t="shared" si="170"/>
        <v>3275.4150000000004</v>
      </c>
      <c r="N3626" s="580"/>
      <c r="O3626" s="558"/>
      <c r="P3626" s="564"/>
    </row>
    <row r="3627" spans="4:16" x14ac:dyDescent="0.25">
      <c r="D3627" s="559" t="s">
        <v>867</v>
      </c>
      <c r="E3627" s="558" t="s">
        <v>4736</v>
      </c>
      <c r="F3627" s="559">
        <v>500117</v>
      </c>
      <c r="G3627" s="558" t="s">
        <v>4735</v>
      </c>
      <c r="H3627" s="564">
        <v>40015</v>
      </c>
      <c r="I3627" s="563">
        <v>1458.6</v>
      </c>
      <c r="J3627" s="563">
        <v>-585</v>
      </c>
      <c r="K3627" s="563">
        <f t="shared" si="168"/>
        <v>873.59999999999991</v>
      </c>
      <c r="L3627" s="563">
        <f t="shared" si="169"/>
        <v>960.95999999999992</v>
      </c>
      <c r="M3627" s="563">
        <f t="shared" si="170"/>
        <v>1604.46</v>
      </c>
      <c r="N3627" s="580"/>
      <c r="O3627" s="558"/>
      <c r="P3627" s="564"/>
    </row>
    <row r="3628" spans="4:16" x14ac:dyDescent="0.25">
      <c r="D3628" s="559" t="s">
        <v>867</v>
      </c>
      <c r="E3628" s="558" t="s">
        <v>1615</v>
      </c>
      <c r="F3628" s="559">
        <v>702120</v>
      </c>
      <c r="G3628" s="558" t="s">
        <v>4735</v>
      </c>
      <c r="H3628" s="564">
        <v>40015</v>
      </c>
      <c r="I3628" s="563">
        <v>83.85</v>
      </c>
      <c r="J3628" s="563">
        <v>-83.85</v>
      </c>
      <c r="K3628" s="582">
        <f t="shared" si="168"/>
        <v>0</v>
      </c>
      <c r="L3628" s="563">
        <f t="shared" si="169"/>
        <v>0</v>
      </c>
      <c r="M3628" s="563">
        <f t="shared" si="170"/>
        <v>92.234999999999999</v>
      </c>
      <c r="N3628" s="580"/>
    </row>
    <row r="3629" spans="4:16" x14ac:dyDescent="0.25">
      <c r="D3629" s="559" t="s">
        <v>867</v>
      </c>
      <c r="E3629" s="558" t="s">
        <v>1616</v>
      </c>
      <c r="F3629" s="559">
        <v>702120</v>
      </c>
      <c r="G3629" s="558" t="s">
        <v>4735</v>
      </c>
      <c r="H3629" s="564">
        <v>40015</v>
      </c>
      <c r="I3629" s="563">
        <v>1222.6500000000001</v>
      </c>
      <c r="J3629" s="563">
        <v>-585</v>
      </c>
      <c r="K3629" s="582">
        <f t="shared" si="168"/>
        <v>637.65000000000009</v>
      </c>
      <c r="L3629" s="563">
        <f t="shared" si="169"/>
        <v>701.41500000000019</v>
      </c>
      <c r="M3629" s="563">
        <f t="shared" si="170"/>
        <v>1344.9150000000002</v>
      </c>
      <c r="N3629" s="580"/>
    </row>
    <row r="3630" spans="4:16" x14ac:dyDescent="0.25">
      <c r="D3630" s="559" t="s">
        <v>867</v>
      </c>
      <c r="E3630" s="558" t="s">
        <v>4737</v>
      </c>
      <c r="F3630" s="559">
        <v>500121</v>
      </c>
      <c r="G3630" s="558" t="s">
        <v>4735</v>
      </c>
      <c r="H3630" s="564">
        <v>40015</v>
      </c>
      <c r="I3630" s="563">
        <v>1222.6500000000001</v>
      </c>
      <c r="J3630" s="563">
        <v>-585</v>
      </c>
      <c r="K3630" s="563">
        <f t="shared" si="168"/>
        <v>637.65000000000009</v>
      </c>
      <c r="L3630" s="563">
        <f t="shared" si="169"/>
        <v>701.41500000000019</v>
      </c>
      <c r="M3630" s="563">
        <f t="shared" si="170"/>
        <v>1344.9150000000002</v>
      </c>
      <c r="N3630" s="580"/>
      <c r="O3630" s="558"/>
      <c r="P3630" s="564"/>
    </row>
    <row r="3631" spans="4:16" x14ac:dyDescent="0.25">
      <c r="D3631" s="559" t="s">
        <v>867</v>
      </c>
      <c r="E3631" s="558" t="s">
        <v>4738</v>
      </c>
      <c r="F3631" s="559">
        <v>500412</v>
      </c>
      <c r="G3631" s="558" t="s">
        <v>785</v>
      </c>
      <c r="H3631" s="564">
        <v>40015</v>
      </c>
      <c r="I3631" s="563">
        <v>3987.75</v>
      </c>
      <c r="J3631" s="563">
        <v>-585</v>
      </c>
      <c r="K3631" s="563">
        <f t="shared" si="168"/>
        <v>3402.75</v>
      </c>
      <c r="L3631" s="563">
        <f t="shared" si="169"/>
        <v>3743.0250000000001</v>
      </c>
      <c r="M3631" s="563">
        <f t="shared" si="170"/>
        <v>4386.5250000000005</v>
      </c>
      <c r="N3631" s="580"/>
      <c r="O3631" s="558"/>
      <c r="P3631" s="564"/>
    </row>
    <row r="3632" spans="4:16" x14ac:dyDescent="0.25">
      <c r="D3632" s="559" t="s">
        <v>867</v>
      </c>
      <c r="E3632" s="558" t="s">
        <v>1617</v>
      </c>
      <c r="F3632" s="559">
        <v>502245</v>
      </c>
      <c r="G3632" s="558" t="s">
        <v>785</v>
      </c>
      <c r="H3632" s="564">
        <v>40015</v>
      </c>
      <c r="I3632" s="563">
        <v>877.5</v>
      </c>
      <c r="J3632" s="563">
        <v>-585</v>
      </c>
      <c r="K3632" s="582">
        <f t="shared" si="168"/>
        <v>292.5</v>
      </c>
      <c r="L3632" s="563">
        <f t="shared" si="169"/>
        <v>321.75</v>
      </c>
      <c r="M3632" s="563">
        <f t="shared" si="170"/>
        <v>965.25000000000011</v>
      </c>
      <c r="N3632" s="580"/>
    </row>
    <row r="3633" spans="4:16" x14ac:dyDescent="0.25">
      <c r="D3633" s="559" t="s">
        <v>867</v>
      </c>
      <c r="E3633" s="558" t="s">
        <v>1618</v>
      </c>
      <c r="F3633" s="559">
        <v>502283</v>
      </c>
      <c r="G3633" s="558" t="s">
        <v>1838</v>
      </c>
      <c r="H3633" s="564">
        <v>40015</v>
      </c>
      <c r="I3633" s="563">
        <v>185.25</v>
      </c>
      <c r="J3633" s="563">
        <v>-185.25</v>
      </c>
      <c r="K3633" s="582">
        <f t="shared" si="168"/>
        <v>0</v>
      </c>
      <c r="L3633" s="563">
        <f t="shared" si="169"/>
        <v>0</v>
      </c>
      <c r="M3633" s="563">
        <f t="shared" si="170"/>
        <v>203.77500000000001</v>
      </c>
      <c r="N3633" s="580"/>
    </row>
    <row r="3634" spans="4:16" x14ac:dyDescent="0.25">
      <c r="D3634" s="559" t="s">
        <v>867</v>
      </c>
      <c r="E3634" s="558" t="s">
        <v>1619</v>
      </c>
      <c r="F3634" s="559">
        <v>502283</v>
      </c>
      <c r="G3634" s="558" t="s">
        <v>1838</v>
      </c>
      <c r="H3634" s="564">
        <v>40015</v>
      </c>
      <c r="I3634" s="563">
        <v>185.25</v>
      </c>
      <c r="J3634" s="563">
        <v>-185.25</v>
      </c>
      <c r="K3634" s="582">
        <f t="shared" si="168"/>
        <v>0</v>
      </c>
      <c r="L3634" s="563">
        <f t="shared" si="169"/>
        <v>0</v>
      </c>
      <c r="M3634" s="563">
        <f t="shared" si="170"/>
        <v>203.77500000000001</v>
      </c>
      <c r="N3634" s="580"/>
    </row>
    <row r="3635" spans="4:16" x14ac:dyDescent="0.25">
      <c r="D3635" s="559" t="s">
        <v>867</v>
      </c>
      <c r="E3635" s="558" t="s">
        <v>1837</v>
      </c>
      <c r="F3635" s="559">
        <v>500135</v>
      </c>
      <c r="G3635" s="558" t="s">
        <v>1838</v>
      </c>
      <c r="H3635" s="564">
        <v>40015</v>
      </c>
      <c r="I3635" s="563">
        <v>39</v>
      </c>
      <c r="J3635" s="563">
        <v>-39</v>
      </c>
      <c r="K3635" s="563">
        <f t="shared" si="168"/>
        <v>0</v>
      </c>
      <c r="L3635" s="563">
        <f t="shared" si="169"/>
        <v>0</v>
      </c>
      <c r="M3635" s="563">
        <f t="shared" si="170"/>
        <v>42.900000000000006</v>
      </c>
      <c r="N3635" s="580"/>
      <c r="O3635" s="558"/>
      <c r="P3635" s="564"/>
    </row>
    <row r="3636" spans="4:16" x14ac:dyDescent="0.25">
      <c r="D3636" s="559" t="s">
        <v>867</v>
      </c>
      <c r="E3636" s="558" t="s">
        <v>1620</v>
      </c>
      <c r="F3636" s="559">
        <v>500139</v>
      </c>
      <c r="G3636" s="558" t="s">
        <v>1838</v>
      </c>
      <c r="H3636" s="564">
        <v>40015</v>
      </c>
      <c r="I3636" s="563">
        <v>1419.6</v>
      </c>
      <c r="J3636" s="563">
        <v>-585</v>
      </c>
      <c r="K3636" s="582">
        <f t="shared" si="168"/>
        <v>834.59999999999991</v>
      </c>
      <c r="L3636" s="563">
        <f t="shared" si="169"/>
        <v>918.06</v>
      </c>
      <c r="M3636" s="563">
        <f t="shared" si="170"/>
        <v>1561.56</v>
      </c>
      <c r="N3636" s="580"/>
    </row>
    <row r="3637" spans="4:16" x14ac:dyDescent="0.25">
      <c r="D3637" s="559" t="s">
        <v>867</v>
      </c>
      <c r="E3637" s="558" t="s">
        <v>1839</v>
      </c>
      <c r="F3637" s="559">
        <v>500130</v>
      </c>
      <c r="G3637" s="558" t="s">
        <v>1838</v>
      </c>
      <c r="H3637" s="564">
        <v>40015</v>
      </c>
      <c r="I3637" s="563">
        <v>1926.6</v>
      </c>
      <c r="J3637" s="563">
        <v>-585</v>
      </c>
      <c r="K3637" s="563">
        <f t="shared" si="168"/>
        <v>1341.6</v>
      </c>
      <c r="L3637" s="563">
        <f t="shared" si="169"/>
        <v>1475.76</v>
      </c>
      <c r="M3637" s="563">
        <f t="shared" si="170"/>
        <v>2119.2600000000002</v>
      </c>
      <c r="N3637" s="580"/>
      <c r="O3637" s="558"/>
      <c r="P3637" s="564"/>
    </row>
    <row r="3638" spans="4:16" x14ac:dyDescent="0.25">
      <c r="D3638" s="559" t="s">
        <v>867</v>
      </c>
      <c r="E3638" s="558" t="s">
        <v>1621</v>
      </c>
      <c r="F3638" s="559">
        <v>500140</v>
      </c>
      <c r="G3638" s="558" t="s">
        <v>1841</v>
      </c>
      <c r="H3638" s="564">
        <v>40015</v>
      </c>
      <c r="I3638" s="563">
        <v>1419.6</v>
      </c>
      <c r="J3638" s="563">
        <v>-585</v>
      </c>
      <c r="K3638" s="582">
        <f t="shared" si="168"/>
        <v>834.59999999999991</v>
      </c>
      <c r="L3638" s="563">
        <f t="shared" si="169"/>
        <v>918.06</v>
      </c>
      <c r="M3638" s="563">
        <f t="shared" si="170"/>
        <v>1561.56</v>
      </c>
      <c r="N3638" s="580"/>
    </row>
    <row r="3639" spans="4:16" x14ac:dyDescent="0.25">
      <c r="D3639" s="559" t="s">
        <v>867</v>
      </c>
      <c r="E3639" s="558" t="s">
        <v>1622</v>
      </c>
      <c r="F3639" s="559">
        <v>500140</v>
      </c>
      <c r="G3639" s="558" t="s">
        <v>1841</v>
      </c>
      <c r="H3639" s="564">
        <v>40015</v>
      </c>
      <c r="I3639" s="563">
        <v>132.6</v>
      </c>
      <c r="J3639" s="563">
        <v>-132.6</v>
      </c>
      <c r="K3639" s="582">
        <f t="shared" si="168"/>
        <v>0</v>
      </c>
      <c r="L3639" s="563">
        <f t="shared" si="169"/>
        <v>0</v>
      </c>
      <c r="M3639" s="563">
        <f t="shared" si="170"/>
        <v>145.86000000000001</v>
      </c>
      <c r="N3639" s="580"/>
    </row>
    <row r="3640" spans="4:16" x14ac:dyDescent="0.25">
      <c r="D3640" s="559" t="s">
        <v>867</v>
      </c>
      <c r="E3640" s="558" t="s">
        <v>1840</v>
      </c>
      <c r="F3640" s="559">
        <v>500141</v>
      </c>
      <c r="G3640" s="558" t="s">
        <v>1841</v>
      </c>
      <c r="H3640" s="564">
        <v>40015</v>
      </c>
      <c r="I3640" s="563">
        <v>1029.5999999999999</v>
      </c>
      <c r="J3640" s="563">
        <v>-585</v>
      </c>
      <c r="K3640" s="563">
        <f t="shared" si="168"/>
        <v>444.59999999999991</v>
      </c>
      <c r="L3640" s="563">
        <f t="shared" si="169"/>
        <v>489.05999999999995</v>
      </c>
      <c r="M3640" s="563">
        <f t="shared" si="170"/>
        <v>1132.56</v>
      </c>
      <c r="N3640" s="580"/>
      <c r="O3640" s="558"/>
      <c r="P3640" s="564"/>
    </row>
    <row r="3641" spans="4:16" x14ac:dyDescent="0.25">
      <c r="D3641" s="559" t="s">
        <v>867</v>
      </c>
      <c r="E3641" s="558" t="s">
        <v>1842</v>
      </c>
      <c r="F3641" s="559">
        <v>500142</v>
      </c>
      <c r="G3641" s="558" t="s">
        <v>1841</v>
      </c>
      <c r="H3641" s="564">
        <v>40015</v>
      </c>
      <c r="I3641" s="563">
        <v>4149.6000000000004</v>
      </c>
      <c r="J3641" s="563">
        <v>-585</v>
      </c>
      <c r="K3641" s="563">
        <f t="shared" si="168"/>
        <v>3564.6000000000004</v>
      </c>
      <c r="L3641" s="563">
        <f t="shared" si="169"/>
        <v>3921.0600000000009</v>
      </c>
      <c r="M3641" s="563">
        <f t="shared" si="170"/>
        <v>4564.5600000000004</v>
      </c>
      <c r="N3641" s="580"/>
      <c r="O3641" s="558"/>
      <c r="P3641" s="564"/>
    </row>
    <row r="3642" spans="4:16" x14ac:dyDescent="0.25">
      <c r="D3642" s="559" t="s">
        <v>867</v>
      </c>
      <c r="E3642" s="558" t="s">
        <v>1623</v>
      </c>
      <c r="F3642" s="559">
        <v>502045</v>
      </c>
      <c r="G3642" s="558" t="s">
        <v>1841</v>
      </c>
      <c r="H3642" s="564">
        <v>40015</v>
      </c>
      <c r="I3642" s="563">
        <v>23.4</v>
      </c>
      <c r="J3642" s="563">
        <v>-23.4</v>
      </c>
      <c r="K3642" s="582">
        <f t="shared" si="168"/>
        <v>0</v>
      </c>
      <c r="L3642" s="563">
        <f t="shared" si="169"/>
        <v>0</v>
      </c>
      <c r="M3642" s="563">
        <f t="shared" si="170"/>
        <v>25.740000000000002</v>
      </c>
      <c r="N3642" s="580"/>
    </row>
    <row r="3643" spans="4:16" x14ac:dyDescent="0.25">
      <c r="D3643" s="559" t="s">
        <v>867</v>
      </c>
      <c r="E3643" s="558" t="s">
        <v>1624</v>
      </c>
      <c r="F3643" s="559">
        <v>500024</v>
      </c>
      <c r="G3643" s="558" t="s">
        <v>1844</v>
      </c>
      <c r="H3643" s="564">
        <v>40015</v>
      </c>
      <c r="I3643" s="563">
        <v>471.9</v>
      </c>
      <c r="J3643" s="563">
        <v>-471.9</v>
      </c>
      <c r="K3643" s="582">
        <f t="shared" si="168"/>
        <v>0</v>
      </c>
      <c r="L3643" s="563">
        <f t="shared" si="169"/>
        <v>0</v>
      </c>
      <c r="M3643" s="563">
        <f t="shared" si="170"/>
        <v>519.09</v>
      </c>
      <c r="N3643" s="580"/>
    </row>
    <row r="3644" spans="4:16" x14ac:dyDescent="0.25">
      <c r="D3644" s="559" t="s">
        <v>867</v>
      </c>
      <c r="E3644" s="558" t="s">
        <v>1843</v>
      </c>
      <c r="F3644" s="559">
        <v>500142</v>
      </c>
      <c r="G3644" s="558" t="s">
        <v>1844</v>
      </c>
      <c r="H3644" s="564">
        <v>40015</v>
      </c>
      <c r="I3644" s="563">
        <v>1419.6</v>
      </c>
      <c r="J3644" s="563">
        <v>-585</v>
      </c>
      <c r="K3644" s="563">
        <f t="shared" si="168"/>
        <v>834.59999999999991</v>
      </c>
      <c r="L3644" s="563">
        <f t="shared" si="169"/>
        <v>918.06</v>
      </c>
      <c r="M3644" s="563">
        <f t="shared" si="170"/>
        <v>1561.56</v>
      </c>
      <c r="N3644" s="580"/>
      <c r="O3644" s="558"/>
      <c r="P3644" s="564"/>
    </row>
    <row r="3645" spans="4:16" x14ac:dyDescent="0.25">
      <c r="D3645" s="559" t="s">
        <v>867</v>
      </c>
      <c r="E3645" s="558" t="s">
        <v>1845</v>
      </c>
      <c r="F3645" s="559">
        <v>500144</v>
      </c>
      <c r="G3645" s="558" t="s">
        <v>1844</v>
      </c>
      <c r="H3645" s="564">
        <v>40015</v>
      </c>
      <c r="I3645" s="563">
        <v>1107.5999999999999</v>
      </c>
      <c r="J3645" s="563">
        <v>-585</v>
      </c>
      <c r="K3645" s="563">
        <f t="shared" si="168"/>
        <v>522.59999999999991</v>
      </c>
      <c r="L3645" s="563">
        <f t="shared" si="169"/>
        <v>574.8599999999999</v>
      </c>
      <c r="M3645" s="563">
        <f t="shared" si="170"/>
        <v>1218.3599999999999</v>
      </c>
      <c r="N3645" s="580"/>
      <c r="O3645" s="558"/>
      <c r="P3645" s="564"/>
    </row>
    <row r="3646" spans="4:16" x14ac:dyDescent="0.25">
      <c r="D3646" s="559" t="s">
        <v>867</v>
      </c>
      <c r="E3646" s="558" t="s">
        <v>1846</v>
      </c>
      <c r="F3646" s="559">
        <v>500453</v>
      </c>
      <c r="G3646" s="558" t="s">
        <v>1844</v>
      </c>
      <c r="H3646" s="564">
        <v>40015</v>
      </c>
      <c r="I3646" s="563">
        <v>2628.6</v>
      </c>
      <c r="J3646" s="563">
        <v>-585</v>
      </c>
      <c r="K3646" s="563">
        <f t="shared" si="168"/>
        <v>2043.6</v>
      </c>
      <c r="L3646" s="563">
        <f t="shared" si="169"/>
        <v>2247.96</v>
      </c>
      <c r="M3646" s="563">
        <f t="shared" si="170"/>
        <v>2891.46</v>
      </c>
      <c r="N3646" s="580"/>
      <c r="O3646" s="558"/>
      <c r="P3646" s="564"/>
    </row>
    <row r="3647" spans="4:16" x14ac:dyDescent="0.25">
      <c r="D3647" s="559" t="s">
        <v>867</v>
      </c>
      <c r="E3647" s="558" t="s">
        <v>1847</v>
      </c>
      <c r="F3647" s="559">
        <v>500453</v>
      </c>
      <c r="G3647" s="558" t="s">
        <v>1844</v>
      </c>
      <c r="H3647" s="564">
        <v>40015</v>
      </c>
      <c r="I3647" s="563">
        <v>269.10000000000002</v>
      </c>
      <c r="J3647" s="563">
        <v>-269.10000000000002</v>
      </c>
      <c r="K3647" s="563">
        <f t="shared" si="168"/>
        <v>0</v>
      </c>
      <c r="L3647" s="563">
        <f t="shared" si="169"/>
        <v>0</v>
      </c>
      <c r="M3647" s="563">
        <f t="shared" si="170"/>
        <v>296.01000000000005</v>
      </c>
      <c r="N3647" s="580"/>
      <c r="O3647" s="558"/>
      <c r="P3647" s="564"/>
    </row>
    <row r="3648" spans="4:16" x14ac:dyDescent="0.25">
      <c r="D3648" s="559" t="s">
        <v>867</v>
      </c>
      <c r="E3648" s="558" t="s">
        <v>1848</v>
      </c>
      <c r="F3648" s="559">
        <v>502297</v>
      </c>
      <c r="G3648" s="558" t="s">
        <v>1849</v>
      </c>
      <c r="H3648" s="564">
        <v>40015</v>
      </c>
      <c r="I3648" s="563">
        <v>2784.6</v>
      </c>
      <c r="J3648" s="563">
        <v>-585</v>
      </c>
      <c r="K3648" s="563">
        <f t="shared" si="168"/>
        <v>2199.6</v>
      </c>
      <c r="L3648" s="563">
        <f t="shared" si="169"/>
        <v>2419.56</v>
      </c>
      <c r="M3648" s="563">
        <f t="shared" si="170"/>
        <v>3063.06</v>
      </c>
      <c r="N3648" s="580"/>
      <c r="O3648" s="558"/>
      <c r="P3648" s="564"/>
    </row>
    <row r="3649" spans="4:16" x14ac:dyDescent="0.25">
      <c r="D3649" s="559" t="s">
        <v>867</v>
      </c>
      <c r="E3649" s="558" t="s">
        <v>1850</v>
      </c>
      <c r="F3649" s="559">
        <v>502221</v>
      </c>
      <c r="G3649" s="558" t="s">
        <v>1849</v>
      </c>
      <c r="H3649" s="564">
        <v>40015</v>
      </c>
      <c r="I3649" s="563">
        <v>308.10000000000002</v>
      </c>
      <c r="J3649" s="563">
        <v>-308.10000000000002</v>
      </c>
      <c r="K3649" s="563">
        <f t="shared" si="168"/>
        <v>0</v>
      </c>
      <c r="L3649" s="563">
        <f t="shared" si="169"/>
        <v>0</v>
      </c>
      <c r="M3649" s="563">
        <f t="shared" si="170"/>
        <v>338.91</v>
      </c>
      <c r="N3649" s="580"/>
      <c r="O3649" s="558"/>
      <c r="P3649" s="564"/>
    </row>
    <row r="3650" spans="4:16" x14ac:dyDescent="0.25">
      <c r="D3650" s="559" t="s">
        <v>867</v>
      </c>
      <c r="E3650" s="558" t="s">
        <v>1625</v>
      </c>
      <c r="F3650" s="559">
        <v>500151</v>
      </c>
      <c r="G3650" s="558" t="s">
        <v>1849</v>
      </c>
      <c r="H3650" s="564">
        <v>40015</v>
      </c>
      <c r="I3650" s="563">
        <v>1614.6</v>
      </c>
      <c r="J3650" s="563">
        <v>-585</v>
      </c>
      <c r="K3650" s="582">
        <f t="shared" si="168"/>
        <v>1029.5999999999999</v>
      </c>
      <c r="L3650" s="563">
        <f t="shared" si="169"/>
        <v>1132.56</v>
      </c>
      <c r="M3650" s="563">
        <f t="shared" si="170"/>
        <v>1776.06</v>
      </c>
      <c r="N3650" s="580"/>
    </row>
    <row r="3651" spans="4:16" x14ac:dyDescent="0.25">
      <c r="D3651" s="559" t="s">
        <v>867</v>
      </c>
      <c r="E3651" s="558" t="s">
        <v>1851</v>
      </c>
      <c r="F3651" s="559">
        <v>500152</v>
      </c>
      <c r="G3651" s="558" t="s">
        <v>1849</v>
      </c>
      <c r="H3651" s="564">
        <v>40015</v>
      </c>
      <c r="I3651" s="563">
        <v>717.6</v>
      </c>
      <c r="J3651" s="563">
        <v>-585</v>
      </c>
      <c r="K3651" s="563">
        <f t="shared" si="168"/>
        <v>132.60000000000002</v>
      </c>
      <c r="L3651" s="563">
        <f t="shared" si="169"/>
        <v>145.86000000000004</v>
      </c>
      <c r="M3651" s="563">
        <f t="shared" si="170"/>
        <v>789.36000000000013</v>
      </c>
      <c r="N3651" s="580"/>
      <c r="O3651" s="558"/>
      <c r="P3651" s="564"/>
    </row>
    <row r="3652" spans="4:16" x14ac:dyDescent="0.25">
      <c r="D3652" s="559" t="s">
        <v>867</v>
      </c>
      <c r="E3652" s="558" t="s">
        <v>1626</v>
      </c>
      <c r="F3652" s="559">
        <v>500153</v>
      </c>
      <c r="G3652" s="558" t="s">
        <v>1849</v>
      </c>
      <c r="H3652" s="564">
        <v>40015</v>
      </c>
      <c r="I3652" s="563">
        <v>639.6</v>
      </c>
      <c r="J3652" s="563">
        <v>-585</v>
      </c>
      <c r="K3652" s="582">
        <f t="shared" si="168"/>
        <v>54.600000000000023</v>
      </c>
      <c r="L3652" s="563">
        <f t="shared" si="169"/>
        <v>60.060000000000031</v>
      </c>
      <c r="M3652" s="563">
        <f t="shared" si="170"/>
        <v>703.56000000000006</v>
      </c>
      <c r="N3652" s="580"/>
    </row>
    <row r="3653" spans="4:16" x14ac:dyDescent="0.25">
      <c r="D3653" s="559" t="s">
        <v>867</v>
      </c>
      <c r="E3653" s="558" t="s">
        <v>1852</v>
      </c>
      <c r="F3653" s="559">
        <v>502174</v>
      </c>
      <c r="G3653" s="558" t="s">
        <v>789</v>
      </c>
      <c r="H3653" s="564">
        <v>40015</v>
      </c>
      <c r="I3653" s="563">
        <v>1419.6</v>
      </c>
      <c r="J3653" s="563">
        <v>-585</v>
      </c>
      <c r="K3653" s="563">
        <f t="shared" si="168"/>
        <v>834.59999999999991</v>
      </c>
      <c r="L3653" s="563">
        <f t="shared" si="169"/>
        <v>918.06</v>
      </c>
      <c r="M3653" s="563">
        <f t="shared" si="170"/>
        <v>1561.56</v>
      </c>
      <c r="N3653" s="580"/>
      <c r="O3653" s="558"/>
      <c r="P3653" s="564"/>
    </row>
    <row r="3654" spans="4:16" x14ac:dyDescent="0.25">
      <c r="D3654" s="559" t="s">
        <v>867</v>
      </c>
      <c r="E3654" s="558" t="s">
        <v>1627</v>
      </c>
      <c r="F3654" s="559">
        <v>500153</v>
      </c>
      <c r="G3654" s="558" t="s">
        <v>789</v>
      </c>
      <c r="H3654" s="564">
        <v>40015</v>
      </c>
      <c r="I3654" s="563">
        <v>54.6</v>
      </c>
      <c r="J3654" s="563">
        <v>-54.6</v>
      </c>
      <c r="K3654" s="582">
        <f t="shared" si="168"/>
        <v>0</v>
      </c>
      <c r="L3654" s="563">
        <f t="shared" si="169"/>
        <v>0</v>
      </c>
      <c r="M3654" s="563">
        <f t="shared" si="170"/>
        <v>60.060000000000009</v>
      </c>
      <c r="N3654" s="580"/>
    </row>
    <row r="3655" spans="4:16" x14ac:dyDescent="0.25">
      <c r="D3655" s="559" t="s">
        <v>867</v>
      </c>
      <c r="E3655" s="558" t="s">
        <v>1853</v>
      </c>
      <c r="F3655" s="559">
        <v>502174</v>
      </c>
      <c r="G3655" s="558" t="s">
        <v>789</v>
      </c>
      <c r="H3655" s="564">
        <v>40015</v>
      </c>
      <c r="I3655" s="563">
        <v>54.6</v>
      </c>
      <c r="J3655" s="563">
        <v>-54.6</v>
      </c>
      <c r="K3655" s="563">
        <f t="shared" si="168"/>
        <v>0</v>
      </c>
      <c r="L3655" s="563">
        <f t="shared" si="169"/>
        <v>0</v>
      </c>
      <c r="M3655" s="563">
        <f t="shared" si="170"/>
        <v>60.060000000000009</v>
      </c>
      <c r="N3655" s="580"/>
      <c r="O3655" s="558"/>
      <c r="P3655" s="564"/>
    </row>
    <row r="3656" spans="4:16" x14ac:dyDescent="0.25">
      <c r="D3656" s="559" t="s">
        <v>867</v>
      </c>
      <c r="E3656" s="558" t="s">
        <v>1854</v>
      </c>
      <c r="F3656" s="559">
        <v>502296</v>
      </c>
      <c r="G3656" s="558" t="s">
        <v>792</v>
      </c>
      <c r="H3656" s="564">
        <v>40015</v>
      </c>
      <c r="I3656" s="563">
        <v>990.6</v>
      </c>
      <c r="J3656" s="563">
        <v>-585</v>
      </c>
      <c r="K3656" s="563">
        <f t="shared" si="168"/>
        <v>405.6</v>
      </c>
      <c r="L3656" s="563">
        <f t="shared" si="169"/>
        <v>446.16000000000008</v>
      </c>
      <c r="M3656" s="563">
        <f t="shared" si="170"/>
        <v>1089.6600000000001</v>
      </c>
      <c r="N3656" s="580"/>
      <c r="O3656" s="558"/>
      <c r="P3656" s="564"/>
    </row>
    <row r="3657" spans="4:16" x14ac:dyDescent="0.25">
      <c r="D3657" s="559" t="s">
        <v>867</v>
      </c>
      <c r="E3657" s="558" t="s">
        <v>1855</v>
      </c>
      <c r="F3657" s="559">
        <v>502114</v>
      </c>
      <c r="G3657" s="558" t="s">
        <v>796</v>
      </c>
      <c r="H3657" s="564">
        <v>40015</v>
      </c>
      <c r="I3657" s="563">
        <v>2238.6</v>
      </c>
      <c r="J3657" s="563">
        <v>-585</v>
      </c>
      <c r="K3657" s="563">
        <f t="shared" si="168"/>
        <v>1653.6</v>
      </c>
      <c r="L3657" s="563">
        <f t="shared" si="169"/>
        <v>1818.96</v>
      </c>
      <c r="M3657" s="563">
        <f t="shared" si="170"/>
        <v>2462.46</v>
      </c>
      <c r="N3657" s="580"/>
      <c r="O3657" s="558"/>
      <c r="P3657" s="564"/>
    </row>
    <row r="3658" spans="4:16" x14ac:dyDescent="0.25">
      <c r="D3658" s="559" t="s">
        <v>867</v>
      </c>
      <c r="E3658" s="558" t="s">
        <v>1856</v>
      </c>
      <c r="F3658" s="559">
        <v>500159</v>
      </c>
      <c r="G3658" s="558" t="s">
        <v>908</v>
      </c>
      <c r="H3658" s="564">
        <v>40015</v>
      </c>
      <c r="I3658" s="563">
        <v>273</v>
      </c>
      <c r="J3658" s="563">
        <v>-273</v>
      </c>
      <c r="K3658" s="563">
        <f t="shared" si="168"/>
        <v>0</v>
      </c>
      <c r="L3658" s="563">
        <f t="shared" si="169"/>
        <v>0</v>
      </c>
      <c r="M3658" s="563">
        <f t="shared" si="170"/>
        <v>300.3</v>
      </c>
      <c r="N3658" s="580"/>
      <c r="O3658" s="558"/>
      <c r="P3658" s="564"/>
    </row>
    <row r="3659" spans="4:16" x14ac:dyDescent="0.25">
      <c r="D3659" s="559" t="s">
        <v>867</v>
      </c>
      <c r="E3659" s="558" t="s">
        <v>1857</v>
      </c>
      <c r="F3659" s="559">
        <v>502238</v>
      </c>
      <c r="G3659" s="558" t="s">
        <v>908</v>
      </c>
      <c r="H3659" s="564">
        <v>40015</v>
      </c>
      <c r="I3659" s="563">
        <v>136.5</v>
      </c>
      <c r="J3659" s="563">
        <v>-136.5</v>
      </c>
      <c r="K3659" s="563">
        <f t="shared" si="168"/>
        <v>0</v>
      </c>
      <c r="L3659" s="563">
        <f t="shared" si="169"/>
        <v>0</v>
      </c>
      <c r="M3659" s="563">
        <f t="shared" si="170"/>
        <v>150.15</v>
      </c>
      <c r="N3659" s="580"/>
      <c r="O3659" s="558"/>
      <c r="P3659" s="564"/>
    </row>
    <row r="3660" spans="4:16" x14ac:dyDescent="0.25">
      <c r="D3660" s="559" t="s">
        <v>867</v>
      </c>
      <c r="E3660" s="558" t="s">
        <v>1858</v>
      </c>
      <c r="F3660" s="559">
        <v>500161</v>
      </c>
      <c r="G3660" s="558" t="s">
        <v>908</v>
      </c>
      <c r="H3660" s="564">
        <v>40015</v>
      </c>
      <c r="I3660" s="563">
        <v>971.1</v>
      </c>
      <c r="J3660" s="563">
        <v>-585</v>
      </c>
      <c r="K3660" s="563">
        <f t="shared" si="168"/>
        <v>386.1</v>
      </c>
      <c r="L3660" s="563">
        <f t="shared" si="169"/>
        <v>424.71000000000004</v>
      </c>
      <c r="M3660" s="563">
        <f t="shared" si="170"/>
        <v>1068.21</v>
      </c>
      <c r="N3660" s="580"/>
      <c r="O3660" s="558"/>
      <c r="P3660" s="564"/>
    </row>
    <row r="3661" spans="4:16" x14ac:dyDescent="0.25">
      <c r="D3661" s="559" t="s">
        <v>867</v>
      </c>
      <c r="E3661" s="558" t="s">
        <v>1859</v>
      </c>
      <c r="F3661" s="559">
        <v>500008</v>
      </c>
      <c r="G3661" s="558" t="s">
        <v>908</v>
      </c>
      <c r="H3661" s="564">
        <v>40015</v>
      </c>
      <c r="I3661" s="563">
        <v>46.8</v>
      </c>
      <c r="J3661" s="563">
        <v>-46.8</v>
      </c>
      <c r="K3661" s="563">
        <f t="shared" si="168"/>
        <v>0</v>
      </c>
      <c r="L3661" s="563">
        <f t="shared" si="169"/>
        <v>0</v>
      </c>
      <c r="M3661" s="563">
        <f t="shared" si="170"/>
        <v>51.480000000000004</v>
      </c>
      <c r="N3661" s="580"/>
      <c r="O3661" s="558"/>
      <c r="P3661" s="564"/>
    </row>
    <row r="3662" spans="4:16" x14ac:dyDescent="0.25">
      <c r="D3662" s="559" t="s">
        <v>867</v>
      </c>
      <c r="E3662" s="558" t="s">
        <v>1628</v>
      </c>
      <c r="F3662" s="559">
        <v>500162</v>
      </c>
      <c r="G3662" s="558" t="s">
        <v>801</v>
      </c>
      <c r="H3662" s="564">
        <v>40015</v>
      </c>
      <c r="I3662" s="563">
        <v>1010.1</v>
      </c>
      <c r="J3662" s="563">
        <v>-585</v>
      </c>
      <c r="K3662" s="582">
        <f t="shared" si="168"/>
        <v>425.1</v>
      </c>
      <c r="L3662" s="563">
        <f t="shared" si="169"/>
        <v>467.61000000000007</v>
      </c>
      <c r="M3662" s="563">
        <f t="shared" si="170"/>
        <v>1111.1100000000001</v>
      </c>
      <c r="N3662" s="580"/>
    </row>
    <row r="3663" spans="4:16" x14ac:dyDescent="0.25">
      <c r="D3663" s="559" t="s">
        <v>867</v>
      </c>
      <c r="E3663" s="558" t="s">
        <v>1629</v>
      </c>
      <c r="F3663" s="559">
        <v>502217</v>
      </c>
      <c r="G3663" s="558" t="s">
        <v>801</v>
      </c>
      <c r="H3663" s="564">
        <v>40015</v>
      </c>
      <c r="I3663" s="563">
        <v>698.1</v>
      </c>
      <c r="J3663" s="563">
        <v>-585</v>
      </c>
      <c r="K3663" s="582">
        <f t="shared" si="168"/>
        <v>113.10000000000002</v>
      </c>
      <c r="L3663" s="563">
        <f t="shared" si="169"/>
        <v>124.41000000000004</v>
      </c>
      <c r="M3663" s="563">
        <f t="shared" si="170"/>
        <v>767.91000000000008</v>
      </c>
      <c r="N3663" s="580"/>
    </row>
    <row r="3664" spans="4:16" x14ac:dyDescent="0.25">
      <c r="D3664" s="559" t="s">
        <v>867</v>
      </c>
      <c r="E3664" s="558" t="s">
        <v>1860</v>
      </c>
      <c r="F3664" s="559">
        <v>500164</v>
      </c>
      <c r="G3664" s="558" t="s">
        <v>801</v>
      </c>
      <c r="H3664" s="564">
        <v>40015</v>
      </c>
      <c r="I3664" s="563">
        <v>1755</v>
      </c>
      <c r="J3664" s="563">
        <v>-585</v>
      </c>
      <c r="K3664" s="563">
        <f t="shared" si="168"/>
        <v>1170</v>
      </c>
      <c r="L3664" s="563">
        <f t="shared" si="169"/>
        <v>1287</v>
      </c>
      <c r="M3664" s="563">
        <f t="shared" si="170"/>
        <v>1930.5000000000002</v>
      </c>
      <c r="N3664" s="580"/>
      <c r="O3664" s="558"/>
      <c r="P3664" s="564"/>
    </row>
    <row r="3665" spans="4:16" x14ac:dyDescent="0.25">
      <c r="D3665" s="559" t="s">
        <v>867</v>
      </c>
      <c r="E3665" s="558" t="s">
        <v>1861</v>
      </c>
      <c r="F3665" s="559">
        <v>502253</v>
      </c>
      <c r="G3665" s="558" t="s">
        <v>974</v>
      </c>
      <c r="H3665" s="564">
        <v>40015</v>
      </c>
      <c r="I3665" s="563">
        <v>943.8</v>
      </c>
      <c r="J3665" s="563">
        <v>-585</v>
      </c>
      <c r="K3665" s="563">
        <f t="shared" si="168"/>
        <v>358.79999999999995</v>
      </c>
      <c r="L3665" s="563">
        <f t="shared" si="169"/>
        <v>394.68</v>
      </c>
      <c r="M3665" s="563">
        <f t="shared" si="170"/>
        <v>1038.18</v>
      </c>
      <c r="N3665" s="580"/>
      <c r="O3665" s="558"/>
      <c r="P3665" s="564"/>
    </row>
    <row r="3666" spans="4:16" x14ac:dyDescent="0.25">
      <c r="D3666" s="559" t="s">
        <v>867</v>
      </c>
      <c r="E3666" s="558" t="s">
        <v>1862</v>
      </c>
      <c r="F3666" s="559">
        <v>500027</v>
      </c>
      <c r="G3666" s="558" t="s">
        <v>974</v>
      </c>
      <c r="H3666" s="564">
        <v>40015</v>
      </c>
      <c r="I3666" s="563">
        <v>920.4</v>
      </c>
      <c r="J3666" s="563">
        <v>-585</v>
      </c>
      <c r="K3666" s="563">
        <f t="shared" si="168"/>
        <v>335.4</v>
      </c>
      <c r="L3666" s="563">
        <f t="shared" si="169"/>
        <v>368.94</v>
      </c>
      <c r="M3666" s="563">
        <f t="shared" si="170"/>
        <v>1012.44</v>
      </c>
      <c r="N3666" s="580"/>
      <c r="O3666" s="558"/>
      <c r="P3666" s="564"/>
    </row>
    <row r="3667" spans="4:16" x14ac:dyDescent="0.25">
      <c r="D3667" s="559" t="s">
        <v>867</v>
      </c>
      <c r="E3667" s="558" t="s">
        <v>1630</v>
      </c>
      <c r="F3667" s="559">
        <v>500028</v>
      </c>
      <c r="G3667" s="558" t="s">
        <v>974</v>
      </c>
      <c r="H3667" s="564">
        <v>40015</v>
      </c>
      <c r="I3667" s="563">
        <v>10.55</v>
      </c>
      <c r="J3667" s="563">
        <v>-10.55</v>
      </c>
      <c r="K3667" s="582">
        <f t="shared" si="168"/>
        <v>0</v>
      </c>
      <c r="L3667" s="563">
        <f t="shared" si="169"/>
        <v>0</v>
      </c>
      <c r="M3667" s="563">
        <f t="shared" si="170"/>
        <v>11.605000000000002</v>
      </c>
      <c r="N3667" s="580"/>
    </row>
    <row r="3668" spans="4:16" x14ac:dyDescent="0.25">
      <c r="D3668" s="559" t="s">
        <v>867</v>
      </c>
      <c r="E3668" s="558" t="s">
        <v>1863</v>
      </c>
      <c r="F3668" s="559">
        <v>500035</v>
      </c>
      <c r="G3668" s="558" t="s">
        <v>974</v>
      </c>
      <c r="H3668" s="564">
        <v>40015</v>
      </c>
      <c r="I3668" s="563">
        <v>526.5</v>
      </c>
      <c r="J3668" s="563">
        <v>-526.5</v>
      </c>
      <c r="K3668" s="563">
        <f t="shared" si="168"/>
        <v>0</v>
      </c>
      <c r="L3668" s="563">
        <f t="shared" si="169"/>
        <v>0</v>
      </c>
      <c r="M3668" s="563">
        <f t="shared" si="170"/>
        <v>579.15000000000009</v>
      </c>
      <c r="N3668" s="580"/>
      <c r="O3668" s="558"/>
      <c r="P3668" s="564"/>
    </row>
    <row r="3669" spans="4:16" x14ac:dyDescent="0.25">
      <c r="D3669" s="559" t="s">
        <v>867</v>
      </c>
      <c r="E3669" s="558" t="s">
        <v>1631</v>
      </c>
      <c r="F3669" s="559">
        <v>512194</v>
      </c>
      <c r="G3669" s="558" t="s">
        <v>1865</v>
      </c>
      <c r="H3669" s="564">
        <v>40015</v>
      </c>
      <c r="I3669" s="563">
        <v>19.5</v>
      </c>
      <c r="J3669" s="563">
        <v>-19.5</v>
      </c>
      <c r="K3669" s="582">
        <f t="shared" si="168"/>
        <v>0</v>
      </c>
      <c r="L3669" s="563">
        <f t="shared" si="169"/>
        <v>0</v>
      </c>
      <c r="M3669" s="563">
        <f t="shared" si="170"/>
        <v>21.450000000000003</v>
      </c>
      <c r="N3669" s="580"/>
    </row>
    <row r="3670" spans="4:16" x14ac:dyDescent="0.25">
      <c r="D3670" s="559" t="s">
        <v>867</v>
      </c>
      <c r="E3670" s="558" t="s">
        <v>1632</v>
      </c>
      <c r="F3670" s="559">
        <v>512194</v>
      </c>
      <c r="G3670" s="558" t="s">
        <v>1865</v>
      </c>
      <c r="H3670" s="564">
        <v>40015</v>
      </c>
      <c r="I3670" s="563">
        <v>253.5</v>
      </c>
      <c r="J3670" s="563">
        <v>-253.5</v>
      </c>
      <c r="K3670" s="582">
        <f t="shared" si="168"/>
        <v>0</v>
      </c>
      <c r="L3670" s="563">
        <f t="shared" si="169"/>
        <v>0</v>
      </c>
      <c r="M3670" s="563">
        <f t="shared" si="170"/>
        <v>278.85000000000002</v>
      </c>
      <c r="N3670" s="580"/>
    </row>
    <row r="3671" spans="4:16" x14ac:dyDescent="0.25">
      <c r="D3671" s="559" t="s">
        <v>867</v>
      </c>
      <c r="E3671" s="558" t="s">
        <v>1864</v>
      </c>
      <c r="F3671" s="559">
        <v>500438</v>
      </c>
      <c r="G3671" s="558" t="s">
        <v>1865</v>
      </c>
      <c r="H3671" s="564">
        <v>40015</v>
      </c>
      <c r="I3671" s="563">
        <v>296.39999999999998</v>
      </c>
      <c r="J3671" s="563">
        <v>-296.39999999999998</v>
      </c>
      <c r="K3671" s="563">
        <f t="shared" si="168"/>
        <v>0</v>
      </c>
      <c r="L3671" s="563">
        <f t="shared" si="169"/>
        <v>0</v>
      </c>
      <c r="M3671" s="563">
        <f t="shared" si="170"/>
        <v>326.04000000000002</v>
      </c>
      <c r="N3671" s="580"/>
      <c r="O3671" s="558"/>
      <c r="P3671" s="564"/>
    </row>
    <row r="3672" spans="4:16" x14ac:dyDescent="0.25">
      <c r="D3672" s="559" t="s">
        <v>867</v>
      </c>
      <c r="E3672" s="558" t="s">
        <v>1866</v>
      </c>
      <c r="F3672" s="559">
        <v>500438</v>
      </c>
      <c r="G3672" s="558" t="s">
        <v>1865</v>
      </c>
      <c r="H3672" s="564">
        <v>40015</v>
      </c>
      <c r="I3672" s="563">
        <v>54.6</v>
      </c>
      <c r="J3672" s="563">
        <v>-54.6</v>
      </c>
      <c r="K3672" s="563">
        <f t="shared" si="168"/>
        <v>0</v>
      </c>
      <c r="L3672" s="563">
        <f t="shared" si="169"/>
        <v>0</v>
      </c>
      <c r="M3672" s="563">
        <f t="shared" si="170"/>
        <v>60.060000000000009</v>
      </c>
      <c r="N3672" s="580"/>
      <c r="O3672" s="558"/>
      <c r="P3672" s="564"/>
    </row>
    <row r="3673" spans="4:16" x14ac:dyDescent="0.25">
      <c r="D3673" s="559" t="s">
        <v>867</v>
      </c>
      <c r="E3673" s="558" t="s">
        <v>1867</v>
      </c>
      <c r="F3673" s="559">
        <v>500027</v>
      </c>
      <c r="G3673" s="558" t="s">
        <v>1865</v>
      </c>
      <c r="H3673" s="564">
        <v>40015</v>
      </c>
      <c r="I3673" s="563">
        <v>25.35</v>
      </c>
      <c r="J3673" s="563">
        <v>-25.35</v>
      </c>
      <c r="K3673" s="563">
        <f t="shared" si="168"/>
        <v>0</v>
      </c>
      <c r="L3673" s="563">
        <f t="shared" si="169"/>
        <v>0</v>
      </c>
      <c r="M3673" s="563">
        <f t="shared" si="170"/>
        <v>27.885000000000005</v>
      </c>
      <c r="N3673" s="580"/>
      <c r="O3673" s="558"/>
      <c r="P3673" s="564"/>
    </row>
    <row r="3674" spans="4:16" x14ac:dyDescent="0.25">
      <c r="D3674" s="559" t="s">
        <v>867</v>
      </c>
      <c r="E3674" s="558" t="s">
        <v>1633</v>
      </c>
      <c r="F3674" s="559">
        <v>502193</v>
      </c>
      <c r="G3674" s="558" t="s">
        <v>1869</v>
      </c>
      <c r="H3674" s="564">
        <v>40015</v>
      </c>
      <c r="I3674" s="563">
        <v>783.9</v>
      </c>
      <c r="J3674" s="563">
        <v>-585</v>
      </c>
      <c r="K3674" s="582">
        <f t="shared" si="168"/>
        <v>198.89999999999998</v>
      </c>
      <c r="L3674" s="563">
        <f t="shared" si="169"/>
        <v>218.79</v>
      </c>
      <c r="M3674" s="563">
        <f t="shared" si="170"/>
        <v>862.29000000000008</v>
      </c>
      <c r="N3674" s="580"/>
    </row>
    <row r="3675" spans="4:16" x14ac:dyDescent="0.25">
      <c r="D3675" s="559" t="s">
        <v>867</v>
      </c>
      <c r="E3675" s="558" t="s">
        <v>1634</v>
      </c>
      <c r="F3675" s="559">
        <v>502193</v>
      </c>
      <c r="G3675" s="558" t="s">
        <v>1869</v>
      </c>
      <c r="H3675" s="564">
        <v>40015</v>
      </c>
      <c r="I3675" s="563">
        <v>315.89999999999998</v>
      </c>
      <c r="J3675" s="563">
        <v>-315.89999999999998</v>
      </c>
      <c r="K3675" s="582">
        <f t="shared" si="168"/>
        <v>0</v>
      </c>
      <c r="L3675" s="563">
        <f t="shared" si="169"/>
        <v>0</v>
      </c>
      <c r="M3675" s="563">
        <f t="shared" si="170"/>
        <v>347.49</v>
      </c>
      <c r="N3675" s="580"/>
    </row>
    <row r="3676" spans="4:16" x14ac:dyDescent="0.25">
      <c r="D3676" s="559" t="s">
        <v>867</v>
      </c>
      <c r="E3676" s="558" t="s">
        <v>1635</v>
      </c>
      <c r="F3676" s="559">
        <v>500169</v>
      </c>
      <c r="G3676" s="558" t="s">
        <v>1869</v>
      </c>
      <c r="H3676" s="564">
        <v>40015</v>
      </c>
      <c r="I3676" s="563">
        <v>1407.9</v>
      </c>
      <c r="J3676" s="563">
        <v>-585</v>
      </c>
      <c r="K3676" s="582">
        <f t="shared" si="168"/>
        <v>822.90000000000009</v>
      </c>
      <c r="L3676" s="563">
        <f t="shared" si="169"/>
        <v>905.19000000000017</v>
      </c>
      <c r="M3676" s="563">
        <f t="shared" si="170"/>
        <v>1548.6900000000003</v>
      </c>
      <c r="N3676" s="580"/>
    </row>
    <row r="3677" spans="4:16" x14ac:dyDescent="0.25">
      <c r="D3677" s="559" t="s">
        <v>867</v>
      </c>
      <c r="E3677" s="558" t="s">
        <v>1636</v>
      </c>
      <c r="F3677" s="559">
        <v>500169</v>
      </c>
      <c r="G3677" s="558" t="s">
        <v>1869</v>
      </c>
      <c r="H3677" s="564">
        <v>40015</v>
      </c>
      <c r="I3677" s="563">
        <v>198.9</v>
      </c>
      <c r="J3677" s="563">
        <v>-198.9</v>
      </c>
      <c r="K3677" s="582">
        <f t="shared" si="168"/>
        <v>0</v>
      </c>
      <c r="L3677" s="563">
        <f t="shared" si="169"/>
        <v>0</v>
      </c>
      <c r="M3677" s="563">
        <f t="shared" si="170"/>
        <v>218.79000000000002</v>
      </c>
      <c r="N3677" s="580"/>
    </row>
    <row r="3678" spans="4:16" x14ac:dyDescent="0.25">
      <c r="D3678" s="559" t="s">
        <v>867</v>
      </c>
      <c r="E3678" s="558" t="s">
        <v>1868</v>
      </c>
      <c r="F3678" s="559">
        <v>500170</v>
      </c>
      <c r="G3678" s="558" t="s">
        <v>1869</v>
      </c>
      <c r="H3678" s="564">
        <v>40015</v>
      </c>
      <c r="I3678" s="563">
        <v>1556.1</v>
      </c>
      <c r="J3678" s="563">
        <v>-585</v>
      </c>
      <c r="K3678" s="563">
        <f t="shared" si="168"/>
        <v>971.09999999999991</v>
      </c>
      <c r="L3678" s="563">
        <f t="shared" si="169"/>
        <v>1068.21</v>
      </c>
      <c r="M3678" s="563">
        <f t="shared" si="170"/>
        <v>1711.71</v>
      </c>
      <c r="N3678" s="580"/>
      <c r="O3678" s="558"/>
      <c r="P3678" s="564"/>
    </row>
    <row r="3679" spans="4:16" x14ac:dyDescent="0.25">
      <c r="D3679" s="559" t="s">
        <v>867</v>
      </c>
      <c r="E3679" s="558" t="s">
        <v>1870</v>
      </c>
      <c r="F3679" s="559">
        <v>500170</v>
      </c>
      <c r="G3679" s="558" t="s">
        <v>1871</v>
      </c>
      <c r="H3679" s="564">
        <v>40015</v>
      </c>
      <c r="I3679" s="563">
        <v>620.1</v>
      </c>
      <c r="J3679" s="563">
        <v>-585</v>
      </c>
      <c r="K3679" s="563">
        <f t="shared" si="168"/>
        <v>35.100000000000023</v>
      </c>
      <c r="L3679" s="563">
        <f t="shared" si="169"/>
        <v>38.610000000000028</v>
      </c>
      <c r="M3679" s="563">
        <f t="shared" si="170"/>
        <v>682.11000000000013</v>
      </c>
      <c r="N3679" s="580"/>
      <c r="O3679" s="558"/>
      <c r="P3679" s="564"/>
    </row>
    <row r="3680" spans="4:16" x14ac:dyDescent="0.25">
      <c r="D3680" s="559" t="s">
        <v>867</v>
      </c>
      <c r="E3680" s="558" t="s">
        <v>1637</v>
      </c>
      <c r="F3680" s="559">
        <v>500171</v>
      </c>
      <c r="G3680" s="558" t="s">
        <v>1871</v>
      </c>
      <c r="H3680" s="564">
        <v>40015</v>
      </c>
      <c r="I3680" s="563">
        <v>549.9</v>
      </c>
      <c r="J3680" s="563">
        <v>-549.9</v>
      </c>
      <c r="K3680" s="582">
        <f t="shared" si="168"/>
        <v>0</v>
      </c>
      <c r="L3680" s="563">
        <f t="shared" si="169"/>
        <v>0</v>
      </c>
      <c r="M3680" s="563">
        <f t="shared" si="170"/>
        <v>604.89</v>
      </c>
      <c r="N3680" s="580"/>
    </row>
    <row r="3681" spans="4:16" x14ac:dyDescent="0.25">
      <c r="D3681" s="559" t="s">
        <v>867</v>
      </c>
      <c r="E3681" s="558" t="s">
        <v>1638</v>
      </c>
      <c r="F3681" s="559">
        <v>500172</v>
      </c>
      <c r="G3681" s="558" t="s">
        <v>1871</v>
      </c>
      <c r="H3681" s="564">
        <v>40015</v>
      </c>
      <c r="I3681" s="563">
        <v>66.3</v>
      </c>
      <c r="J3681" s="563">
        <v>-66.3</v>
      </c>
      <c r="K3681" s="582">
        <f t="shared" si="168"/>
        <v>0</v>
      </c>
      <c r="L3681" s="563">
        <f t="shared" si="169"/>
        <v>0</v>
      </c>
      <c r="M3681" s="563">
        <f t="shared" si="170"/>
        <v>72.930000000000007</v>
      </c>
      <c r="N3681" s="580"/>
    </row>
    <row r="3682" spans="4:16" x14ac:dyDescent="0.25">
      <c r="D3682" s="559" t="s">
        <v>867</v>
      </c>
      <c r="E3682" s="558" t="s">
        <v>1872</v>
      </c>
      <c r="F3682" s="559">
        <v>502268</v>
      </c>
      <c r="G3682" s="558" t="s">
        <v>1873</v>
      </c>
      <c r="H3682" s="564">
        <v>40015</v>
      </c>
      <c r="I3682" s="563">
        <v>1205.0999999999999</v>
      </c>
      <c r="J3682" s="563">
        <v>-585</v>
      </c>
      <c r="K3682" s="563">
        <f t="shared" si="168"/>
        <v>620.09999999999991</v>
      </c>
      <c r="L3682" s="563">
        <f t="shared" si="169"/>
        <v>682.1099999999999</v>
      </c>
      <c r="M3682" s="563">
        <f t="shared" si="170"/>
        <v>1325.61</v>
      </c>
      <c r="N3682" s="580"/>
      <c r="O3682" s="558"/>
      <c r="P3682" s="564"/>
    </row>
    <row r="3683" spans="4:16" x14ac:dyDescent="0.25">
      <c r="D3683" s="559" t="s">
        <v>867</v>
      </c>
      <c r="E3683" s="558" t="s">
        <v>1639</v>
      </c>
      <c r="F3683" s="559">
        <v>502276</v>
      </c>
      <c r="G3683" s="558" t="s">
        <v>1873</v>
      </c>
      <c r="H3683" s="564">
        <v>40015</v>
      </c>
      <c r="I3683" s="563">
        <v>35.1</v>
      </c>
      <c r="J3683" s="563">
        <v>-35.1</v>
      </c>
      <c r="K3683" s="582">
        <f t="shared" si="168"/>
        <v>0</v>
      </c>
      <c r="L3683" s="563">
        <f t="shared" si="169"/>
        <v>0</v>
      </c>
      <c r="M3683" s="563">
        <f t="shared" si="170"/>
        <v>38.610000000000007</v>
      </c>
      <c r="N3683" s="580"/>
    </row>
    <row r="3684" spans="4:16" x14ac:dyDescent="0.25">
      <c r="D3684" s="559" t="s">
        <v>867</v>
      </c>
      <c r="E3684" s="558" t="s">
        <v>1874</v>
      </c>
      <c r="F3684" s="559">
        <v>500174</v>
      </c>
      <c r="G3684" s="558" t="s">
        <v>1873</v>
      </c>
      <c r="H3684" s="564">
        <v>40015</v>
      </c>
      <c r="I3684" s="563">
        <v>1088.0999999999999</v>
      </c>
      <c r="J3684" s="563">
        <v>-585</v>
      </c>
      <c r="K3684" s="563">
        <f t="shared" si="168"/>
        <v>503.09999999999991</v>
      </c>
      <c r="L3684" s="563">
        <f t="shared" si="169"/>
        <v>553.41</v>
      </c>
      <c r="M3684" s="563">
        <f t="shared" si="170"/>
        <v>1196.9100000000001</v>
      </c>
      <c r="N3684" s="580"/>
      <c r="O3684" s="558"/>
      <c r="P3684" s="564"/>
    </row>
    <row r="3685" spans="4:16" x14ac:dyDescent="0.25">
      <c r="D3685" s="559" t="s">
        <v>867</v>
      </c>
      <c r="E3685" s="558" t="s">
        <v>1640</v>
      </c>
      <c r="F3685" s="559">
        <v>500171</v>
      </c>
      <c r="G3685" s="558" t="s">
        <v>1873</v>
      </c>
      <c r="H3685" s="564">
        <v>40015</v>
      </c>
      <c r="I3685" s="563">
        <v>66.3</v>
      </c>
      <c r="J3685" s="563">
        <v>-66.3</v>
      </c>
      <c r="K3685" s="582">
        <f t="shared" si="168"/>
        <v>0</v>
      </c>
      <c r="L3685" s="563">
        <f t="shared" si="169"/>
        <v>0</v>
      </c>
      <c r="M3685" s="563">
        <f t="shared" si="170"/>
        <v>72.930000000000007</v>
      </c>
      <c r="N3685" s="580"/>
    </row>
    <row r="3686" spans="4:16" x14ac:dyDescent="0.25">
      <c r="D3686" s="559" t="s">
        <v>867</v>
      </c>
      <c r="E3686" s="558" t="s">
        <v>1641</v>
      </c>
      <c r="F3686" s="559">
        <v>500458</v>
      </c>
      <c r="G3686" s="558" t="s">
        <v>1873</v>
      </c>
      <c r="H3686" s="564">
        <v>40015</v>
      </c>
      <c r="I3686" s="563">
        <v>66.3</v>
      </c>
      <c r="J3686" s="563">
        <v>-66.3</v>
      </c>
      <c r="K3686" s="582">
        <f t="shared" si="168"/>
        <v>0</v>
      </c>
      <c r="L3686" s="563">
        <f t="shared" si="169"/>
        <v>0</v>
      </c>
      <c r="M3686" s="563">
        <f t="shared" si="170"/>
        <v>72.930000000000007</v>
      </c>
      <c r="N3686" s="580"/>
    </row>
    <row r="3687" spans="4:16" x14ac:dyDescent="0.25">
      <c r="D3687" s="559" t="s">
        <v>867</v>
      </c>
      <c r="E3687" s="558" t="s">
        <v>1642</v>
      </c>
      <c r="F3687" s="559">
        <v>500458</v>
      </c>
      <c r="G3687" s="558" t="s">
        <v>804</v>
      </c>
      <c r="H3687" s="564">
        <v>40015</v>
      </c>
      <c r="I3687" s="563">
        <v>1010.1</v>
      </c>
      <c r="J3687" s="563">
        <v>-585</v>
      </c>
      <c r="K3687" s="582">
        <f t="shared" si="168"/>
        <v>425.1</v>
      </c>
      <c r="L3687" s="563">
        <f t="shared" si="169"/>
        <v>467.61000000000007</v>
      </c>
      <c r="M3687" s="563">
        <f t="shared" si="170"/>
        <v>1111.1100000000001</v>
      </c>
      <c r="N3687" s="580"/>
    </row>
    <row r="3688" spans="4:16" x14ac:dyDescent="0.25">
      <c r="D3688" s="559" t="s">
        <v>867</v>
      </c>
      <c r="E3688" s="558" t="s">
        <v>1875</v>
      </c>
      <c r="F3688" s="559">
        <v>500176</v>
      </c>
      <c r="G3688" s="558" t="s">
        <v>804</v>
      </c>
      <c r="H3688" s="564">
        <v>40015</v>
      </c>
      <c r="I3688" s="563">
        <v>97.5</v>
      </c>
      <c r="J3688" s="563">
        <v>-97.5</v>
      </c>
      <c r="K3688" s="563">
        <f t="shared" si="168"/>
        <v>0</v>
      </c>
      <c r="L3688" s="563">
        <f t="shared" si="169"/>
        <v>0</v>
      </c>
      <c r="M3688" s="563">
        <f t="shared" si="170"/>
        <v>107.25000000000001</v>
      </c>
      <c r="N3688" s="580"/>
      <c r="O3688" s="558"/>
      <c r="P3688" s="564"/>
    </row>
    <row r="3689" spans="4:16" x14ac:dyDescent="0.25">
      <c r="D3689" s="559" t="s">
        <v>867</v>
      </c>
      <c r="E3689" s="558" t="s">
        <v>1643</v>
      </c>
      <c r="F3689" s="559">
        <v>502240</v>
      </c>
      <c r="G3689" s="558" t="s">
        <v>1877</v>
      </c>
      <c r="H3689" s="564">
        <v>40015</v>
      </c>
      <c r="I3689" s="563">
        <v>503.1</v>
      </c>
      <c r="J3689" s="563">
        <v>-503.1</v>
      </c>
      <c r="K3689" s="582">
        <f t="shared" ref="K3689:K3752" si="171">+I3689+J3689</f>
        <v>0</v>
      </c>
      <c r="L3689" s="563">
        <f t="shared" ref="L3689:L3752" si="172">+K3689*1.1</f>
        <v>0</v>
      </c>
      <c r="M3689" s="563">
        <f t="shared" ref="M3689:M3752" si="173">+I3689*1.1</f>
        <v>553.41000000000008</v>
      </c>
      <c r="N3689" s="580"/>
    </row>
    <row r="3690" spans="4:16" x14ac:dyDescent="0.25">
      <c r="D3690" s="559" t="s">
        <v>867</v>
      </c>
      <c r="E3690" s="558" t="s">
        <v>1876</v>
      </c>
      <c r="F3690" s="559">
        <v>502293</v>
      </c>
      <c r="G3690" s="558" t="s">
        <v>1877</v>
      </c>
      <c r="H3690" s="564">
        <v>40015</v>
      </c>
      <c r="I3690" s="563">
        <v>503.1</v>
      </c>
      <c r="J3690" s="563">
        <v>-503.1</v>
      </c>
      <c r="K3690" s="563">
        <f t="shared" si="171"/>
        <v>0</v>
      </c>
      <c r="L3690" s="563">
        <f t="shared" si="172"/>
        <v>0</v>
      </c>
      <c r="M3690" s="563">
        <f t="shared" si="173"/>
        <v>553.41000000000008</v>
      </c>
      <c r="N3690" s="580"/>
      <c r="O3690" s="558"/>
      <c r="P3690" s="564"/>
    </row>
    <row r="3691" spans="4:16" x14ac:dyDescent="0.25">
      <c r="D3691" s="559" t="s">
        <v>867</v>
      </c>
      <c r="E3691" s="558" t="s">
        <v>1878</v>
      </c>
      <c r="F3691" s="559">
        <v>500516</v>
      </c>
      <c r="G3691" s="558" t="s">
        <v>1877</v>
      </c>
      <c r="H3691" s="564">
        <v>40015</v>
      </c>
      <c r="I3691" s="563">
        <v>503.1</v>
      </c>
      <c r="J3691" s="563">
        <v>-503.1</v>
      </c>
      <c r="K3691" s="563">
        <f t="shared" si="171"/>
        <v>0</v>
      </c>
      <c r="L3691" s="563">
        <f t="shared" si="172"/>
        <v>0</v>
      </c>
      <c r="M3691" s="563">
        <f t="shared" si="173"/>
        <v>553.41000000000008</v>
      </c>
      <c r="N3691" s="580"/>
      <c r="O3691" s="558"/>
      <c r="P3691" s="564"/>
    </row>
    <row r="3692" spans="4:16" x14ac:dyDescent="0.25">
      <c r="D3692" s="559" t="s">
        <v>867</v>
      </c>
      <c r="E3692" s="558" t="s">
        <v>1644</v>
      </c>
      <c r="F3692" s="559">
        <v>502041</v>
      </c>
      <c r="G3692" s="558" t="s">
        <v>1877</v>
      </c>
      <c r="H3692" s="564">
        <v>40015</v>
      </c>
      <c r="I3692" s="563">
        <v>503.1</v>
      </c>
      <c r="J3692" s="563">
        <v>-503.1</v>
      </c>
      <c r="K3692" s="582">
        <f t="shared" si="171"/>
        <v>0</v>
      </c>
      <c r="L3692" s="563">
        <f t="shared" si="172"/>
        <v>0</v>
      </c>
      <c r="M3692" s="563">
        <f t="shared" si="173"/>
        <v>553.41000000000008</v>
      </c>
      <c r="N3692" s="580"/>
    </row>
    <row r="3693" spans="4:16" x14ac:dyDescent="0.25">
      <c r="D3693" s="559" t="s">
        <v>867</v>
      </c>
      <c r="E3693" s="558" t="s">
        <v>1645</v>
      </c>
      <c r="F3693" s="559">
        <v>502141</v>
      </c>
      <c r="G3693" s="558" t="s">
        <v>1877</v>
      </c>
      <c r="H3693" s="564">
        <v>40015</v>
      </c>
      <c r="I3693" s="563">
        <v>503.1</v>
      </c>
      <c r="J3693" s="563">
        <v>-503.1</v>
      </c>
      <c r="K3693" s="582">
        <f t="shared" si="171"/>
        <v>0</v>
      </c>
      <c r="L3693" s="563">
        <f t="shared" si="172"/>
        <v>0</v>
      </c>
      <c r="M3693" s="563">
        <f t="shared" si="173"/>
        <v>553.41000000000008</v>
      </c>
      <c r="N3693" s="580"/>
    </row>
    <row r="3694" spans="4:16" x14ac:dyDescent="0.25">
      <c r="D3694" s="559" t="s">
        <v>867</v>
      </c>
      <c r="E3694" s="558" t="s">
        <v>1646</v>
      </c>
      <c r="F3694" s="559">
        <v>702266</v>
      </c>
      <c r="G3694" s="558" t="s">
        <v>808</v>
      </c>
      <c r="H3694" s="564">
        <v>40015</v>
      </c>
      <c r="I3694" s="563">
        <v>429</v>
      </c>
      <c r="J3694" s="563">
        <v>-429</v>
      </c>
      <c r="K3694" s="582">
        <f t="shared" si="171"/>
        <v>0</v>
      </c>
      <c r="L3694" s="563">
        <f t="shared" si="172"/>
        <v>0</v>
      </c>
      <c r="M3694" s="563">
        <f t="shared" si="173"/>
        <v>471.90000000000003</v>
      </c>
      <c r="N3694" s="580"/>
    </row>
    <row r="3695" spans="4:16" x14ac:dyDescent="0.25">
      <c r="D3695" s="559" t="s">
        <v>867</v>
      </c>
      <c r="E3695" s="558" t="s">
        <v>1879</v>
      </c>
      <c r="F3695" s="559">
        <v>502221</v>
      </c>
      <c r="G3695" s="558" t="s">
        <v>808</v>
      </c>
      <c r="H3695" s="564">
        <v>40015</v>
      </c>
      <c r="I3695" s="563">
        <v>1989</v>
      </c>
      <c r="J3695" s="563">
        <v>-585</v>
      </c>
      <c r="K3695" s="563">
        <f t="shared" si="171"/>
        <v>1404</v>
      </c>
      <c r="L3695" s="563">
        <f t="shared" si="172"/>
        <v>1544.4</v>
      </c>
      <c r="M3695" s="563">
        <f t="shared" si="173"/>
        <v>2187.9</v>
      </c>
      <c r="N3695" s="580"/>
      <c r="O3695" s="558"/>
      <c r="P3695" s="564"/>
    </row>
    <row r="3696" spans="4:16" x14ac:dyDescent="0.25">
      <c r="D3696" s="559" t="s">
        <v>867</v>
      </c>
      <c r="E3696" s="558" t="s">
        <v>1880</v>
      </c>
      <c r="F3696" s="559">
        <v>502162</v>
      </c>
      <c r="G3696" s="558" t="s">
        <v>808</v>
      </c>
      <c r="H3696" s="564">
        <v>40015</v>
      </c>
      <c r="I3696" s="563">
        <v>1696.5</v>
      </c>
      <c r="J3696" s="563">
        <v>-585</v>
      </c>
      <c r="K3696" s="563">
        <f t="shared" si="171"/>
        <v>1111.5</v>
      </c>
      <c r="L3696" s="563">
        <f t="shared" si="172"/>
        <v>1222.6500000000001</v>
      </c>
      <c r="M3696" s="563">
        <f t="shared" si="173"/>
        <v>1866.15</v>
      </c>
      <c r="N3696" s="580"/>
      <c r="O3696" s="558"/>
      <c r="P3696" s="564"/>
    </row>
    <row r="3697" spans="4:16" x14ac:dyDescent="0.25">
      <c r="D3697" s="559" t="s">
        <v>867</v>
      </c>
      <c r="E3697" s="558" t="s">
        <v>1647</v>
      </c>
      <c r="F3697" s="559">
        <v>500428</v>
      </c>
      <c r="G3697" s="558" t="s">
        <v>810</v>
      </c>
      <c r="H3697" s="564">
        <v>40015</v>
      </c>
      <c r="I3697" s="563">
        <v>60.45</v>
      </c>
      <c r="J3697" s="563">
        <v>-60.45</v>
      </c>
      <c r="K3697" s="582">
        <f t="shared" si="171"/>
        <v>0</v>
      </c>
      <c r="L3697" s="563">
        <f t="shared" si="172"/>
        <v>0</v>
      </c>
      <c r="M3697" s="563">
        <f t="shared" si="173"/>
        <v>66.495000000000005</v>
      </c>
      <c r="N3697" s="580"/>
    </row>
    <row r="3698" spans="4:16" x14ac:dyDescent="0.25">
      <c r="D3698" s="559" t="s">
        <v>867</v>
      </c>
      <c r="E3698" s="558" t="s">
        <v>1881</v>
      </c>
      <c r="F3698" s="559">
        <v>500183</v>
      </c>
      <c r="G3698" s="558" t="s">
        <v>810</v>
      </c>
      <c r="H3698" s="564">
        <v>40015</v>
      </c>
      <c r="I3698" s="563">
        <v>42.9</v>
      </c>
      <c r="J3698" s="563">
        <v>-42.9</v>
      </c>
      <c r="K3698" s="563">
        <f t="shared" si="171"/>
        <v>0</v>
      </c>
      <c r="L3698" s="563">
        <f t="shared" si="172"/>
        <v>0</v>
      </c>
      <c r="M3698" s="563">
        <f t="shared" si="173"/>
        <v>47.190000000000005</v>
      </c>
      <c r="N3698" s="580"/>
      <c r="O3698" s="558"/>
      <c r="P3698" s="564"/>
    </row>
    <row r="3699" spans="4:16" x14ac:dyDescent="0.25">
      <c r="D3699" s="559" t="s">
        <v>867</v>
      </c>
      <c r="E3699" s="558" t="s">
        <v>1882</v>
      </c>
      <c r="F3699" s="559">
        <v>500054</v>
      </c>
      <c r="G3699" s="558" t="s">
        <v>810</v>
      </c>
      <c r="H3699" s="564">
        <v>40015</v>
      </c>
      <c r="I3699" s="563">
        <v>1209</v>
      </c>
      <c r="J3699" s="563">
        <v>-585</v>
      </c>
      <c r="K3699" s="563">
        <f t="shared" si="171"/>
        <v>624</v>
      </c>
      <c r="L3699" s="563">
        <f t="shared" si="172"/>
        <v>686.40000000000009</v>
      </c>
      <c r="M3699" s="563">
        <f t="shared" si="173"/>
        <v>1329.9</v>
      </c>
      <c r="N3699" s="580"/>
      <c r="O3699" s="558"/>
      <c r="P3699" s="564"/>
    </row>
    <row r="3700" spans="4:16" x14ac:dyDescent="0.25">
      <c r="D3700" s="559" t="s">
        <v>867</v>
      </c>
      <c r="E3700" s="558" t="s">
        <v>1883</v>
      </c>
      <c r="F3700" s="559">
        <v>500185</v>
      </c>
      <c r="G3700" s="558" t="s">
        <v>810</v>
      </c>
      <c r="H3700" s="564">
        <v>40015</v>
      </c>
      <c r="I3700" s="563">
        <v>1092</v>
      </c>
      <c r="J3700" s="563">
        <v>-585</v>
      </c>
      <c r="K3700" s="563">
        <f t="shared" si="171"/>
        <v>507</v>
      </c>
      <c r="L3700" s="563">
        <f t="shared" si="172"/>
        <v>557.70000000000005</v>
      </c>
      <c r="M3700" s="563">
        <f t="shared" si="173"/>
        <v>1201.2</v>
      </c>
      <c r="N3700" s="580"/>
      <c r="O3700" s="558"/>
      <c r="P3700" s="564"/>
    </row>
    <row r="3701" spans="4:16" x14ac:dyDescent="0.25">
      <c r="D3701" s="559" t="s">
        <v>867</v>
      </c>
      <c r="E3701" s="558" t="s">
        <v>1884</v>
      </c>
      <c r="F3701" s="559">
        <v>500186</v>
      </c>
      <c r="G3701" s="558" t="s">
        <v>1885</v>
      </c>
      <c r="H3701" s="564">
        <v>40015</v>
      </c>
      <c r="I3701" s="563">
        <v>2613</v>
      </c>
      <c r="J3701" s="563">
        <v>-585</v>
      </c>
      <c r="K3701" s="563">
        <f t="shared" si="171"/>
        <v>2028</v>
      </c>
      <c r="L3701" s="563">
        <f t="shared" si="172"/>
        <v>2230.8000000000002</v>
      </c>
      <c r="M3701" s="563">
        <f t="shared" si="173"/>
        <v>2874.3</v>
      </c>
      <c r="N3701" s="580"/>
      <c r="O3701" s="558"/>
      <c r="P3701" s="564"/>
    </row>
    <row r="3702" spans="4:16" x14ac:dyDescent="0.25">
      <c r="D3702" s="559" t="s">
        <v>867</v>
      </c>
      <c r="E3702" s="558" t="s">
        <v>1648</v>
      </c>
      <c r="F3702" s="559">
        <v>502161</v>
      </c>
      <c r="G3702" s="558" t="s">
        <v>1885</v>
      </c>
      <c r="H3702" s="564">
        <v>40015</v>
      </c>
      <c r="I3702" s="563">
        <v>3159</v>
      </c>
      <c r="J3702" s="563">
        <v>-585</v>
      </c>
      <c r="K3702" s="582">
        <f t="shared" si="171"/>
        <v>2574</v>
      </c>
      <c r="L3702" s="563">
        <f t="shared" si="172"/>
        <v>2831.4</v>
      </c>
      <c r="M3702" s="563">
        <f t="shared" si="173"/>
        <v>3474.9</v>
      </c>
      <c r="N3702" s="580"/>
    </row>
    <row r="3703" spans="4:16" x14ac:dyDescent="0.25">
      <c r="D3703" s="559" t="s">
        <v>867</v>
      </c>
      <c r="E3703" s="558" t="s">
        <v>1649</v>
      </c>
      <c r="F3703" s="559">
        <v>502239</v>
      </c>
      <c r="G3703" s="558" t="s">
        <v>1885</v>
      </c>
      <c r="H3703" s="564">
        <v>40015</v>
      </c>
      <c r="I3703" s="563">
        <v>120.9</v>
      </c>
      <c r="J3703" s="563">
        <v>-120.9</v>
      </c>
      <c r="K3703" s="582">
        <f t="shared" si="171"/>
        <v>0</v>
      </c>
      <c r="L3703" s="563">
        <f t="shared" si="172"/>
        <v>0</v>
      </c>
      <c r="M3703" s="563">
        <f t="shared" si="173"/>
        <v>132.99</v>
      </c>
      <c r="N3703" s="580"/>
    </row>
    <row r="3704" spans="4:16" x14ac:dyDescent="0.25">
      <c r="D3704" s="559" t="s">
        <v>867</v>
      </c>
      <c r="E3704" s="558" t="s">
        <v>1886</v>
      </c>
      <c r="F3704" s="559">
        <v>500188</v>
      </c>
      <c r="G3704" s="558" t="s">
        <v>1885</v>
      </c>
      <c r="H3704" s="564">
        <v>40015</v>
      </c>
      <c r="I3704" s="563">
        <v>1794</v>
      </c>
      <c r="J3704" s="563">
        <v>-585</v>
      </c>
      <c r="K3704" s="563">
        <f t="shared" si="171"/>
        <v>1209</v>
      </c>
      <c r="L3704" s="563">
        <f t="shared" si="172"/>
        <v>1329.9</v>
      </c>
      <c r="M3704" s="563">
        <f t="shared" si="173"/>
        <v>1973.4</v>
      </c>
      <c r="N3704" s="580"/>
      <c r="O3704" s="558"/>
      <c r="P3704" s="564"/>
    </row>
    <row r="3705" spans="4:16" x14ac:dyDescent="0.25">
      <c r="D3705" s="559" t="s">
        <v>867</v>
      </c>
      <c r="E3705" s="558" t="s">
        <v>1887</v>
      </c>
      <c r="F3705" s="559">
        <v>500421</v>
      </c>
      <c r="G3705" s="558" t="s">
        <v>1885</v>
      </c>
      <c r="H3705" s="564">
        <v>40015</v>
      </c>
      <c r="I3705" s="563">
        <v>721.5</v>
      </c>
      <c r="J3705" s="563">
        <v>-585</v>
      </c>
      <c r="K3705" s="563">
        <f t="shared" si="171"/>
        <v>136.5</v>
      </c>
      <c r="L3705" s="563">
        <f t="shared" si="172"/>
        <v>150.15</v>
      </c>
      <c r="M3705" s="563">
        <f t="shared" si="173"/>
        <v>793.65000000000009</v>
      </c>
      <c r="N3705" s="580"/>
      <c r="O3705" s="558"/>
      <c r="P3705" s="564"/>
    </row>
    <row r="3706" spans="4:16" x14ac:dyDescent="0.25">
      <c r="D3706" s="559" t="s">
        <v>867</v>
      </c>
      <c r="E3706" s="558" t="s">
        <v>1888</v>
      </c>
      <c r="F3706" s="559">
        <v>500026</v>
      </c>
      <c r="G3706" s="558" t="s">
        <v>1889</v>
      </c>
      <c r="H3706" s="564">
        <v>40015</v>
      </c>
      <c r="I3706" s="563">
        <v>1501.5</v>
      </c>
      <c r="J3706" s="563">
        <v>-585</v>
      </c>
      <c r="K3706" s="563">
        <f t="shared" si="171"/>
        <v>916.5</v>
      </c>
      <c r="L3706" s="563">
        <f t="shared" si="172"/>
        <v>1008.1500000000001</v>
      </c>
      <c r="M3706" s="563">
        <f t="shared" si="173"/>
        <v>1651.65</v>
      </c>
      <c r="N3706" s="580"/>
      <c r="O3706" s="558"/>
      <c r="P3706" s="564"/>
    </row>
    <row r="3707" spans="4:16" x14ac:dyDescent="0.25">
      <c r="D3707" s="559" t="s">
        <v>867</v>
      </c>
      <c r="E3707" s="558" t="s">
        <v>1650</v>
      </c>
      <c r="F3707" s="559">
        <v>500428</v>
      </c>
      <c r="G3707" s="558" t="s">
        <v>1889</v>
      </c>
      <c r="H3707" s="564">
        <v>40015</v>
      </c>
      <c r="I3707" s="563">
        <v>766.35</v>
      </c>
      <c r="J3707" s="563">
        <v>-585</v>
      </c>
      <c r="K3707" s="582">
        <f t="shared" si="171"/>
        <v>181.35000000000002</v>
      </c>
      <c r="L3707" s="563">
        <f t="shared" si="172"/>
        <v>199.48500000000004</v>
      </c>
      <c r="M3707" s="563">
        <f t="shared" si="173"/>
        <v>842.98500000000013</v>
      </c>
      <c r="N3707" s="580"/>
    </row>
    <row r="3708" spans="4:16" x14ac:dyDescent="0.25">
      <c r="D3708" s="559" t="s">
        <v>867</v>
      </c>
      <c r="E3708" s="558" t="s">
        <v>1651</v>
      </c>
      <c r="F3708" s="559">
        <v>500428</v>
      </c>
      <c r="G3708" s="558" t="s">
        <v>1889</v>
      </c>
      <c r="H3708" s="564">
        <v>40015</v>
      </c>
      <c r="I3708" s="563">
        <v>25.35</v>
      </c>
      <c r="J3708" s="563">
        <v>-25.35</v>
      </c>
      <c r="K3708" s="582">
        <f t="shared" si="171"/>
        <v>0</v>
      </c>
      <c r="L3708" s="563">
        <f t="shared" si="172"/>
        <v>0</v>
      </c>
      <c r="M3708" s="563">
        <f t="shared" si="173"/>
        <v>27.885000000000005</v>
      </c>
      <c r="N3708" s="580"/>
    </row>
    <row r="3709" spans="4:16" x14ac:dyDescent="0.25">
      <c r="D3709" s="559" t="s">
        <v>867</v>
      </c>
      <c r="E3709" s="558" t="s">
        <v>1652</v>
      </c>
      <c r="F3709" s="559">
        <v>500033</v>
      </c>
      <c r="G3709" s="558" t="s">
        <v>1889</v>
      </c>
      <c r="H3709" s="564">
        <v>40015</v>
      </c>
      <c r="I3709" s="563">
        <v>819</v>
      </c>
      <c r="J3709" s="563">
        <v>-585</v>
      </c>
      <c r="K3709" s="582">
        <f t="shared" si="171"/>
        <v>234</v>
      </c>
      <c r="L3709" s="563">
        <f t="shared" si="172"/>
        <v>257.40000000000003</v>
      </c>
      <c r="M3709" s="563">
        <f t="shared" si="173"/>
        <v>900.90000000000009</v>
      </c>
      <c r="N3709" s="580"/>
    </row>
    <row r="3710" spans="4:16" x14ac:dyDescent="0.25">
      <c r="D3710" s="559" t="s">
        <v>867</v>
      </c>
      <c r="E3710" s="558" t="s">
        <v>1653</v>
      </c>
      <c r="F3710" s="559">
        <v>502021</v>
      </c>
      <c r="G3710" s="558" t="s">
        <v>1889</v>
      </c>
      <c r="H3710" s="564">
        <v>40015</v>
      </c>
      <c r="I3710" s="563">
        <v>2770.95</v>
      </c>
      <c r="J3710" s="563">
        <v>-585</v>
      </c>
      <c r="K3710" s="582">
        <f t="shared" si="171"/>
        <v>2185.9499999999998</v>
      </c>
      <c r="L3710" s="563">
        <f t="shared" si="172"/>
        <v>2404.5450000000001</v>
      </c>
      <c r="M3710" s="563">
        <f t="shared" si="173"/>
        <v>3048.0450000000001</v>
      </c>
      <c r="N3710" s="580"/>
    </row>
    <row r="3711" spans="4:16" x14ac:dyDescent="0.25">
      <c r="D3711" s="559" t="s">
        <v>867</v>
      </c>
      <c r="E3711" s="558" t="s">
        <v>1890</v>
      </c>
      <c r="F3711" s="559">
        <v>500059</v>
      </c>
      <c r="G3711" s="558" t="s">
        <v>914</v>
      </c>
      <c r="H3711" s="564">
        <v>40015</v>
      </c>
      <c r="I3711" s="563">
        <v>4391.3999999999996</v>
      </c>
      <c r="J3711" s="563">
        <v>-585</v>
      </c>
      <c r="K3711" s="563">
        <f t="shared" si="171"/>
        <v>3806.3999999999996</v>
      </c>
      <c r="L3711" s="563">
        <f t="shared" si="172"/>
        <v>4187.04</v>
      </c>
      <c r="M3711" s="563">
        <f t="shared" si="173"/>
        <v>4830.54</v>
      </c>
      <c r="N3711" s="580"/>
      <c r="O3711" s="558"/>
      <c r="P3711" s="564"/>
    </row>
    <row r="3712" spans="4:16" x14ac:dyDescent="0.25">
      <c r="D3712" s="559" t="s">
        <v>867</v>
      </c>
      <c r="E3712" s="558" t="s">
        <v>1891</v>
      </c>
      <c r="F3712" s="559">
        <v>500191</v>
      </c>
      <c r="G3712" s="558" t="s">
        <v>914</v>
      </c>
      <c r="H3712" s="564">
        <v>40015</v>
      </c>
      <c r="I3712" s="563">
        <v>1989</v>
      </c>
      <c r="J3712" s="563">
        <v>-585</v>
      </c>
      <c r="K3712" s="563">
        <f t="shared" si="171"/>
        <v>1404</v>
      </c>
      <c r="L3712" s="563">
        <f t="shared" si="172"/>
        <v>1544.4</v>
      </c>
      <c r="M3712" s="563">
        <f t="shared" si="173"/>
        <v>2187.9</v>
      </c>
      <c r="N3712" s="580"/>
      <c r="O3712" s="558"/>
      <c r="P3712" s="564"/>
    </row>
    <row r="3713" spans="4:16" x14ac:dyDescent="0.25">
      <c r="D3713" s="559" t="s">
        <v>867</v>
      </c>
      <c r="E3713" s="558" t="s">
        <v>1654</v>
      </c>
      <c r="F3713" s="559">
        <v>500046</v>
      </c>
      <c r="G3713" s="558" t="s">
        <v>914</v>
      </c>
      <c r="H3713" s="564">
        <v>40015</v>
      </c>
      <c r="I3713" s="563">
        <v>1000.35</v>
      </c>
      <c r="J3713" s="563">
        <v>-585</v>
      </c>
      <c r="K3713" s="582">
        <f t="shared" si="171"/>
        <v>415.35</v>
      </c>
      <c r="L3713" s="563">
        <f t="shared" si="172"/>
        <v>456.88500000000005</v>
      </c>
      <c r="M3713" s="563">
        <f t="shared" si="173"/>
        <v>1100.3850000000002</v>
      </c>
      <c r="N3713" s="580"/>
    </row>
    <row r="3714" spans="4:16" x14ac:dyDescent="0.25">
      <c r="D3714" s="559" t="s">
        <v>867</v>
      </c>
      <c r="E3714" s="558" t="s">
        <v>1892</v>
      </c>
      <c r="F3714" s="559">
        <v>500192</v>
      </c>
      <c r="G3714" s="558" t="s">
        <v>914</v>
      </c>
      <c r="H3714" s="564">
        <v>40015</v>
      </c>
      <c r="I3714" s="563">
        <v>292.5</v>
      </c>
      <c r="J3714" s="563">
        <v>-292.5</v>
      </c>
      <c r="K3714" s="563">
        <f t="shared" si="171"/>
        <v>0</v>
      </c>
      <c r="L3714" s="563">
        <f t="shared" si="172"/>
        <v>0</v>
      </c>
      <c r="M3714" s="563">
        <f t="shared" si="173"/>
        <v>321.75</v>
      </c>
      <c r="N3714" s="580"/>
      <c r="O3714" s="558"/>
      <c r="P3714" s="564"/>
    </row>
    <row r="3715" spans="4:16" x14ac:dyDescent="0.25">
      <c r="D3715" s="559" t="s">
        <v>867</v>
      </c>
      <c r="E3715" s="558" t="s">
        <v>1655</v>
      </c>
      <c r="F3715" s="559">
        <v>500193</v>
      </c>
      <c r="G3715" s="558" t="s">
        <v>916</v>
      </c>
      <c r="H3715" s="564">
        <v>40015</v>
      </c>
      <c r="I3715" s="563">
        <v>1049.0999999999999</v>
      </c>
      <c r="J3715" s="563">
        <v>-585</v>
      </c>
      <c r="K3715" s="582">
        <f t="shared" si="171"/>
        <v>464.09999999999991</v>
      </c>
      <c r="L3715" s="563">
        <f t="shared" si="172"/>
        <v>510.50999999999993</v>
      </c>
      <c r="M3715" s="563">
        <f t="shared" si="173"/>
        <v>1154.01</v>
      </c>
      <c r="N3715" s="580"/>
    </row>
    <row r="3716" spans="4:16" x14ac:dyDescent="0.25">
      <c r="D3716" s="559" t="s">
        <v>867</v>
      </c>
      <c r="E3716" s="558" t="s">
        <v>1893</v>
      </c>
      <c r="F3716" s="559">
        <v>500058</v>
      </c>
      <c r="G3716" s="558" t="s">
        <v>916</v>
      </c>
      <c r="H3716" s="564">
        <v>40015</v>
      </c>
      <c r="I3716" s="563">
        <v>2375.1</v>
      </c>
      <c r="J3716" s="563">
        <v>-585</v>
      </c>
      <c r="K3716" s="563">
        <f t="shared" si="171"/>
        <v>1790.1</v>
      </c>
      <c r="L3716" s="563">
        <f t="shared" si="172"/>
        <v>1969.1100000000001</v>
      </c>
      <c r="M3716" s="563">
        <f t="shared" si="173"/>
        <v>2612.61</v>
      </c>
      <c r="N3716" s="580"/>
      <c r="O3716" s="558"/>
      <c r="P3716" s="564"/>
    </row>
    <row r="3717" spans="4:16" x14ac:dyDescent="0.25">
      <c r="D3717" s="559" t="s">
        <v>867</v>
      </c>
      <c r="E3717" s="558" t="s">
        <v>1894</v>
      </c>
      <c r="F3717" s="559">
        <v>500049</v>
      </c>
      <c r="G3717" s="558" t="s">
        <v>916</v>
      </c>
      <c r="H3717" s="564">
        <v>40015</v>
      </c>
      <c r="I3717" s="563">
        <v>1255.8</v>
      </c>
      <c r="J3717" s="563">
        <v>-585</v>
      </c>
      <c r="K3717" s="563">
        <f t="shared" si="171"/>
        <v>670.8</v>
      </c>
      <c r="L3717" s="563">
        <f t="shared" si="172"/>
        <v>737.88</v>
      </c>
      <c r="M3717" s="563">
        <f t="shared" si="173"/>
        <v>1381.38</v>
      </c>
      <c r="N3717" s="580"/>
      <c r="O3717" s="558"/>
      <c r="P3717" s="564"/>
    </row>
    <row r="3718" spans="4:16" x14ac:dyDescent="0.25">
      <c r="D3718" s="559" t="s">
        <v>867</v>
      </c>
      <c r="E3718" s="558" t="s">
        <v>1895</v>
      </c>
      <c r="F3718" s="559">
        <v>500035</v>
      </c>
      <c r="G3718" s="558" t="s">
        <v>916</v>
      </c>
      <c r="H3718" s="564">
        <v>40015</v>
      </c>
      <c r="I3718" s="563">
        <v>2418</v>
      </c>
      <c r="J3718" s="563">
        <v>-585</v>
      </c>
      <c r="K3718" s="563">
        <f t="shared" si="171"/>
        <v>1833</v>
      </c>
      <c r="L3718" s="563">
        <f t="shared" si="172"/>
        <v>2016.3000000000002</v>
      </c>
      <c r="M3718" s="563">
        <f t="shared" si="173"/>
        <v>2659.8</v>
      </c>
      <c r="N3718" s="580"/>
      <c r="O3718" s="558"/>
      <c r="P3718" s="564"/>
    </row>
    <row r="3719" spans="4:16" x14ac:dyDescent="0.25">
      <c r="D3719" s="559" t="s">
        <v>867</v>
      </c>
      <c r="E3719" s="558" t="s">
        <v>1896</v>
      </c>
      <c r="F3719" s="559">
        <v>500442</v>
      </c>
      <c r="G3719" s="558" t="s">
        <v>916</v>
      </c>
      <c r="H3719" s="564">
        <v>40015</v>
      </c>
      <c r="I3719" s="563">
        <v>2739.75</v>
      </c>
      <c r="J3719" s="563">
        <v>-585</v>
      </c>
      <c r="K3719" s="563">
        <f t="shared" si="171"/>
        <v>2154.75</v>
      </c>
      <c r="L3719" s="563">
        <f t="shared" si="172"/>
        <v>2370.2250000000004</v>
      </c>
      <c r="M3719" s="563">
        <f t="shared" si="173"/>
        <v>3013.7250000000004</v>
      </c>
      <c r="N3719" s="580"/>
      <c r="O3719" s="558"/>
      <c r="P3719" s="564"/>
    </row>
    <row r="3720" spans="4:16" x14ac:dyDescent="0.25">
      <c r="D3720" s="559" t="s">
        <v>867</v>
      </c>
      <c r="E3720" s="558" t="s">
        <v>1897</v>
      </c>
      <c r="F3720" s="559">
        <v>500041</v>
      </c>
      <c r="G3720" s="558" t="s">
        <v>918</v>
      </c>
      <c r="H3720" s="564">
        <v>40015</v>
      </c>
      <c r="I3720" s="563">
        <v>1000.35</v>
      </c>
      <c r="J3720" s="563">
        <v>-585</v>
      </c>
      <c r="K3720" s="563">
        <f t="shared" si="171"/>
        <v>415.35</v>
      </c>
      <c r="L3720" s="563">
        <f t="shared" si="172"/>
        <v>456.88500000000005</v>
      </c>
      <c r="M3720" s="563">
        <f t="shared" si="173"/>
        <v>1100.3850000000002</v>
      </c>
      <c r="N3720" s="580"/>
      <c r="O3720" s="558"/>
      <c r="P3720" s="564"/>
    </row>
    <row r="3721" spans="4:16" x14ac:dyDescent="0.25">
      <c r="D3721" s="559" t="s">
        <v>867</v>
      </c>
      <c r="E3721" s="558" t="s">
        <v>1898</v>
      </c>
      <c r="F3721" s="559">
        <v>502234</v>
      </c>
      <c r="G3721" s="558" t="s">
        <v>918</v>
      </c>
      <c r="H3721" s="564">
        <v>40015</v>
      </c>
      <c r="I3721" s="563">
        <v>154.05000000000001</v>
      </c>
      <c r="J3721" s="563">
        <v>-154.05000000000001</v>
      </c>
      <c r="K3721" s="563">
        <f t="shared" si="171"/>
        <v>0</v>
      </c>
      <c r="L3721" s="563">
        <f t="shared" si="172"/>
        <v>0</v>
      </c>
      <c r="M3721" s="563">
        <f t="shared" si="173"/>
        <v>169.45500000000001</v>
      </c>
      <c r="N3721" s="580"/>
      <c r="O3721" s="558"/>
      <c r="P3721" s="564"/>
    </row>
    <row r="3722" spans="4:16" x14ac:dyDescent="0.25">
      <c r="D3722" s="559" t="s">
        <v>867</v>
      </c>
      <c r="E3722" s="558" t="s">
        <v>1656</v>
      </c>
      <c r="F3722" s="559">
        <v>502063</v>
      </c>
      <c r="G3722" s="558" t="s">
        <v>918</v>
      </c>
      <c r="H3722" s="564">
        <v>40015</v>
      </c>
      <c r="I3722" s="563">
        <v>11.7</v>
      </c>
      <c r="J3722" s="563">
        <v>-11.7</v>
      </c>
      <c r="K3722" s="582">
        <f t="shared" si="171"/>
        <v>0</v>
      </c>
      <c r="L3722" s="563">
        <f t="shared" si="172"/>
        <v>0</v>
      </c>
      <c r="M3722" s="563">
        <f t="shared" si="173"/>
        <v>12.870000000000001</v>
      </c>
      <c r="N3722" s="580"/>
    </row>
    <row r="3723" spans="4:16" x14ac:dyDescent="0.25">
      <c r="D3723" s="559" t="s">
        <v>867</v>
      </c>
      <c r="E3723" s="558" t="s">
        <v>1657</v>
      </c>
      <c r="F3723" s="559">
        <v>502063</v>
      </c>
      <c r="G3723" s="558" t="s">
        <v>918</v>
      </c>
      <c r="H3723" s="564">
        <v>40015</v>
      </c>
      <c r="I3723" s="563">
        <v>2.35</v>
      </c>
      <c r="J3723" s="563">
        <v>-2.35</v>
      </c>
      <c r="K3723" s="582">
        <f t="shared" si="171"/>
        <v>0</v>
      </c>
      <c r="L3723" s="563">
        <f t="shared" si="172"/>
        <v>0</v>
      </c>
      <c r="M3723" s="563">
        <f t="shared" si="173"/>
        <v>2.5850000000000004</v>
      </c>
      <c r="N3723" s="580"/>
    </row>
    <row r="3724" spans="4:16" x14ac:dyDescent="0.25">
      <c r="D3724" s="559" t="s">
        <v>867</v>
      </c>
      <c r="E3724" s="558" t="s">
        <v>1658</v>
      </c>
      <c r="F3724" s="559">
        <v>500014</v>
      </c>
      <c r="G3724" s="558" t="s">
        <v>920</v>
      </c>
      <c r="H3724" s="564">
        <v>40015</v>
      </c>
      <c r="I3724" s="563">
        <v>2154.75</v>
      </c>
      <c r="J3724" s="563">
        <v>-585</v>
      </c>
      <c r="K3724" s="582">
        <f t="shared" si="171"/>
        <v>1569.75</v>
      </c>
      <c r="L3724" s="563">
        <f t="shared" si="172"/>
        <v>1726.7250000000001</v>
      </c>
      <c r="M3724" s="563">
        <f t="shared" si="173"/>
        <v>2370.2250000000004</v>
      </c>
      <c r="N3724" s="580"/>
    </row>
    <row r="3725" spans="4:16" x14ac:dyDescent="0.25">
      <c r="D3725" s="559" t="s">
        <v>867</v>
      </c>
      <c r="E3725" s="558" t="s">
        <v>1659</v>
      </c>
      <c r="F3725" s="559">
        <v>502020</v>
      </c>
      <c r="G3725" s="558" t="s">
        <v>920</v>
      </c>
      <c r="H3725" s="564">
        <v>40015</v>
      </c>
      <c r="I3725" s="563">
        <v>11.7</v>
      </c>
      <c r="J3725" s="563">
        <v>-11.7</v>
      </c>
      <c r="K3725" s="582">
        <f t="shared" si="171"/>
        <v>0</v>
      </c>
      <c r="L3725" s="563">
        <f t="shared" si="172"/>
        <v>0</v>
      </c>
      <c r="M3725" s="563">
        <f t="shared" si="173"/>
        <v>12.870000000000001</v>
      </c>
      <c r="N3725" s="580"/>
    </row>
    <row r="3726" spans="4:16" x14ac:dyDescent="0.25">
      <c r="D3726" s="559" t="s">
        <v>867</v>
      </c>
      <c r="E3726" s="558" t="s">
        <v>1899</v>
      </c>
      <c r="F3726" s="559">
        <v>500030</v>
      </c>
      <c r="G3726" s="558" t="s">
        <v>920</v>
      </c>
      <c r="H3726" s="564">
        <v>40015</v>
      </c>
      <c r="I3726" s="563">
        <v>1780.35</v>
      </c>
      <c r="J3726" s="563">
        <v>-585</v>
      </c>
      <c r="K3726" s="563">
        <f t="shared" si="171"/>
        <v>1195.3499999999999</v>
      </c>
      <c r="L3726" s="563">
        <f t="shared" si="172"/>
        <v>1314.885</v>
      </c>
      <c r="M3726" s="563">
        <f t="shared" si="173"/>
        <v>1958.385</v>
      </c>
      <c r="N3726" s="580"/>
      <c r="O3726" s="558"/>
      <c r="P3726" s="564"/>
    </row>
    <row r="3727" spans="4:16" x14ac:dyDescent="0.25">
      <c r="D3727" s="559" t="s">
        <v>867</v>
      </c>
      <c r="E3727" s="558" t="s">
        <v>1900</v>
      </c>
      <c r="F3727" s="559">
        <v>500030</v>
      </c>
      <c r="G3727" s="558" t="s">
        <v>1901</v>
      </c>
      <c r="H3727" s="564">
        <v>40015</v>
      </c>
      <c r="I3727" s="563">
        <v>366.6</v>
      </c>
      <c r="J3727" s="563">
        <v>-366.6</v>
      </c>
      <c r="K3727" s="563">
        <f t="shared" si="171"/>
        <v>0</v>
      </c>
      <c r="L3727" s="563">
        <f t="shared" si="172"/>
        <v>0</v>
      </c>
      <c r="M3727" s="563">
        <f t="shared" si="173"/>
        <v>403.26000000000005</v>
      </c>
      <c r="N3727" s="580"/>
      <c r="O3727" s="558"/>
      <c r="P3727" s="564"/>
    </row>
    <row r="3728" spans="4:16" x14ac:dyDescent="0.25">
      <c r="D3728" s="559" t="s">
        <v>867</v>
      </c>
      <c r="E3728" s="558" t="s">
        <v>1660</v>
      </c>
      <c r="F3728" s="559">
        <v>502246</v>
      </c>
      <c r="G3728" s="558" t="s">
        <v>1901</v>
      </c>
      <c r="H3728" s="564">
        <v>40015</v>
      </c>
      <c r="I3728" s="563">
        <v>2084.5500000000002</v>
      </c>
      <c r="J3728" s="563">
        <v>-585</v>
      </c>
      <c r="K3728" s="582">
        <f t="shared" si="171"/>
        <v>1499.5500000000002</v>
      </c>
      <c r="L3728" s="563">
        <f t="shared" si="172"/>
        <v>1649.5050000000003</v>
      </c>
      <c r="M3728" s="563">
        <f t="shared" si="173"/>
        <v>2293.0050000000006</v>
      </c>
      <c r="N3728" s="580"/>
    </row>
    <row r="3729" spans="4:16" x14ac:dyDescent="0.25">
      <c r="D3729" s="559" t="s">
        <v>867</v>
      </c>
      <c r="E3729" s="558" t="s">
        <v>1902</v>
      </c>
      <c r="F3729" s="559">
        <v>502258</v>
      </c>
      <c r="G3729" s="558" t="s">
        <v>1901</v>
      </c>
      <c r="H3729" s="564">
        <v>40015</v>
      </c>
      <c r="I3729" s="563">
        <v>819</v>
      </c>
      <c r="J3729" s="563">
        <v>-585</v>
      </c>
      <c r="K3729" s="563">
        <f t="shared" si="171"/>
        <v>234</v>
      </c>
      <c r="L3729" s="563">
        <f t="shared" si="172"/>
        <v>257.40000000000003</v>
      </c>
      <c r="M3729" s="563">
        <f t="shared" si="173"/>
        <v>900.90000000000009</v>
      </c>
      <c r="N3729" s="580"/>
      <c r="O3729" s="558"/>
      <c r="P3729" s="564"/>
    </row>
    <row r="3730" spans="4:16" x14ac:dyDescent="0.25">
      <c r="D3730" s="559" t="s">
        <v>867</v>
      </c>
      <c r="E3730" s="558" t="s">
        <v>1903</v>
      </c>
      <c r="F3730" s="559">
        <v>502258</v>
      </c>
      <c r="G3730" s="558" t="s">
        <v>1901</v>
      </c>
      <c r="H3730" s="564">
        <v>40015</v>
      </c>
      <c r="I3730" s="563">
        <v>25.35</v>
      </c>
      <c r="J3730" s="563">
        <v>-25.35</v>
      </c>
      <c r="K3730" s="563">
        <f t="shared" si="171"/>
        <v>0</v>
      </c>
      <c r="L3730" s="563">
        <f t="shared" si="172"/>
        <v>0</v>
      </c>
      <c r="M3730" s="563">
        <f t="shared" si="173"/>
        <v>27.885000000000005</v>
      </c>
      <c r="N3730" s="580"/>
      <c r="O3730" s="558"/>
      <c r="P3730" s="564"/>
    </row>
    <row r="3731" spans="4:16" x14ac:dyDescent="0.25">
      <c r="D3731" s="559" t="s">
        <v>867</v>
      </c>
      <c r="E3731" s="558" t="s">
        <v>1904</v>
      </c>
      <c r="F3731" s="559">
        <v>500056</v>
      </c>
      <c r="G3731" s="558" t="s">
        <v>1901</v>
      </c>
      <c r="H3731" s="564">
        <v>40015</v>
      </c>
      <c r="I3731" s="563">
        <v>4.7</v>
      </c>
      <c r="J3731" s="563">
        <v>-4.7</v>
      </c>
      <c r="K3731" s="563">
        <f t="shared" si="171"/>
        <v>0</v>
      </c>
      <c r="L3731" s="563">
        <f t="shared" si="172"/>
        <v>0</v>
      </c>
      <c r="M3731" s="563">
        <f t="shared" si="173"/>
        <v>5.1700000000000008</v>
      </c>
      <c r="N3731" s="580"/>
      <c r="O3731" s="558"/>
      <c r="P3731" s="564"/>
    </row>
    <row r="3732" spans="4:16" x14ac:dyDescent="0.25">
      <c r="D3732" s="559" t="s">
        <v>867</v>
      </c>
      <c r="E3732" s="558" t="s">
        <v>1905</v>
      </c>
      <c r="F3732" s="559">
        <v>500056</v>
      </c>
      <c r="G3732" s="558" t="s">
        <v>922</v>
      </c>
      <c r="H3732" s="564">
        <v>40015</v>
      </c>
      <c r="I3732" s="563">
        <v>15.6</v>
      </c>
      <c r="J3732" s="563">
        <v>-15.6</v>
      </c>
      <c r="K3732" s="563">
        <f t="shared" si="171"/>
        <v>0</v>
      </c>
      <c r="L3732" s="563">
        <f t="shared" si="172"/>
        <v>0</v>
      </c>
      <c r="M3732" s="563">
        <f t="shared" si="173"/>
        <v>17.16</v>
      </c>
      <c r="N3732" s="580"/>
      <c r="O3732" s="558"/>
      <c r="P3732" s="564"/>
    </row>
    <row r="3733" spans="4:16" x14ac:dyDescent="0.25">
      <c r="D3733" s="559" t="s">
        <v>867</v>
      </c>
      <c r="E3733" s="558" t="s">
        <v>1661</v>
      </c>
      <c r="F3733" s="559">
        <v>500061</v>
      </c>
      <c r="G3733" s="558" t="s">
        <v>922</v>
      </c>
      <c r="H3733" s="564">
        <v>40015</v>
      </c>
      <c r="I3733" s="563">
        <v>173.55</v>
      </c>
      <c r="J3733" s="563">
        <v>-173.55</v>
      </c>
      <c r="K3733" s="582">
        <f t="shared" si="171"/>
        <v>0</v>
      </c>
      <c r="L3733" s="563">
        <f t="shared" si="172"/>
        <v>0</v>
      </c>
      <c r="M3733" s="563">
        <f t="shared" si="173"/>
        <v>190.90500000000003</v>
      </c>
      <c r="N3733" s="580"/>
    </row>
    <row r="3734" spans="4:16" x14ac:dyDescent="0.25">
      <c r="D3734" s="559" t="s">
        <v>867</v>
      </c>
      <c r="E3734" s="558" t="s">
        <v>1662</v>
      </c>
      <c r="F3734" s="559">
        <v>502304</v>
      </c>
      <c r="G3734" s="558" t="s">
        <v>922</v>
      </c>
      <c r="H3734" s="564">
        <v>40015</v>
      </c>
      <c r="I3734" s="563">
        <v>195</v>
      </c>
      <c r="J3734" s="563">
        <v>-195</v>
      </c>
      <c r="K3734" s="582">
        <f t="shared" si="171"/>
        <v>0</v>
      </c>
      <c r="L3734" s="563">
        <f t="shared" si="172"/>
        <v>0</v>
      </c>
      <c r="M3734" s="563">
        <f t="shared" si="173"/>
        <v>214.50000000000003</v>
      </c>
      <c r="N3734" s="580"/>
    </row>
    <row r="3735" spans="4:16" x14ac:dyDescent="0.25">
      <c r="D3735" s="559" t="s">
        <v>867</v>
      </c>
      <c r="E3735" s="558" t="s">
        <v>1663</v>
      </c>
      <c r="F3735" s="559">
        <v>502149</v>
      </c>
      <c r="G3735" s="558" t="s">
        <v>922</v>
      </c>
      <c r="H3735" s="564">
        <v>40015</v>
      </c>
      <c r="I3735" s="563">
        <v>17.55</v>
      </c>
      <c r="J3735" s="563">
        <v>-17.55</v>
      </c>
      <c r="K3735" s="582">
        <f t="shared" si="171"/>
        <v>0</v>
      </c>
      <c r="L3735" s="563">
        <f t="shared" si="172"/>
        <v>0</v>
      </c>
      <c r="M3735" s="563">
        <f t="shared" si="173"/>
        <v>19.305000000000003</v>
      </c>
      <c r="N3735" s="580"/>
    </row>
    <row r="3736" spans="4:16" x14ac:dyDescent="0.25">
      <c r="D3736" s="559" t="s">
        <v>867</v>
      </c>
      <c r="E3736" s="558" t="s">
        <v>1664</v>
      </c>
      <c r="F3736" s="559">
        <v>502148</v>
      </c>
      <c r="G3736" s="558" t="s">
        <v>1665</v>
      </c>
      <c r="H3736" s="564">
        <v>40015</v>
      </c>
      <c r="I3736" s="563">
        <v>1538.55</v>
      </c>
      <c r="J3736" s="563">
        <v>-585</v>
      </c>
      <c r="K3736" s="582">
        <f t="shared" si="171"/>
        <v>953.55</v>
      </c>
      <c r="L3736" s="563">
        <f t="shared" si="172"/>
        <v>1048.905</v>
      </c>
      <c r="M3736" s="563">
        <f t="shared" si="173"/>
        <v>1692.4050000000002</v>
      </c>
      <c r="N3736" s="580"/>
    </row>
    <row r="3737" spans="4:16" x14ac:dyDescent="0.25">
      <c r="D3737" s="559" t="s">
        <v>867</v>
      </c>
      <c r="E3737" s="558" t="s">
        <v>1666</v>
      </c>
      <c r="F3737" s="559">
        <v>512189</v>
      </c>
      <c r="G3737" s="558" t="s">
        <v>1665</v>
      </c>
      <c r="H3737" s="564">
        <v>40015</v>
      </c>
      <c r="I3737" s="563">
        <v>5.85</v>
      </c>
      <c r="J3737" s="563">
        <v>-5.85</v>
      </c>
      <c r="K3737" s="582">
        <f t="shared" si="171"/>
        <v>0</v>
      </c>
      <c r="L3737" s="563">
        <f t="shared" si="172"/>
        <v>0</v>
      </c>
      <c r="M3737" s="563">
        <f t="shared" si="173"/>
        <v>6.4350000000000005</v>
      </c>
      <c r="N3737" s="580"/>
    </row>
    <row r="3738" spans="4:16" x14ac:dyDescent="0.25">
      <c r="D3738" s="559" t="s">
        <v>867</v>
      </c>
      <c r="E3738" s="558" t="s">
        <v>1667</v>
      </c>
      <c r="F3738" s="559">
        <v>502212</v>
      </c>
      <c r="G3738" s="558" t="s">
        <v>1665</v>
      </c>
      <c r="H3738" s="564">
        <v>40015</v>
      </c>
      <c r="I3738" s="563">
        <v>1072.5</v>
      </c>
      <c r="J3738" s="563">
        <v>-585</v>
      </c>
      <c r="K3738" s="582">
        <f t="shared" si="171"/>
        <v>487.5</v>
      </c>
      <c r="L3738" s="563">
        <f t="shared" si="172"/>
        <v>536.25</v>
      </c>
      <c r="M3738" s="563">
        <f t="shared" si="173"/>
        <v>1179.75</v>
      </c>
      <c r="N3738" s="580"/>
    </row>
    <row r="3739" spans="4:16" x14ac:dyDescent="0.25">
      <c r="D3739" s="559" t="s">
        <v>867</v>
      </c>
      <c r="E3739" s="558" t="s">
        <v>1668</v>
      </c>
      <c r="F3739" s="559">
        <v>502212</v>
      </c>
      <c r="G3739" s="558" t="s">
        <v>1665</v>
      </c>
      <c r="H3739" s="564">
        <v>40015</v>
      </c>
      <c r="I3739" s="563">
        <v>17.55</v>
      </c>
      <c r="J3739" s="563">
        <v>-17.55</v>
      </c>
      <c r="K3739" s="582">
        <f t="shared" si="171"/>
        <v>0</v>
      </c>
      <c r="L3739" s="563">
        <f t="shared" si="172"/>
        <v>0</v>
      </c>
      <c r="M3739" s="563">
        <f t="shared" si="173"/>
        <v>19.305000000000003</v>
      </c>
      <c r="N3739" s="580"/>
    </row>
    <row r="3740" spans="4:16" x14ac:dyDescent="0.25">
      <c r="D3740" s="559" t="s">
        <v>867</v>
      </c>
      <c r="E3740" s="558" t="s">
        <v>1669</v>
      </c>
      <c r="F3740" s="559">
        <v>500066</v>
      </c>
      <c r="G3740" s="558" t="s">
        <v>1665</v>
      </c>
      <c r="H3740" s="564">
        <v>40015</v>
      </c>
      <c r="I3740" s="563">
        <v>914.55</v>
      </c>
      <c r="J3740" s="563">
        <v>-585</v>
      </c>
      <c r="K3740" s="582">
        <f t="shared" si="171"/>
        <v>329.54999999999995</v>
      </c>
      <c r="L3740" s="563">
        <f t="shared" si="172"/>
        <v>362.505</v>
      </c>
      <c r="M3740" s="563">
        <f t="shared" si="173"/>
        <v>1006.005</v>
      </c>
      <c r="N3740" s="580"/>
    </row>
    <row r="3741" spans="4:16" x14ac:dyDescent="0.25">
      <c r="D3741" s="559" t="s">
        <v>867</v>
      </c>
      <c r="E3741" s="558" t="s">
        <v>1670</v>
      </c>
      <c r="F3741" s="559">
        <v>502212</v>
      </c>
      <c r="G3741" s="558" t="s">
        <v>1671</v>
      </c>
      <c r="H3741" s="564">
        <v>40015</v>
      </c>
      <c r="I3741" s="563">
        <v>17.55</v>
      </c>
      <c r="J3741" s="563">
        <v>-17.55</v>
      </c>
      <c r="K3741" s="582">
        <f t="shared" si="171"/>
        <v>0</v>
      </c>
      <c r="L3741" s="563">
        <f t="shared" si="172"/>
        <v>0</v>
      </c>
      <c r="M3741" s="563">
        <f t="shared" si="173"/>
        <v>19.305000000000003</v>
      </c>
      <c r="N3741" s="580"/>
    </row>
    <row r="3742" spans="4:16" x14ac:dyDescent="0.25">
      <c r="D3742" s="559" t="s">
        <v>867</v>
      </c>
      <c r="E3742" s="558" t="s">
        <v>1672</v>
      </c>
      <c r="F3742" s="559">
        <v>500416</v>
      </c>
      <c r="G3742" s="558" t="s">
        <v>1671</v>
      </c>
      <c r="H3742" s="564">
        <v>40015</v>
      </c>
      <c r="I3742" s="563">
        <v>1156.3499999999999</v>
      </c>
      <c r="J3742" s="563">
        <v>-585</v>
      </c>
      <c r="K3742" s="582">
        <f t="shared" si="171"/>
        <v>571.34999999999991</v>
      </c>
      <c r="L3742" s="563">
        <f t="shared" si="172"/>
        <v>628.4849999999999</v>
      </c>
      <c r="M3742" s="563">
        <f t="shared" si="173"/>
        <v>1271.9849999999999</v>
      </c>
      <c r="N3742" s="580"/>
    </row>
    <row r="3743" spans="4:16" x14ac:dyDescent="0.25">
      <c r="D3743" s="559" t="s">
        <v>867</v>
      </c>
      <c r="E3743" s="558" t="s">
        <v>1673</v>
      </c>
      <c r="F3743" s="559">
        <v>500416</v>
      </c>
      <c r="G3743" s="558" t="s">
        <v>1671</v>
      </c>
      <c r="H3743" s="564">
        <v>40015</v>
      </c>
      <c r="I3743" s="563">
        <v>1156.3499999999999</v>
      </c>
      <c r="J3743" s="563">
        <v>-585</v>
      </c>
      <c r="K3743" s="582">
        <f t="shared" si="171"/>
        <v>571.34999999999991</v>
      </c>
      <c r="L3743" s="563">
        <f t="shared" si="172"/>
        <v>628.4849999999999</v>
      </c>
      <c r="M3743" s="563">
        <f t="shared" si="173"/>
        <v>1271.9849999999999</v>
      </c>
      <c r="N3743" s="580"/>
    </row>
    <row r="3744" spans="4:16" x14ac:dyDescent="0.25">
      <c r="D3744" s="559" t="s">
        <v>867</v>
      </c>
      <c r="E3744" s="558" t="s">
        <v>1674</v>
      </c>
      <c r="F3744" s="559">
        <v>500079</v>
      </c>
      <c r="G3744" s="558" t="s">
        <v>1671</v>
      </c>
      <c r="H3744" s="564">
        <v>40015</v>
      </c>
      <c r="I3744" s="563">
        <v>56.55</v>
      </c>
      <c r="J3744" s="563">
        <v>-56.55</v>
      </c>
      <c r="K3744" s="582">
        <f t="shared" si="171"/>
        <v>0</v>
      </c>
      <c r="L3744" s="563">
        <f t="shared" si="172"/>
        <v>0</v>
      </c>
      <c r="M3744" s="563">
        <f t="shared" si="173"/>
        <v>62.205000000000005</v>
      </c>
      <c r="N3744" s="580"/>
    </row>
    <row r="3745" spans="4:16" x14ac:dyDescent="0.25">
      <c r="D3745" s="559" t="s">
        <v>867</v>
      </c>
      <c r="E3745" s="558" t="s">
        <v>1675</v>
      </c>
      <c r="F3745" s="559">
        <v>500505</v>
      </c>
      <c r="G3745" s="558" t="s">
        <v>1671</v>
      </c>
      <c r="H3745" s="564">
        <v>40015</v>
      </c>
      <c r="I3745" s="563">
        <v>6630</v>
      </c>
      <c r="J3745" s="563">
        <v>-585</v>
      </c>
      <c r="K3745" s="582">
        <f t="shared" si="171"/>
        <v>6045</v>
      </c>
      <c r="L3745" s="563">
        <f t="shared" si="172"/>
        <v>6649.5000000000009</v>
      </c>
      <c r="M3745" s="563">
        <f t="shared" si="173"/>
        <v>7293.0000000000009</v>
      </c>
      <c r="N3745" s="580"/>
    </row>
    <row r="3746" spans="4:16" x14ac:dyDescent="0.25">
      <c r="D3746" s="559" t="s">
        <v>867</v>
      </c>
      <c r="E3746" s="558" t="s">
        <v>1676</v>
      </c>
      <c r="F3746" s="559">
        <v>500082</v>
      </c>
      <c r="G3746" s="558" t="s">
        <v>1677</v>
      </c>
      <c r="H3746" s="564">
        <v>40015</v>
      </c>
      <c r="I3746" s="563">
        <v>3900</v>
      </c>
      <c r="J3746" s="563">
        <v>-585</v>
      </c>
      <c r="K3746" s="582">
        <f t="shared" si="171"/>
        <v>3315</v>
      </c>
      <c r="L3746" s="563">
        <f t="shared" si="172"/>
        <v>3646.5000000000005</v>
      </c>
      <c r="M3746" s="563">
        <f t="shared" si="173"/>
        <v>4290</v>
      </c>
      <c r="N3746" s="580"/>
    </row>
    <row r="3747" spans="4:16" x14ac:dyDescent="0.25">
      <c r="D3747" s="559" t="s">
        <v>867</v>
      </c>
      <c r="E3747" s="558" t="s">
        <v>1678</v>
      </c>
      <c r="F3747" s="559">
        <v>500082</v>
      </c>
      <c r="G3747" s="558" t="s">
        <v>1677</v>
      </c>
      <c r="H3747" s="564">
        <v>40015</v>
      </c>
      <c r="I3747" s="563">
        <v>24.2</v>
      </c>
      <c r="J3747" s="563">
        <v>-24.2</v>
      </c>
      <c r="K3747" s="582">
        <f t="shared" si="171"/>
        <v>0</v>
      </c>
      <c r="L3747" s="563">
        <f t="shared" si="172"/>
        <v>0</v>
      </c>
      <c r="M3747" s="563">
        <f t="shared" si="173"/>
        <v>26.62</v>
      </c>
      <c r="N3747" s="580"/>
    </row>
    <row r="3748" spans="4:16" x14ac:dyDescent="0.25">
      <c r="D3748" s="559" t="s">
        <v>867</v>
      </c>
      <c r="E3748" s="558" t="s">
        <v>1679</v>
      </c>
      <c r="F3748" s="559">
        <v>502239</v>
      </c>
      <c r="G3748" s="558" t="s">
        <v>1677</v>
      </c>
      <c r="H3748" s="564">
        <v>40015</v>
      </c>
      <c r="I3748" s="563">
        <v>694.2</v>
      </c>
      <c r="J3748" s="563">
        <v>-585</v>
      </c>
      <c r="K3748" s="582">
        <f t="shared" si="171"/>
        <v>109.20000000000005</v>
      </c>
      <c r="L3748" s="563">
        <f t="shared" si="172"/>
        <v>120.12000000000006</v>
      </c>
      <c r="M3748" s="563">
        <f t="shared" si="173"/>
        <v>763.62000000000012</v>
      </c>
      <c r="N3748" s="580"/>
    </row>
    <row r="3749" spans="4:16" x14ac:dyDescent="0.25">
      <c r="D3749" s="559" t="s">
        <v>867</v>
      </c>
      <c r="E3749" s="558" t="s">
        <v>1680</v>
      </c>
      <c r="F3749" s="559">
        <v>502239</v>
      </c>
      <c r="G3749" s="558" t="s">
        <v>1677</v>
      </c>
      <c r="H3749" s="564">
        <v>40015</v>
      </c>
      <c r="I3749" s="563">
        <v>31.2</v>
      </c>
      <c r="J3749" s="563">
        <v>-31.2</v>
      </c>
      <c r="K3749" s="582">
        <f t="shared" si="171"/>
        <v>0</v>
      </c>
      <c r="L3749" s="563">
        <f t="shared" si="172"/>
        <v>0</v>
      </c>
      <c r="M3749" s="563">
        <f t="shared" si="173"/>
        <v>34.32</v>
      </c>
      <c r="N3749" s="580"/>
    </row>
    <row r="3750" spans="4:16" x14ac:dyDescent="0.25">
      <c r="D3750" s="559" t="s">
        <v>867</v>
      </c>
      <c r="E3750" s="558" t="s">
        <v>1681</v>
      </c>
      <c r="F3750" s="559">
        <v>502275</v>
      </c>
      <c r="G3750" s="558" t="s">
        <v>1677</v>
      </c>
      <c r="H3750" s="564">
        <v>40015</v>
      </c>
      <c r="I3750" s="563">
        <v>93.6</v>
      </c>
      <c r="J3750" s="563">
        <v>-93.6</v>
      </c>
      <c r="K3750" s="582">
        <f t="shared" si="171"/>
        <v>0</v>
      </c>
      <c r="L3750" s="563">
        <f t="shared" si="172"/>
        <v>0</v>
      </c>
      <c r="M3750" s="563">
        <f t="shared" si="173"/>
        <v>102.96000000000001</v>
      </c>
      <c r="N3750" s="580"/>
    </row>
    <row r="3751" spans="4:16" x14ac:dyDescent="0.25">
      <c r="D3751" s="559" t="s">
        <v>867</v>
      </c>
      <c r="E3751" s="558" t="s">
        <v>1682</v>
      </c>
      <c r="F3751" s="559">
        <v>502251</v>
      </c>
      <c r="G3751" s="558" t="s">
        <v>1907</v>
      </c>
      <c r="H3751" s="564">
        <v>40015</v>
      </c>
      <c r="I3751" s="563">
        <v>778.05</v>
      </c>
      <c r="J3751" s="563">
        <v>-585</v>
      </c>
      <c r="K3751" s="582">
        <f t="shared" si="171"/>
        <v>193.04999999999995</v>
      </c>
      <c r="L3751" s="563">
        <f t="shared" si="172"/>
        <v>212.35499999999996</v>
      </c>
      <c r="M3751" s="563">
        <f t="shared" si="173"/>
        <v>855.85500000000002</v>
      </c>
      <c r="N3751" s="580"/>
    </row>
    <row r="3752" spans="4:16" x14ac:dyDescent="0.25">
      <c r="D3752" s="559" t="s">
        <v>867</v>
      </c>
      <c r="E3752" s="558" t="s">
        <v>1906</v>
      </c>
      <c r="F3752" s="559">
        <v>500002</v>
      </c>
      <c r="G3752" s="558" t="s">
        <v>1907</v>
      </c>
      <c r="H3752" s="564">
        <v>40015</v>
      </c>
      <c r="I3752" s="563">
        <v>737.1</v>
      </c>
      <c r="J3752" s="563">
        <v>-585</v>
      </c>
      <c r="K3752" s="563">
        <f t="shared" si="171"/>
        <v>152.10000000000002</v>
      </c>
      <c r="L3752" s="563">
        <f t="shared" si="172"/>
        <v>167.31000000000003</v>
      </c>
      <c r="M3752" s="563">
        <f t="shared" si="173"/>
        <v>810.81000000000006</v>
      </c>
      <c r="N3752" s="580"/>
      <c r="O3752" s="558"/>
      <c r="P3752" s="564"/>
    </row>
    <row r="3753" spans="4:16" x14ac:dyDescent="0.25">
      <c r="D3753" s="559" t="s">
        <v>867</v>
      </c>
      <c r="E3753" s="558" t="s">
        <v>1908</v>
      </c>
      <c r="F3753" s="559">
        <v>500183</v>
      </c>
      <c r="G3753" s="558" t="s">
        <v>1907</v>
      </c>
      <c r="H3753" s="564">
        <v>40015</v>
      </c>
      <c r="I3753" s="563">
        <v>698.1</v>
      </c>
      <c r="J3753" s="563">
        <v>-585</v>
      </c>
      <c r="K3753" s="563">
        <f t="shared" ref="K3753:K3816" si="174">+I3753+J3753</f>
        <v>113.10000000000002</v>
      </c>
      <c r="L3753" s="563">
        <f t="shared" ref="L3753:L3816" si="175">+K3753*1.1</f>
        <v>124.41000000000004</v>
      </c>
      <c r="M3753" s="563">
        <f t="shared" ref="M3753:M3816" si="176">+I3753*1.1</f>
        <v>767.91000000000008</v>
      </c>
      <c r="N3753" s="580"/>
      <c r="O3753" s="558"/>
      <c r="P3753" s="564"/>
    </row>
    <row r="3754" spans="4:16" x14ac:dyDescent="0.25">
      <c r="D3754" s="559" t="s">
        <v>867</v>
      </c>
      <c r="E3754" s="558" t="s">
        <v>1683</v>
      </c>
      <c r="F3754" s="559">
        <v>500097</v>
      </c>
      <c r="G3754" s="558" t="s">
        <v>1907</v>
      </c>
      <c r="H3754" s="564">
        <v>40015</v>
      </c>
      <c r="I3754" s="563">
        <v>85.8</v>
      </c>
      <c r="J3754" s="563">
        <v>-85.8</v>
      </c>
      <c r="K3754" s="582">
        <f t="shared" si="174"/>
        <v>0</v>
      </c>
      <c r="L3754" s="563">
        <f t="shared" si="175"/>
        <v>0</v>
      </c>
      <c r="M3754" s="563">
        <f t="shared" si="176"/>
        <v>94.38000000000001</v>
      </c>
      <c r="N3754" s="580"/>
    </row>
    <row r="3755" spans="4:16" x14ac:dyDescent="0.25">
      <c r="D3755" s="559" t="s">
        <v>867</v>
      </c>
      <c r="E3755" s="558" t="s">
        <v>1684</v>
      </c>
      <c r="F3755" s="559">
        <v>500097</v>
      </c>
      <c r="G3755" s="558" t="s">
        <v>1907</v>
      </c>
      <c r="H3755" s="564">
        <v>40015</v>
      </c>
      <c r="I3755" s="563">
        <v>2382.9</v>
      </c>
      <c r="J3755" s="563">
        <v>-585</v>
      </c>
      <c r="K3755" s="582">
        <f t="shared" si="174"/>
        <v>1797.9</v>
      </c>
      <c r="L3755" s="563">
        <f t="shared" si="175"/>
        <v>1977.6900000000003</v>
      </c>
      <c r="M3755" s="563">
        <f t="shared" si="176"/>
        <v>2621.1900000000005</v>
      </c>
      <c r="N3755" s="580"/>
    </row>
    <row r="3756" spans="4:16" x14ac:dyDescent="0.25">
      <c r="D3756" s="559" t="s">
        <v>867</v>
      </c>
      <c r="E3756" s="558" t="s">
        <v>1685</v>
      </c>
      <c r="F3756" s="559">
        <v>500100</v>
      </c>
      <c r="G3756" s="558" t="s">
        <v>1910</v>
      </c>
      <c r="H3756" s="564">
        <v>40015</v>
      </c>
      <c r="I3756" s="563">
        <v>737.1</v>
      </c>
      <c r="J3756" s="563">
        <v>-585</v>
      </c>
      <c r="K3756" s="582">
        <f t="shared" si="174"/>
        <v>152.10000000000002</v>
      </c>
      <c r="L3756" s="563">
        <f t="shared" si="175"/>
        <v>167.31000000000003</v>
      </c>
      <c r="M3756" s="563">
        <f t="shared" si="176"/>
        <v>810.81000000000006</v>
      </c>
      <c r="N3756" s="580"/>
    </row>
    <row r="3757" spans="4:16" x14ac:dyDescent="0.25">
      <c r="D3757" s="559" t="s">
        <v>867</v>
      </c>
      <c r="E3757" s="558" t="s">
        <v>1909</v>
      </c>
      <c r="F3757" s="559">
        <v>502248</v>
      </c>
      <c r="G3757" s="558" t="s">
        <v>1910</v>
      </c>
      <c r="H3757" s="564">
        <v>40015</v>
      </c>
      <c r="I3757" s="563">
        <v>737.1</v>
      </c>
      <c r="J3757" s="563">
        <v>-585</v>
      </c>
      <c r="K3757" s="563">
        <f t="shared" si="174"/>
        <v>152.10000000000002</v>
      </c>
      <c r="L3757" s="563">
        <f t="shared" si="175"/>
        <v>167.31000000000003</v>
      </c>
      <c r="M3757" s="563">
        <f t="shared" si="176"/>
        <v>810.81000000000006</v>
      </c>
      <c r="N3757" s="580"/>
      <c r="O3757" s="558"/>
      <c r="P3757" s="564"/>
    </row>
    <row r="3758" spans="4:16" x14ac:dyDescent="0.25">
      <c r="D3758" s="559" t="s">
        <v>867</v>
      </c>
      <c r="E3758" s="558" t="s">
        <v>1686</v>
      </c>
      <c r="F3758" s="559">
        <v>502210</v>
      </c>
      <c r="G3758" s="558" t="s">
        <v>1910</v>
      </c>
      <c r="H3758" s="564">
        <v>40015</v>
      </c>
      <c r="I3758" s="563">
        <v>581.1</v>
      </c>
      <c r="J3758" s="563">
        <v>-581.1</v>
      </c>
      <c r="K3758" s="582">
        <f t="shared" si="174"/>
        <v>0</v>
      </c>
      <c r="L3758" s="563">
        <f t="shared" si="175"/>
        <v>0</v>
      </c>
      <c r="M3758" s="563">
        <f t="shared" si="176"/>
        <v>639.21</v>
      </c>
      <c r="N3758" s="580"/>
    </row>
    <row r="3759" spans="4:16" x14ac:dyDescent="0.25">
      <c r="D3759" s="559" t="s">
        <v>867</v>
      </c>
      <c r="E3759" s="558" t="s">
        <v>1911</v>
      </c>
      <c r="F3759" s="559">
        <v>500103</v>
      </c>
      <c r="G3759" s="558" t="s">
        <v>1910</v>
      </c>
      <c r="H3759" s="564">
        <v>40015</v>
      </c>
      <c r="I3759" s="563">
        <v>1478.1</v>
      </c>
      <c r="J3759" s="563">
        <v>-585</v>
      </c>
      <c r="K3759" s="563">
        <f t="shared" si="174"/>
        <v>893.09999999999991</v>
      </c>
      <c r="L3759" s="563">
        <f t="shared" si="175"/>
        <v>982.41</v>
      </c>
      <c r="M3759" s="563">
        <f t="shared" si="176"/>
        <v>1625.91</v>
      </c>
      <c r="N3759" s="580"/>
      <c r="O3759" s="558"/>
      <c r="P3759" s="564"/>
    </row>
    <row r="3760" spans="4:16" x14ac:dyDescent="0.25">
      <c r="D3760" s="559" t="s">
        <v>867</v>
      </c>
      <c r="E3760" s="558" t="s">
        <v>1912</v>
      </c>
      <c r="F3760" s="559">
        <v>102971</v>
      </c>
      <c r="G3760" s="558" t="s">
        <v>1910</v>
      </c>
      <c r="H3760" s="564">
        <v>40015</v>
      </c>
      <c r="I3760" s="563">
        <v>1790.1</v>
      </c>
      <c r="J3760" s="563">
        <v>-585</v>
      </c>
      <c r="K3760" s="563">
        <f t="shared" si="174"/>
        <v>1205.0999999999999</v>
      </c>
      <c r="L3760" s="563">
        <f t="shared" si="175"/>
        <v>1325.61</v>
      </c>
      <c r="M3760" s="563">
        <f t="shared" si="176"/>
        <v>1969.1100000000001</v>
      </c>
      <c r="N3760" s="580"/>
      <c r="O3760" s="558"/>
      <c r="P3760" s="564"/>
    </row>
    <row r="3761" spans="4:16" x14ac:dyDescent="0.25">
      <c r="D3761" s="559" t="s">
        <v>867</v>
      </c>
      <c r="E3761" s="558" t="s">
        <v>1687</v>
      </c>
      <c r="F3761" s="559">
        <v>500105</v>
      </c>
      <c r="G3761" s="558" t="s">
        <v>1914</v>
      </c>
      <c r="H3761" s="564">
        <v>40015</v>
      </c>
      <c r="I3761" s="563">
        <v>39</v>
      </c>
      <c r="J3761" s="563">
        <v>-39</v>
      </c>
      <c r="K3761" s="582">
        <f t="shared" si="174"/>
        <v>0</v>
      </c>
      <c r="L3761" s="563">
        <f t="shared" si="175"/>
        <v>0</v>
      </c>
      <c r="M3761" s="563">
        <f t="shared" si="176"/>
        <v>42.900000000000006</v>
      </c>
      <c r="N3761" s="580"/>
    </row>
    <row r="3762" spans="4:16" x14ac:dyDescent="0.25">
      <c r="D3762" s="559" t="s">
        <v>867</v>
      </c>
      <c r="E3762" s="558" t="s">
        <v>1688</v>
      </c>
      <c r="F3762" s="559">
        <v>500105</v>
      </c>
      <c r="G3762" s="558" t="s">
        <v>1914</v>
      </c>
      <c r="H3762" s="564">
        <v>40015</v>
      </c>
      <c r="I3762" s="563">
        <v>503.1</v>
      </c>
      <c r="J3762" s="563">
        <v>-503.1</v>
      </c>
      <c r="K3762" s="582">
        <f t="shared" si="174"/>
        <v>0</v>
      </c>
      <c r="L3762" s="563">
        <f t="shared" si="175"/>
        <v>0</v>
      </c>
      <c r="M3762" s="563">
        <f t="shared" si="176"/>
        <v>553.41000000000008</v>
      </c>
      <c r="N3762" s="580"/>
    </row>
    <row r="3763" spans="4:16" x14ac:dyDescent="0.25">
      <c r="D3763" s="559" t="s">
        <v>867</v>
      </c>
      <c r="E3763" s="558" t="s">
        <v>1913</v>
      </c>
      <c r="F3763" s="559">
        <v>502263</v>
      </c>
      <c r="G3763" s="558" t="s">
        <v>1914</v>
      </c>
      <c r="H3763" s="564">
        <v>40015</v>
      </c>
      <c r="I3763" s="563">
        <v>2141.1</v>
      </c>
      <c r="J3763" s="563">
        <v>-585</v>
      </c>
      <c r="K3763" s="563">
        <f t="shared" si="174"/>
        <v>1556.1</v>
      </c>
      <c r="L3763" s="563">
        <f t="shared" si="175"/>
        <v>1711.71</v>
      </c>
      <c r="M3763" s="563">
        <f t="shared" si="176"/>
        <v>2355.21</v>
      </c>
      <c r="N3763" s="580"/>
      <c r="O3763" s="558"/>
      <c r="P3763" s="564"/>
    </row>
    <row r="3764" spans="4:16" x14ac:dyDescent="0.25">
      <c r="D3764" s="559" t="s">
        <v>867</v>
      </c>
      <c r="E3764" s="558" t="s">
        <v>1689</v>
      </c>
      <c r="F3764" s="559">
        <v>500012</v>
      </c>
      <c r="G3764" s="558" t="s">
        <v>1914</v>
      </c>
      <c r="H3764" s="564">
        <v>40015</v>
      </c>
      <c r="I3764" s="563">
        <v>35.1</v>
      </c>
      <c r="J3764" s="563">
        <v>-35.1</v>
      </c>
      <c r="K3764" s="582">
        <f t="shared" si="174"/>
        <v>0</v>
      </c>
      <c r="L3764" s="563">
        <f t="shared" si="175"/>
        <v>0</v>
      </c>
      <c r="M3764" s="563">
        <f t="shared" si="176"/>
        <v>38.610000000000007</v>
      </c>
      <c r="N3764" s="580"/>
    </row>
    <row r="3765" spans="4:16" x14ac:dyDescent="0.25">
      <c r="D3765" s="559" t="s">
        <v>867</v>
      </c>
      <c r="E3765" s="558" t="s">
        <v>1690</v>
      </c>
      <c r="F3765" s="559">
        <v>500012</v>
      </c>
      <c r="G3765" s="558" t="s">
        <v>1914</v>
      </c>
      <c r="H3765" s="564">
        <v>40015</v>
      </c>
      <c r="I3765" s="563">
        <v>3740.1</v>
      </c>
      <c r="J3765" s="563">
        <v>-585</v>
      </c>
      <c r="K3765" s="582">
        <f t="shared" si="174"/>
        <v>3155.1</v>
      </c>
      <c r="L3765" s="563">
        <f t="shared" si="175"/>
        <v>3470.61</v>
      </c>
      <c r="M3765" s="563">
        <f t="shared" si="176"/>
        <v>4114.1100000000006</v>
      </c>
      <c r="N3765" s="580"/>
    </row>
    <row r="3766" spans="4:16" x14ac:dyDescent="0.25">
      <c r="D3766" s="559" t="s">
        <v>867</v>
      </c>
      <c r="E3766" s="558" t="s">
        <v>1915</v>
      </c>
      <c r="F3766" s="559">
        <v>500112</v>
      </c>
      <c r="G3766" s="558" t="s">
        <v>1916</v>
      </c>
      <c r="H3766" s="564">
        <v>40015</v>
      </c>
      <c r="I3766" s="563">
        <v>581.1</v>
      </c>
      <c r="J3766" s="563">
        <v>-581.1</v>
      </c>
      <c r="K3766" s="563">
        <f t="shared" si="174"/>
        <v>0</v>
      </c>
      <c r="L3766" s="563">
        <f t="shared" si="175"/>
        <v>0</v>
      </c>
      <c r="M3766" s="563">
        <f t="shared" si="176"/>
        <v>639.21</v>
      </c>
      <c r="N3766" s="580"/>
      <c r="O3766" s="558"/>
      <c r="P3766" s="564"/>
    </row>
    <row r="3767" spans="4:16" x14ac:dyDescent="0.25">
      <c r="D3767" s="559" t="s">
        <v>867</v>
      </c>
      <c r="E3767" s="558" t="s">
        <v>1691</v>
      </c>
      <c r="F3767" s="559">
        <v>502125</v>
      </c>
      <c r="G3767" s="558" t="s">
        <v>1916</v>
      </c>
      <c r="H3767" s="564">
        <v>40015</v>
      </c>
      <c r="I3767" s="563">
        <v>819</v>
      </c>
      <c r="J3767" s="563">
        <v>-585</v>
      </c>
      <c r="K3767" s="582">
        <f t="shared" si="174"/>
        <v>234</v>
      </c>
      <c r="L3767" s="563">
        <f t="shared" si="175"/>
        <v>257.40000000000003</v>
      </c>
      <c r="M3767" s="563">
        <f t="shared" si="176"/>
        <v>900.90000000000009</v>
      </c>
      <c r="N3767" s="580"/>
    </row>
    <row r="3768" spans="4:16" x14ac:dyDescent="0.25">
      <c r="D3768" s="559" t="s">
        <v>867</v>
      </c>
      <c r="E3768" s="558" t="s">
        <v>1692</v>
      </c>
      <c r="F3768" s="559">
        <v>502033</v>
      </c>
      <c r="G3768" s="558" t="s">
        <v>1916</v>
      </c>
      <c r="H3768" s="564">
        <v>40015</v>
      </c>
      <c r="I3768" s="563">
        <v>1483.95</v>
      </c>
      <c r="J3768" s="563">
        <v>-585</v>
      </c>
      <c r="K3768" s="582">
        <f t="shared" si="174"/>
        <v>898.95</v>
      </c>
      <c r="L3768" s="563">
        <f t="shared" si="175"/>
        <v>988.84500000000014</v>
      </c>
      <c r="M3768" s="563">
        <f t="shared" si="176"/>
        <v>1632.3450000000003</v>
      </c>
      <c r="N3768" s="580"/>
    </row>
    <row r="3769" spans="4:16" x14ac:dyDescent="0.25">
      <c r="D3769" s="559" t="s">
        <v>867</v>
      </c>
      <c r="E3769" s="558" t="s">
        <v>1693</v>
      </c>
      <c r="F3769" s="559">
        <v>500118</v>
      </c>
      <c r="G3769" s="558" t="s">
        <v>1916</v>
      </c>
      <c r="H3769" s="564">
        <v>40015</v>
      </c>
      <c r="I3769" s="563">
        <v>503.1</v>
      </c>
      <c r="J3769" s="563">
        <v>-503.1</v>
      </c>
      <c r="K3769" s="582">
        <f t="shared" si="174"/>
        <v>0</v>
      </c>
      <c r="L3769" s="563">
        <f t="shared" si="175"/>
        <v>0</v>
      </c>
      <c r="M3769" s="563">
        <f t="shared" si="176"/>
        <v>553.41000000000008</v>
      </c>
      <c r="N3769" s="580"/>
    </row>
    <row r="3770" spans="4:16" x14ac:dyDescent="0.25">
      <c r="D3770" s="559" t="s">
        <v>867</v>
      </c>
      <c r="E3770" s="558" t="s">
        <v>1917</v>
      </c>
      <c r="F3770" s="559">
        <v>500119</v>
      </c>
      <c r="G3770" s="558" t="s">
        <v>1916</v>
      </c>
      <c r="H3770" s="564">
        <v>40015</v>
      </c>
      <c r="I3770" s="563">
        <v>583.04999999999995</v>
      </c>
      <c r="J3770" s="563">
        <v>-583.04999999999995</v>
      </c>
      <c r="K3770" s="563">
        <f t="shared" si="174"/>
        <v>0</v>
      </c>
      <c r="L3770" s="563">
        <f t="shared" si="175"/>
        <v>0</v>
      </c>
      <c r="M3770" s="563">
        <f t="shared" si="176"/>
        <v>641.35500000000002</v>
      </c>
      <c r="N3770" s="580"/>
      <c r="O3770" s="558"/>
      <c r="P3770" s="564"/>
    </row>
    <row r="3771" spans="4:16" x14ac:dyDescent="0.25">
      <c r="D3771" s="559" t="s">
        <v>867</v>
      </c>
      <c r="E3771" s="558" t="s">
        <v>1694</v>
      </c>
      <c r="F3771" s="559">
        <v>500124</v>
      </c>
      <c r="G3771" s="558" t="s">
        <v>1919</v>
      </c>
      <c r="H3771" s="564">
        <v>40015</v>
      </c>
      <c r="I3771" s="563">
        <v>1470.3</v>
      </c>
      <c r="J3771" s="563">
        <v>-585</v>
      </c>
      <c r="K3771" s="582">
        <f t="shared" si="174"/>
        <v>885.3</v>
      </c>
      <c r="L3771" s="563">
        <f t="shared" si="175"/>
        <v>973.83</v>
      </c>
      <c r="M3771" s="563">
        <f t="shared" si="176"/>
        <v>1617.3300000000002</v>
      </c>
      <c r="N3771" s="580"/>
    </row>
    <row r="3772" spans="4:16" x14ac:dyDescent="0.25">
      <c r="D3772" s="559" t="s">
        <v>867</v>
      </c>
      <c r="E3772" s="558" t="s">
        <v>1695</v>
      </c>
      <c r="F3772" s="559">
        <v>500124</v>
      </c>
      <c r="G3772" s="558" t="s">
        <v>1919</v>
      </c>
      <c r="H3772" s="564">
        <v>40015</v>
      </c>
      <c r="I3772" s="563">
        <v>378.3</v>
      </c>
      <c r="J3772" s="563">
        <v>-378.3</v>
      </c>
      <c r="K3772" s="582">
        <f t="shared" si="174"/>
        <v>0</v>
      </c>
      <c r="L3772" s="563">
        <f t="shared" si="175"/>
        <v>0</v>
      </c>
      <c r="M3772" s="563">
        <f t="shared" si="176"/>
        <v>416.13000000000005</v>
      </c>
      <c r="N3772" s="580"/>
    </row>
    <row r="3773" spans="4:16" x14ac:dyDescent="0.25">
      <c r="D3773" s="559" t="s">
        <v>867</v>
      </c>
      <c r="E3773" s="558" t="s">
        <v>1918</v>
      </c>
      <c r="F3773" s="559">
        <v>500016</v>
      </c>
      <c r="G3773" s="558" t="s">
        <v>1919</v>
      </c>
      <c r="H3773" s="564">
        <v>40015</v>
      </c>
      <c r="I3773" s="563">
        <v>27.3</v>
      </c>
      <c r="J3773" s="563">
        <v>-27.3</v>
      </c>
      <c r="K3773" s="563">
        <f t="shared" si="174"/>
        <v>0</v>
      </c>
      <c r="L3773" s="563">
        <f t="shared" si="175"/>
        <v>0</v>
      </c>
      <c r="M3773" s="563">
        <f t="shared" si="176"/>
        <v>30.030000000000005</v>
      </c>
      <c r="N3773" s="580"/>
      <c r="O3773" s="558"/>
      <c r="P3773" s="564"/>
    </row>
    <row r="3774" spans="4:16" x14ac:dyDescent="0.25">
      <c r="D3774" s="559" t="s">
        <v>867</v>
      </c>
      <c r="E3774" s="558" t="s">
        <v>1920</v>
      </c>
      <c r="F3774" s="559">
        <v>500016</v>
      </c>
      <c r="G3774" s="558" t="s">
        <v>1919</v>
      </c>
      <c r="H3774" s="564">
        <v>40015</v>
      </c>
      <c r="I3774" s="563">
        <v>15.6</v>
      </c>
      <c r="J3774" s="563">
        <v>-15.6</v>
      </c>
      <c r="K3774" s="563">
        <f t="shared" si="174"/>
        <v>0</v>
      </c>
      <c r="L3774" s="563">
        <f t="shared" si="175"/>
        <v>0</v>
      </c>
      <c r="M3774" s="563">
        <f t="shared" si="176"/>
        <v>17.16</v>
      </c>
      <c r="N3774" s="580"/>
      <c r="O3774" s="558"/>
      <c r="P3774" s="564"/>
    </row>
    <row r="3775" spans="4:16" x14ac:dyDescent="0.25">
      <c r="D3775" s="559" t="s">
        <v>867</v>
      </c>
      <c r="E3775" s="558" t="s">
        <v>1696</v>
      </c>
      <c r="F3775" s="559">
        <v>500126</v>
      </c>
      <c r="G3775" s="558" t="s">
        <v>1919</v>
      </c>
      <c r="H3775" s="564">
        <v>40015</v>
      </c>
      <c r="I3775" s="563">
        <v>444.6</v>
      </c>
      <c r="J3775" s="563">
        <v>-444.6</v>
      </c>
      <c r="K3775" s="582">
        <f t="shared" si="174"/>
        <v>0</v>
      </c>
      <c r="L3775" s="563">
        <f t="shared" si="175"/>
        <v>0</v>
      </c>
      <c r="M3775" s="563">
        <f t="shared" si="176"/>
        <v>489.06000000000006</v>
      </c>
      <c r="N3775" s="580"/>
    </row>
    <row r="3776" spans="4:16" x14ac:dyDescent="0.25">
      <c r="D3776" s="559" t="s">
        <v>867</v>
      </c>
      <c r="E3776" s="558" t="s">
        <v>1697</v>
      </c>
      <c r="F3776" s="559">
        <v>500127</v>
      </c>
      <c r="G3776" s="558" t="s">
        <v>1922</v>
      </c>
      <c r="H3776" s="564">
        <v>40015</v>
      </c>
      <c r="I3776" s="563">
        <v>530.4</v>
      </c>
      <c r="J3776" s="563">
        <v>-530.4</v>
      </c>
      <c r="K3776" s="582">
        <f t="shared" si="174"/>
        <v>0</v>
      </c>
      <c r="L3776" s="563">
        <f t="shared" si="175"/>
        <v>0</v>
      </c>
      <c r="M3776" s="563">
        <f t="shared" si="176"/>
        <v>583.44000000000005</v>
      </c>
      <c r="N3776" s="580"/>
    </row>
    <row r="3777" spans="4:16" x14ac:dyDescent="0.25">
      <c r="D3777" s="559" t="s">
        <v>867</v>
      </c>
      <c r="E3777" s="558" t="s">
        <v>1698</v>
      </c>
      <c r="F3777" s="559">
        <v>502247</v>
      </c>
      <c r="G3777" s="558" t="s">
        <v>1922</v>
      </c>
      <c r="H3777" s="564">
        <v>40015</v>
      </c>
      <c r="I3777" s="563">
        <v>881.4</v>
      </c>
      <c r="J3777" s="563">
        <v>-585</v>
      </c>
      <c r="K3777" s="582">
        <f t="shared" si="174"/>
        <v>296.39999999999998</v>
      </c>
      <c r="L3777" s="563">
        <f t="shared" si="175"/>
        <v>326.04000000000002</v>
      </c>
      <c r="M3777" s="563">
        <f t="shared" si="176"/>
        <v>969.54000000000008</v>
      </c>
      <c r="N3777" s="580"/>
    </row>
    <row r="3778" spans="4:16" x14ac:dyDescent="0.25">
      <c r="D3778" s="559" t="s">
        <v>867</v>
      </c>
      <c r="E3778" s="558" t="s">
        <v>1699</v>
      </c>
      <c r="F3778" s="559">
        <v>500086</v>
      </c>
      <c r="G3778" s="558" t="s">
        <v>1922</v>
      </c>
      <c r="H3778" s="564">
        <v>40015</v>
      </c>
      <c r="I3778" s="563">
        <v>117</v>
      </c>
      <c r="J3778" s="563">
        <v>-117</v>
      </c>
      <c r="K3778" s="582">
        <f t="shared" si="174"/>
        <v>0</v>
      </c>
      <c r="L3778" s="563">
        <f t="shared" si="175"/>
        <v>0</v>
      </c>
      <c r="M3778" s="563">
        <f t="shared" si="176"/>
        <v>128.70000000000002</v>
      </c>
      <c r="N3778" s="580"/>
    </row>
    <row r="3779" spans="4:16" x14ac:dyDescent="0.25">
      <c r="D3779" s="559" t="s">
        <v>867</v>
      </c>
      <c r="E3779" s="558" t="s">
        <v>1921</v>
      </c>
      <c r="F3779" s="559">
        <v>500130</v>
      </c>
      <c r="G3779" s="558" t="s">
        <v>1922</v>
      </c>
      <c r="H3779" s="564">
        <v>40015</v>
      </c>
      <c r="I3779" s="563">
        <v>58.5</v>
      </c>
      <c r="J3779" s="563">
        <v>-58.5</v>
      </c>
      <c r="K3779" s="563">
        <f t="shared" si="174"/>
        <v>0</v>
      </c>
      <c r="L3779" s="563">
        <f t="shared" si="175"/>
        <v>0</v>
      </c>
      <c r="M3779" s="563">
        <f t="shared" si="176"/>
        <v>64.350000000000009</v>
      </c>
      <c r="N3779" s="580"/>
      <c r="O3779" s="558"/>
      <c r="P3779" s="564"/>
    </row>
    <row r="3780" spans="4:16" x14ac:dyDescent="0.25">
      <c r="D3780" s="559" t="s">
        <v>867</v>
      </c>
      <c r="E3780" s="558" t="s">
        <v>1923</v>
      </c>
      <c r="F3780" s="559">
        <v>500002</v>
      </c>
      <c r="G3780" s="558" t="s">
        <v>1922</v>
      </c>
      <c r="H3780" s="564">
        <v>40015</v>
      </c>
      <c r="I3780" s="563">
        <v>452.4</v>
      </c>
      <c r="J3780" s="563">
        <v>-452.4</v>
      </c>
      <c r="K3780" s="563">
        <f t="shared" si="174"/>
        <v>0</v>
      </c>
      <c r="L3780" s="563">
        <f t="shared" si="175"/>
        <v>0</v>
      </c>
      <c r="M3780" s="563">
        <f t="shared" si="176"/>
        <v>497.64000000000004</v>
      </c>
      <c r="N3780" s="580"/>
      <c r="O3780" s="558"/>
      <c r="P3780" s="564"/>
    </row>
    <row r="3781" spans="4:16" x14ac:dyDescent="0.25">
      <c r="D3781" s="559" t="s">
        <v>867</v>
      </c>
      <c r="E3781" s="558" t="s">
        <v>1700</v>
      </c>
      <c r="F3781" s="559">
        <v>500132</v>
      </c>
      <c r="G3781" s="558" t="s">
        <v>925</v>
      </c>
      <c r="H3781" s="564">
        <v>40015</v>
      </c>
      <c r="I3781" s="563">
        <v>198.9</v>
      </c>
      <c r="J3781" s="563">
        <v>-198.9</v>
      </c>
      <c r="K3781" s="582">
        <f t="shared" si="174"/>
        <v>0</v>
      </c>
      <c r="L3781" s="563">
        <f t="shared" si="175"/>
        <v>0</v>
      </c>
      <c r="M3781" s="563">
        <f t="shared" si="176"/>
        <v>218.79000000000002</v>
      </c>
      <c r="N3781" s="580"/>
    </row>
    <row r="3782" spans="4:16" x14ac:dyDescent="0.25">
      <c r="D3782" s="559" t="s">
        <v>867</v>
      </c>
      <c r="E3782" s="558" t="s">
        <v>1924</v>
      </c>
      <c r="F3782" s="559">
        <v>500133</v>
      </c>
      <c r="G3782" s="558" t="s">
        <v>925</v>
      </c>
      <c r="H3782" s="564">
        <v>40015</v>
      </c>
      <c r="I3782" s="563">
        <v>130.65</v>
      </c>
      <c r="J3782" s="563">
        <v>-130.65</v>
      </c>
      <c r="K3782" s="563">
        <f t="shared" si="174"/>
        <v>0</v>
      </c>
      <c r="L3782" s="563">
        <f t="shared" si="175"/>
        <v>0</v>
      </c>
      <c r="M3782" s="563">
        <f t="shared" si="176"/>
        <v>143.71500000000003</v>
      </c>
      <c r="N3782" s="580"/>
      <c r="O3782" s="558"/>
      <c r="P3782" s="564"/>
    </row>
    <row r="3783" spans="4:16" x14ac:dyDescent="0.25">
      <c r="D3783" s="559" t="s">
        <v>867</v>
      </c>
      <c r="E3783" s="558" t="s">
        <v>1925</v>
      </c>
      <c r="F3783" s="559">
        <v>500135</v>
      </c>
      <c r="G3783" s="558" t="s">
        <v>925</v>
      </c>
      <c r="H3783" s="564">
        <v>40015</v>
      </c>
      <c r="I3783" s="563">
        <v>39</v>
      </c>
      <c r="J3783" s="563">
        <v>-39</v>
      </c>
      <c r="K3783" s="563">
        <f t="shared" si="174"/>
        <v>0</v>
      </c>
      <c r="L3783" s="563">
        <f t="shared" si="175"/>
        <v>0</v>
      </c>
      <c r="M3783" s="563">
        <f t="shared" si="176"/>
        <v>42.900000000000006</v>
      </c>
      <c r="N3783" s="580"/>
      <c r="O3783" s="558"/>
      <c r="P3783" s="564"/>
    </row>
    <row r="3784" spans="4:16" x14ac:dyDescent="0.25">
      <c r="D3784" s="559" t="s">
        <v>867</v>
      </c>
      <c r="E3784" s="558" t="s">
        <v>1926</v>
      </c>
      <c r="F3784" s="559">
        <v>500135</v>
      </c>
      <c r="G3784" s="558" t="s">
        <v>925</v>
      </c>
      <c r="H3784" s="564">
        <v>40015</v>
      </c>
      <c r="I3784" s="563">
        <v>39</v>
      </c>
      <c r="J3784" s="563">
        <v>-39</v>
      </c>
      <c r="K3784" s="563">
        <f t="shared" si="174"/>
        <v>0</v>
      </c>
      <c r="L3784" s="563">
        <f t="shared" si="175"/>
        <v>0</v>
      </c>
      <c r="M3784" s="563">
        <f t="shared" si="176"/>
        <v>42.900000000000006</v>
      </c>
      <c r="N3784" s="580"/>
      <c r="O3784" s="558"/>
      <c r="P3784" s="564"/>
    </row>
    <row r="3785" spans="4:16" x14ac:dyDescent="0.25">
      <c r="D3785" s="559" t="s">
        <v>867</v>
      </c>
      <c r="E3785" s="558" t="s">
        <v>1927</v>
      </c>
      <c r="F3785" s="559">
        <v>500135</v>
      </c>
      <c r="G3785" s="558" t="s">
        <v>925</v>
      </c>
      <c r="H3785" s="564">
        <v>40015</v>
      </c>
      <c r="I3785" s="563">
        <v>39</v>
      </c>
      <c r="J3785" s="563">
        <v>-39</v>
      </c>
      <c r="K3785" s="563">
        <f t="shared" si="174"/>
        <v>0</v>
      </c>
      <c r="L3785" s="563">
        <f t="shared" si="175"/>
        <v>0</v>
      </c>
      <c r="M3785" s="563">
        <f t="shared" si="176"/>
        <v>42.900000000000006</v>
      </c>
      <c r="N3785" s="580"/>
      <c r="O3785" s="558"/>
      <c r="P3785" s="564"/>
    </row>
    <row r="3786" spans="4:16" x14ac:dyDescent="0.25">
      <c r="D3786" s="559" t="s">
        <v>867</v>
      </c>
      <c r="E3786" s="558" t="s">
        <v>1928</v>
      </c>
      <c r="F3786" s="559">
        <v>500135</v>
      </c>
      <c r="G3786" s="558" t="s">
        <v>1929</v>
      </c>
      <c r="H3786" s="564">
        <v>40015</v>
      </c>
      <c r="I3786" s="563">
        <v>39</v>
      </c>
      <c r="J3786" s="563">
        <v>-39</v>
      </c>
      <c r="K3786" s="563">
        <f t="shared" si="174"/>
        <v>0</v>
      </c>
      <c r="L3786" s="563">
        <f t="shared" si="175"/>
        <v>0</v>
      </c>
      <c r="M3786" s="563">
        <f t="shared" si="176"/>
        <v>42.900000000000006</v>
      </c>
      <c r="N3786" s="580"/>
      <c r="O3786" s="558"/>
      <c r="P3786" s="564"/>
    </row>
    <row r="3787" spans="4:16" x14ac:dyDescent="0.25">
      <c r="D3787" s="559" t="s">
        <v>867</v>
      </c>
      <c r="E3787" s="558" t="s">
        <v>1930</v>
      </c>
      <c r="F3787" s="559">
        <v>500135</v>
      </c>
      <c r="G3787" s="558" t="s">
        <v>1929</v>
      </c>
      <c r="H3787" s="564">
        <v>40015</v>
      </c>
      <c r="I3787" s="563">
        <v>78</v>
      </c>
      <c r="J3787" s="563">
        <v>-78</v>
      </c>
      <c r="K3787" s="563">
        <f t="shared" si="174"/>
        <v>0</v>
      </c>
      <c r="L3787" s="563">
        <f t="shared" si="175"/>
        <v>0</v>
      </c>
      <c r="M3787" s="563">
        <f t="shared" si="176"/>
        <v>85.800000000000011</v>
      </c>
      <c r="N3787" s="580"/>
      <c r="O3787" s="558"/>
      <c r="P3787" s="564"/>
    </row>
    <row r="3788" spans="4:16" x14ac:dyDescent="0.25">
      <c r="D3788" s="559" t="s">
        <v>867</v>
      </c>
      <c r="E3788" s="558" t="s">
        <v>1931</v>
      </c>
      <c r="F3788" s="559">
        <v>500135</v>
      </c>
      <c r="G3788" s="558" t="s">
        <v>1929</v>
      </c>
      <c r="H3788" s="564">
        <v>40015</v>
      </c>
      <c r="I3788" s="563">
        <v>78</v>
      </c>
      <c r="J3788" s="563">
        <v>-78</v>
      </c>
      <c r="K3788" s="563">
        <f t="shared" si="174"/>
        <v>0</v>
      </c>
      <c r="L3788" s="563">
        <f t="shared" si="175"/>
        <v>0</v>
      </c>
      <c r="M3788" s="563">
        <f t="shared" si="176"/>
        <v>85.800000000000011</v>
      </c>
      <c r="N3788" s="580"/>
      <c r="O3788" s="558"/>
      <c r="P3788" s="564"/>
    </row>
    <row r="3789" spans="4:16" x14ac:dyDescent="0.25">
      <c r="D3789" s="559" t="s">
        <v>867</v>
      </c>
      <c r="E3789" s="558" t="s">
        <v>1932</v>
      </c>
      <c r="F3789" s="559">
        <v>500002</v>
      </c>
      <c r="G3789" s="558" t="s">
        <v>1929</v>
      </c>
      <c r="H3789" s="564">
        <v>40015</v>
      </c>
      <c r="I3789" s="563">
        <v>288.60000000000002</v>
      </c>
      <c r="J3789" s="563">
        <v>-288.60000000000002</v>
      </c>
      <c r="K3789" s="563">
        <f t="shared" si="174"/>
        <v>0</v>
      </c>
      <c r="L3789" s="563">
        <f t="shared" si="175"/>
        <v>0</v>
      </c>
      <c r="M3789" s="563">
        <f t="shared" si="176"/>
        <v>317.46000000000004</v>
      </c>
      <c r="N3789" s="580"/>
      <c r="O3789" s="558"/>
      <c r="P3789" s="564"/>
    </row>
    <row r="3790" spans="4:16" x14ac:dyDescent="0.25">
      <c r="D3790" s="559" t="s">
        <v>867</v>
      </c>
      <c r="E3790" s="558" t="s">
        <v>1933</v>
      </c>
      <c r="F3790" s="559">
        <v>500050</v>
      </c>
      <c r="G3790" s="558" t="s">
        <v>1929</v>
      </c>
      <c r="H3790" s="564">
        <v>40015</v>
      </c>
      <c r="I3790" s="563">
        <v>1614.6</v>
      </c>
      <c r="J3790" s="563">
        <v>-585</v>
      </c>
      <c r="K3790" s="563">
        <f t="shared" si="174"/>
        <v>1029.5999999999999</v>
      </c>
      <c r="L3790" s="563">
        <f t="shared" si="175"/>
        <v>1132.56</v>
      </c>
      <c r="M3790" s="563">
        <f t="shared" si="176"/>
        <v>1776.06</v>
      </c>
      <c r="N3790" s="580"/>
      <c r="O3790" s="558"/>
      <c r="P3790" s="564"/>
    </row>
    <row r="3791" spans="4:16" x14ac:dyDescent="0.25">
      <c r="D3791" s="559" t="s">
        <v>867</v>
      </c>
      <c r="E3791" s="558" t="s">
        <v>1934</v>
      </c>
      <c r="F3791" s="559">
        <v>500125</v>
      </c>
      <c r="G3791" s="558" t="s">
        <v>1935</v>
      </c>
      <c r="H3791" s="564">
        <v>40015</v>
      </c>
      <c r="I3791" s="563">
        <v>3447.6</v>
      </c>
      <c r="J3791" s="563">
        <v>-585</v>
      </c>
      <c r="K3791" s="563">
        <f t="shared" si="174"/>
        <v>2862.6</v>
      </c>
      <c r="L3791" s="563">
        <f t="shared" si="175"/>
        <v>3148.86</v>
      </c>
      <c r="M3791" s="563">
        <f t="shared" si="176"/>
        <v>3792.36</v>
      </c>
      <c r="N3791" s="580"/>
      <c r="O3791" s="558"/>
      <c r="P3791" s="564"/>
    </row>
    <row r="3792" spans="4:16" x14ac:dyDescent="0.25">
      <c r="D3792" s="559" t="s">
        <v>867</v>
      </c>
      <c r="E3792" s="558" t="s">
        <v>1936</v>
      </c>
      <c r="F3792" s="559">
        <v>500125</v>
      </c>
      <c r="G3792" s="558" t="s">
        <v>1935</v>
      </c>
      <c r="H3792" s="564">
        <v>40015</v>
      </c>
      <c r="I3792" s="563">
        <v>397.8</v>
      </c>
      <c r="J3792" s="563">
        <v>-397.8</v>
      </c>
      <c r="K3792" s="563">
        <f t="shared" si="174"/>
        <v>0</v>
      </c>
      <c r="L3792" s="563">
        <f t="shared" si="175"/>
        <v>0</v>
      </c>
      <c r="M3792" s="563">
        <f t="shared" si="176"/>
        <v>437.58000000000004</v>
      </c>
      <c r="N3792" s="580"/>
      <c r="O3792" s="558"/>
      <c r="P3792" s="564"/>
    </row>
    <row r="3793" spans="4:16" x14ac:dyDescent="0.25">
      <c r="D3793" s="559" t="s">
        <v>867</v>
      </c>
      <c r="E3793" s="558" t="s">
        <v>2989</v>
      </c>
      <c r="F3793" s="559">
        <v>500416</v>
      </c>
      <c r="G3793" s="558" t="s">
        <v>1935</v>
      </c>
      <c r="H3793" s="564">
        <v>40015</v>
      </c>
      <c r="I3793" s="563">
        <v>1645.8</v>
      </c>
      <c r="J3793" s="563">
        <v>-585</v>
      </c>
      <c r="K3793" s="582">
        <f t="shared" si="174"/>
        <v>1060.8</v>
      </c>
      <c r="L3793" s="563">
        <f t="shared" si="175"/>
        <v>1166.8800000000001</v>
      </c>
      <c r="M3793" s="563">
        <f t="shared" si="176"/>
        <v>1810.38</v>
      </c>
      <c r="N3793" s="580"/>
    </row>
    <row r="3794" spans="4:16" x14ac:dyDescent="0.25">
      <c r="D3794" s="559" t="s">
        <v>867</v>
      </c>
      <c r="E3794" s="558" t="s">
        <v>2990</v>
      </c>
      <c r="F3794" s="559">
        <v>502303</v>
      </c>
      <c r="G3794" s="558" t="s">
        <v>1935</v>
      </c>
      <c r="H3794" s="564">
        <v>40015</v>
      </c>
      <c r="I3794" s="563">
        <v>1060.8</v>
      </c>
      <c r="J3794" s="563">
        <v>-585</v>
      </c>
      <c r="K3794" s="582">
        <f t="shared" si="174"/>
        <v>475.79999999999995</v>
      </c>
      <c r="L3794" s="563">
        <f t="shared" si="175"/>
        <v>523.38</v>
      </c>
      <c r="M3794" s="563">
        <f t="shared" si="176"/>
        <v>1166.8800000000001</v>
      </c>
      <c r="N3794" s="580"/>
    </row>
    <row r="3795" spans="4:16" x14ac:dyDescent="0.25">
      <c r="D3795" s="559" t="s">
        <v>867</v>
      </c>
      <c r="E3795" s="558" t="s">
        <v>2991</v>
      </c>
      <c r="F3795" s="559">
        <v>502037</v>
      </c>
      <c r="G3795" s="558" t="s">
        <v>1935</v>
      </c>
      <c r="H3795" s="564">
        <v>40015</v>
      </c>
      <c r="I3795" s="563">
        <v>698.1</v>
      </c>
      <c r="J3795" s="563">
        <v>-585</v>
      </c>
      <c r="K3795" s="582">
        <f t="shared" si="174"/>
        <v>113.10000000000002</v>
      </c>
      <c r="L3795" s="563">
        <f t="shared" si="175"/>
        <v>124.41000000000004</v>
      </c>
      <c r="M3795" s="563">
        <f t="shared" si="176"/>
        <v>767.91000000000008</v>
      </c>
      <c r="N3795" s="580"/>
    </row>
    <row r="3796" spans="4:16" x14ac:dyDescent="0.25">
      <c r="D3796" s="559" t="s">
        <v>867</v>
      </c>
      <c r="E3796" s="558" t="s">
        <v>2992</v>
      </c>
      <c r="F3796" s="559">
        <v>502303</v>
      </c>
      <c r="G3796" s="558" t="s">
        <v>927</v>
      </c>
      <c r="H3796" s="564">
        <v>40015</v>
      </c>
      <c r="I3796" s="563">
        <v>109.2</v>
      </c>
      <c r="J3796" s="563">
        <v>-109.2</v>
      </c>
      <c r="K3796" s="582">
        <f t="shared" si="174"/>
        <v>0</v>
      </c>
      <c r="L3796" s="563">
        <f t="shared" si="175"/>
        <v>0</v>
      </c>
      <c r="M3796" s="563">
        <f t="shared" si="176"/>
        <v>120.12000000000002</v>
      </c>
      <c r="N3796" s="580"/>
    </row>
    <row r="3797" spans="4:16" x14ac:dyDescent="0.25">
      <c r="D3797" s="559" t="s">
        <v>867</v>
      </c>
      <c r="E3797" s="558" t="s">
        <v>1937</v>
      </c>
      <c r="F3797" s="559">
        <v>500125</v>
      </c>
      <c r="G3797" s="558" t="s">
        <v>927</v>
      </c>
      <c r="H3797" s="564">
        <v>40015</v>
      </c>
      <c r="I3797" s="563">
        <v>46.8</v>
      </c>
      <c r="J3797" s="563">
        <v>-46.8</v>
      </c>
      <c r="K3797" s="563">
        <f t="shared" si="174"/>
        <v>0</v>
      </c>
      <c r="L3797" s="563">
        <f t="shared" si="175"/>
        <v>0</v>
      </c>
      <c r="M3797" s="563">
        <f t="shared" si="176"/>
        <v>51.480000000000004</v>
      </c>
      <c r="N3797" s="580"/>
      <c r="O3797" s="558"/>
      <c r="P3797" s="564"/>
    </row>
    <row r="3798" spans="4:16" x14ac:dyDescent="0.25">
      <c r="D3798" s="559" t="s">
        <v>867</v>
      </c>
      <c r="E3798" s="558" t="s">
        <v>2993</v>
      </c>
      <c r="F3798" s="559">
        <v>502065</v>
      </c>
      <c r="G3798" s="558" t="s">
        <v>927</v>
      </c>
      <c r="H3798" s="564">
        <v>40015</v>
      </c>
      <c r="I3798" s="563">
        <v>1485.9</v>
      </c>
      <c r="J3798" s="563">
        <v>-585</v>
      </c>
      <c r="K3798" s="582">
        <f t="shared" si="174"/>
        <v>900.90000000000009</v>
      </c>
      <c r="L3798" s="563">
        <f t="shared" si="175"/>
        <v>990.99000000000024</v>
      </c>
      <c r="M3798" s="563">
        <f t="shared" si="176"/>
        <v>1634.4900000000002</v>
      </c>
      <c r="N3798" s="580"/>
    </row>
    <row r="3799" spans="4:16" x14ac:dyDescent="0.25">
      <c r="D3799" s="559" t="s">
        <v>867</v>
      </c>
      <c r="E3799" s="558" t="s">
        <v>1938</v>
      </c>
      <c r="F3799" s="559">
        <v>502163</v>
      </c>
      <c r="G3799" s="558" t="s">
        <v>927</v>
      </c>
      <c r="H3799" s="564">
        <v>40015</v>
      </c>
      <c r="I3799" s="563">
        <v>74.099999999999994</v>
      </c>
      <c r="J3799" s="563">
        <v>-74.099999999999994</v>
      </c>
      <c r="K3799" s="563">
        <f t="shared" si="174"/>
        <v>0</v>
      </c>
      <c r="L3799" s="563">
        <f t="shared" si="175"/>
        <v>0</v>
      </c>
      <c r="M3799" s="563">
        <f t="shared" si="176"/>
        <v>81.510000000000005</v>
      </c>
      <c r="N3799" s="580"/>
      <c r="O3799" s="558"/>
      <c r="P3799" s="564"/>
    </row>
    <row r="3800" spans="4:16" x14ac:dyDescent="0.25">
      <c r="D3800" s="559" t="s">
        <v>867</v>
      </c>
      <c r="E3800" s="558" t="s">
        <v>2994</v>
      </c>
      <c r="F3800" s="559">
        <v>512192</v>
      </c>
      <c r="G3800" s="558" t="s">
        <v>929</v>
      </c>
      <c r="H3800" s="564">
        <v>40015</v>
      </c>
      <c r="I3800" s="563">
        <v>2308.8000000000002</v>
      </c>
      <c r="J3800" s="563">
        <v>-585</v>
      </c>
      <c r="K3800" s="582">
        <f t="shared" si="174"/>
        <v>1723.8000000000002</v>
      </c>
      <c r="L3800" s="563">
        <f t="shared" si="175"/>
        <v>1896.1800000000003</v>
      </c>
      <c r="M3800" s="563">
        <f t="shared" si="176"/>
        <v>2539.6800000000003</v>
      </c>
      <c r="N3800" s="580"/>
    </row>
    <row r="3801" spans="4:16" x14ac:dyDescent="0.25">
      <c r="D3801" s="559" t="s">
        <v>867</v>
      </c>
      <c r="E3801" s="558" t="s">
        <v>1939</v>
      </c>
      <c r="F3801" s="559">
        <v>500158</v>
      </c>
      <c r="G3801" s="558" t="s">
        <v>929</v>
      </c>
      <c r="H3801" s="564">
        <v>40015</v>
      </c>
      <c r="I3801" s="563">
        <v>195</v>
      </c>
      <c r="J3801" s="563">
        <v>-195</v>
      </c>
      <c r="K3801" s="563">
        <f t="shared" si="174"/>
        <v>0</v>
      </c>
      <c r="L3801" s="563">
        <f t="shared" si="175"/>
        <v>0</v>
      </c>
      <c r="M3801" s="563">
        <f t="shared" si="176"/>
        <v>214.50000000000003</v>
      </c>
      <c r="N3801" s="580"/>
      <c r="O3801" s="558"/>
      <c r="P3801" s="564"/>
    </row>
    <row r="3802" spans="4:16" x14ac:dyDescent="0.25">
      <c r="D3802" s="559" t="s">
        <v>867</v>
      </c>
      <c r="E3802" s="558" t="s">
        <v>1940</v>
      </c>
      <c r="F3802" s="559">
        <v>500158</v>
      </c>
      <c r="G3802" s="558" t="s">
        <v>929</v>
      </c>
      <c r="H3802" s="564">
        <v>40015</v>
      </c>
      <c r="I3802" s="563">
        <v>11.7</v>
      </c>
      <c r="J3802" s="563">
        <v>-11.7</v>
      </c>
      <c r="K3802" s="563">
        <f t="shared" si="174"/>
        <v>0</v>
      </c>
      <c r="L3802" s="563">
        <f t="shared" si="175"/>
        <v>0</v>
      </c>
      <c r="M3802" s="563">
        <f t="shared" si="176"/>
        <v>12.870000000000001</v>
      </c>
      <c r="N3802" s="580"/>
      <c r="O3802" s="558"/>
      <c r="P3802" s="564"/>
    </row>
    <row r="3803" spans="4:16" x14ac:dyDescent="0.25">
      <c r="D3803" s="559" t="s">
        <v>867</v>
      </c>
      <c r="E3803" s="558" t="s">
        <v>1941</v>
      </c>
      <c r="F3803" s="559">
        <v>500059</v>
      </c>
      <c r="G3803" s="558" t="s">
        <v>929</v>
      </c>
      <c r="H3803" s="564">
        <v>40015</v>
      </c>
      <c r="I3803" s="563">
        <v>39</v>
      </c>
      <c r="J3803" s="563">
        <v>-39</v>
      </c>
      <c r="K3803" s="563">
        <f t="shared" si="174"/>
        <v>0</v>
      </c>
      <c r="L3803" s="563">
        <f t="shared" si="175"/>
        <v>0</v>
      </c>
      <c r="M3803" s="563">
        <f t="shared" si="176"/>
        <v>42.900000000000006</v>
      </c>
      <c r="N3803" s="580"/>
      <c r="O3803" s="558"/>
      <c r="P3803" s="564"/>
    </row>
    <row r="3804" spans="4:16" x14ac:dyDescent="0.25">
      <c r="D3804" s="559" t="s">
        <v>867</v>
      </c>
      <c r="E3804" s="558" t="s">
        <v>1942</v>
      </c>
      <c r="F3804" s="559">
        <v>500166</v>
      </c>
      <c r="G3804" s="558" t="s">
        <v>931</v>
      </c>
      <c r="H3804" s="564">
        <v>40015</v>
      </c>
      <c r="I3804" s="563">
        <v>39</v>
      </c>
      <c r="J3804" s="563">
        <v>-39</v>
      </c>
      <c r="K3804" s="563">
        <f t="shared" si="174"/>
        <v>0</v>
      </c>
      <c r="L3804" s="563">
        <f t="shared" si="175"/>
        <v>0</v>
      </c>
      <c r="M3804" s="563">
        <f t="shared" si="176"/>
        <v>42.900000000000006</v>
      </c>
      <c r="N3804" s="580"/>
      <c r="O3804" s="558"/>
      <c r="P3804" s="564"/>
    </row>
    <row r="3805" spans="4:16" x14ac:dyDescent="0.25">
      <c r="D3805" s="559" t="s">
        <v>867</v>
      </c>
      <c r="E3805" s="558" t="s">
        <v>1943</v>
      </c>
      <c r="F3805" s="559">
        <v>500166</v>
      </c>
      <c r="G3805" s="558" t="s">
        <v>931</v>
      </c>
      <c r="H3805" s="564">
        <v>40015</v>
      </c>
      <c r="I3805" s="563">
        <v>19.5</v>
      </c>
      <c r="J3805" s="563">
        <v>-19.5</v>
      </c>
      <c r="K3805" s="563">
        <f t="shared" si="174"/>
        <v>0</v>
      </c>
      <c r="L3805" s="563">
        <f t="shared" si="175"/>
        <v>0</v>
      </c>
      <c r="M3805" s="563">
        <f t="shared" si="176"/>
        <v>21.450000000000003</v>
      </c>
      <c r="N3805" s="580"/>
      <c r="O3805" s="558"/>
      <c r="P3805" s="564"/>
    </row>
    <row r="3806" spans="4:16" x14ac:dyDescent="0.25">
      <c r="D3806" s="559" t="s">
        <v>867</v>
      </c>
      <c r="E3806" s="558" t="s">
        <v>1944</v>
      </c>
      <c r="F3806" s="559">
        <v>502253</v>
      </c>
      <c r="G3806" s="558" t="s">
        <v>931</v>
      </c>
      <c r="H3806" s="564">
        <v>40015</v>
      </c>
      <c r="I3806" s="563">
        <v>27.3</v>
      </c>
      <c r="J3806" s="563">
        <v>-27.3</v>
      </c>
      <c r="K3806" s="563">
        <f t="shared" si="174"/>
        <v>0</v>
      </c>
      <c r="L3806" s="563">
        <f t="shared" si="175"/>
        <v>0</v>
      </c>
      <c r="M3806" s="563">
        <f t="shared" si="176"/>
        <v>30.030000000000005</v>
      </c>
      <c r="N3806" s="580"/>
      <c r="O3806" s="558"/>
      <c r="P3806" s="564"/>
    </row>
    <row r="3807" spans="4:16" x14ac:dyDescent="0.25">
      <c r="D3807" s="559" t="s">
        <v>867</v>
      </c>
      <c r="E3807" s="558" t="s">
        <v>1945</v>
      </c>
      <c r="F3807" s="559">
        <v>500177</v>
      </c>
      <c r="G3807" s="558" t="s">
        <v>931</v>
      </c>
      <c r="H3807" s="564">
        <v>40015</v>
      </c>
      <c r="I3807" s="563">
        <v>1801.8</v>
      </c>
      <c r="J3807" s="563">
        <v>-585</v>
      </c>
      <c r="K3807" s="563">
        <f t="shared" si="174"/>
        <v>1216.8</v>
      </c>
      <c r="L3807" s="563">
        <f t="shared" si="175"/>
        <v>1338.48</v>
      </c>
      <c r="M3807" s="563">
        <f t="shared" si="176"/>
        <v>1981.98</v>
      </c>
      <c r="N3807" s="580"/>
      <c r="O3807" s="558"/>
      <c r="P3807" s="564"/>
    </row>
    <row r="3808" spans="4:16" x14ac:dyDescent="0.25">
      <c r="D3808" s="559" t="s">
        <v>867</v>
      </c>
      <c r="E3808" s="558" t="s">
        <v>1946</v>
      </c>
      <c r="F3808" s="559">
        <v>512188</v>
      </c>
      <c r="G3808" s="558" t="s">
        <v>812</v>
      </c>
      <c r="H3808" s="564">
        <v>40015</v>
      </c>
      <c r="I3808" s="563">
        <v>2390.6999999999998</v>
      </c>
      <c r="J3808" s="563">
        <v>-585</v>
      </c>
      <c r="K3808" s="563">
        <f t="shared" si="174"/>
        <v>1805.6999999999998</v>
      </c>
      <c r="L3808" s="563">
        <f t="shared" si="175"/>
        <v>1986.27</v>
      </c>
      <c r="M3808" s="563">
        <f t="shared" si="176"/>
        <v>2629.77</v>
      </c>
      <c r="N3808" s="580"/>
      <c r="O3808" s="558"/>
      <c r="P3808" s="564"/>
    </row>
    <row r="3809" spans="4:16" x14ac:dyDescent="0.25">
      <c r="D3809" s="559" t="s">
        <v>867</v>
      </c>
      <c r="E3809" s="558" t="s">
        <v>1947</v>
      </c>
      <c r="F3809" s="559">
        <v>500095</v>
      </c>
      <c r="G3809" s="558" t="s">
        <v>812</v>
      </c>
      <c r="H3809" s="564">
        <v>40015</v>
      </c>
      <c r="I3809" s="563">
        <v>35.1</v>
      </c>
      <c r="J3809" s="563">
        <v>-35.1</v>
      </c>
      <c r="K3809" s="563">
        <f t="shared" si="174"/>
        <v>0</v>
      </c>
      <c r="L3809" s="563">
        <f t="shared" si="175"/>
        <v>0</v>
      </c>
      <c r="M3809" s="563">
        <f t="shared" si="176"/>
        <v>38.610000000000007</v>
      </c>
      <c r="N3809" s="580"/>
      <c r="O3809" s="558"/>
      <c r="P3809" s="564"/>
    </row>
    <row r="3810" spans="4:16" x14ac:dyDescent="0.25">
      <c r="D3810" s="559" t="s">
        <v>867</v>
      </c>
      <c r="E3810" s="558" t="s">
        <v>1948</v>
      </c>
      <c r="F3810" s="559">
        <v>500095</v>
      </c>
      <c r="G3810" s="558" t="s">
        <v>816</v>
      </c>
      <c r="H3810" s="564">
        <v>40015</v>
      </c>
      <c r="I3810" s="563">
        <v>35.1</v>
      </c>
      <c r="J3810" s="563">
        <v>-35.1</v>
      </c>
      <c r="K3810" s="563">
        <f t="shared" si="174"/>
        <v>0</v>
      </c>
      <c r="L3810" s="563">
        <f t="shared" si="175"/>
        <v>0</v>
      </c>
      <c r="M3810" s="563">
        <f t="shared" si="176"/>
        <v>38.610000000000007</v>
      </c>
      <c r="N3810" s="580"/>
      <c r="O3810" s="558"/>
      <c r="P3810" s="564"/>
    </row>
    <row r="3811" spans="4:16" x14ac:dyDescent="0.25">
      <c r="D3811" s="559" t="s">
        <v>867</v>
      </c>
      <c r="E3811" s="558" t="s">
        <v>2995</v>
      </c>
      <c r="F3811" s="559">
        <v>500977</v>
      </c>
      <c r="G3811" s="558" t="s">
        <v>816</v>
      </c>
      <c r="H3811" s="564">
        <v>40015</v>
      </c>
      <c r="I3811" s="563">
        <v>64.349999999999994</v>
      </c>
      <c r="J3811" s="563">
        <v>-64.349999999999994</v>
      </c>
      <c r="K3811" s="582">
        <f t="shared" si="174"/>
        <v>0</v>
      </c>
      <c r="L3811" s="563">
        <f t="shared" si="175"/>
        <v>0</v>
      </c>
      <c r="M3811" s="563">
        <f t="shared" si="176"/>
        <v>70.784999999999997</v>
      </c>
      <c r="N3811" s="580"/>
    </row>
    <row r="3812" spans="4:16" x14ac:dyDescent="0.25">
      <c r="D3812" s="559" t="s">
        <v>867</v>
      </c>
      <c r="E3812" s="558" t="s">
        <v>2996</v>
      </c>
      <c r="F3812" s="559">
        <v>500978</v>
      </c>
      <c r="G3812" s="558" t="s">
        <v>816</v>
      </c>
      <c r="H3812" s="564">
        <v>40015</v>
      </c>
      <c r="I3812" s="563">
        <v>688.35</v>
      </c>
      <c r="J3812" s="563">
        <v>-585</v>
      </c>
      <c r="K3812" s="582">
        <f t="shared" si="174"/>
        <v>103.35000000000002</v>
      </c>
      <c r="L3812" s="563">
        <f t="shared" si="175"/>
        <v>113.68500000000003</v>
      </c>
      <c r="M3812" s="563">
        <f t="shared" si="176"/>
        <v>757.18500000000006</v>
      </c>
      <c r="N3812" s="580"/>
    </row>
    <row r="3813" spans="4:16" x14ac:dyDescent="0.25">
      <c r="D3813" s="559" t="s">
        <v>867</v>
      </c>
      <c r="E3813" s="558" t="s">
        <v>2997</v>
      </c>
      <c r="F3813" s="559">
        <v>500980</v>
      </c>
      <c r="G3813" s="558" t="s">
        <v>816</v>
      </c>
      <c r="H3813" s="564">
        <v>40015</v>
      </c>
      <c r="I3813" s="563">
        <v>64.349999999999994</v>
      </c>
      <c r="J3813" s="563">
        <v>-64.349999999999994</v>
      </c>
      <c r="K3813" s="582">
        <f t="shared" si="174"/>
        <v>0</v>
      </c>
      <c r="L3813" s="563">
        <f t="shared" si="175"/>
        <v>0</v>
      </c>
      <c r="M3813" s="563">
        <f t="shared" si="176"/>
        <v>70.784999999999997</v>
      </c>
      <c r="N3813" s="580"/>
    </row>
    <row r="3814" spans="4:16" x14ac:dyDescent="0.25">
      <c r="D3814" s="559" t="s">
        <v>867</v>
      </c>
      <c r="E3814" s="558" t="s">
        <v>2998</v>
      </c>
      <c r="F3814" s="559">
        <v>500983</v>
      </c>
      <c r="G3814" s="558" t="s">
        <v>2999</v>
      </c>
      <c r="H3814" s="564">
        <v>40015</v>
      </c>
      <c r="I3814" s="563">
        <v>688.35</v>
      </c>
      <c r="J3814" s="563">
        <v>-585</v>
      </c>
      <c r="K3814" s="582">
        <f t="shared" si="174"/>
        <v>103.35000000000002</v>
      </c>
      <c r="L3814" s="563">
        <f t="shared" si="175"/>
        <v>113.68500000000003</v>
      </c>
      <c r="M3814" s="563">
        <f t="shared" si="176"/>
        <v>757.18500000000006</v>
      </c>
      <c r="N3814" s="580"/>
    </row>
    <row r="3815" spans="4:16" x14ac:dyDescent="0.25">
      <c r="D3815" s="559" t="s">
        <v>867</v>
      </c>
      <c r="E3815" s="558" t="s">
        <v>3000</v>
      </c>
      <c r="F3815" s="559">
        <v>500984</v>
      </c>
      <c r="G3815" s="558" t="s">
        <v>2999</v>
      </c>
      <c r="H3815" s="564">
        <v>40015</v>
      </c>
      <c r="I3815" s="563">
        <v>64.349999999999994</v>
      </c>
      <c r="J3815" s="563">
        <v>-64.349999999999994</v>
      </c>
      <c r="K3815" s="582">
        <f t="shared" si="174"/>
        <v>0</v>
      </c>
      <c r="L3815" s="563">
        <f t="shared" si="175"/>
        <v>0</v>
      </c>
      <c r="M3815" s="563">
        <f t="shared" si="176"/>
        <v>70.784999999999997</v>
      </c>
      <c r="N3815" s="580"/>
    </row>
    <row r="3816" spans="4:16" x14ac:dyDescent="0.25">
      <c r="D3816" s="559" t="s">
        <v>867</v>
      </c>
      <c r="E3816" s="558" t="s">
        <v>3001</v>
      </c>
      <c r="F3816" s="559">
        <v>500985</v>
      </c>
      <c r="G3816" s="558" t="s">
        <v>2999</v>
      </c>
      <c r="H3816" s="564">
        <v>40015</v>
      </c>
      <c r="I3816" s="563">
        <v>64.349999999999994</v>
      </c>
      <c r="J3816" s="563">
        <v>-64.349999999999994</v>
      </c>
      <c r="K3816" s="582">
        <f t="shared" si="174"/>
        <v>0</v>
      </c>
      <c r="L3816" s="563">
        <f t="shared" si="175"/>
        <v>0</v>
      </c>
      <c r="M3816" s="563">
        <f t="shared" si="176"/>
        <v>70.784999999999997</v>
      </c>
      <c r="N3816" s="580"/>
    </row>
    <row r="3817" spans="4:16" x14ac:dyDescent="0.25">
      <c r="D3817" s="559" t="s">
        <v>867</v>
      </c>
      <c r="E3817" s="558" t="s">
        <v>3002</v>
      </c>
      <c r="F3817" s="559">
        <v>500473</v>
      </c>
      <c r="G3817" s="558" t="s">
        <v>2999</v>
      </c>
      <c r="H3817" s="564">
        <v>40015</v>
      </c>
      <c r="I3817" s="563">
        <v>337.35</v>
      </c>
      <c r="J3817" s="563">
        <v>-337.35</v>
      </c>
      <c r="K3817" s="582">
        <f t="shared" ref="K3817:K3880" si="177">+I3817+J3817</f>
        <v>0</v>
      </c>
      <c r="L3817" s="563">
        <f t="shared" ref="L3817:L3880" si="178">+K3817*1.1</f>
        <v>0</v>
      </c>
      <c r="M3817" s="563">
        <f t="shared" ref="M3817:M3880" si="179">+I3817*1.1</f>
        <v>371.08500000000004</v>
      </c>
      <c r="N3817" s="580"/>
    </row>
    <row r="3818" spans="4:16" x14ac:dyDescent="0.25">
      <c r="D3818" s="559" t="s">
        <v>867</v>
      </c>
      <c r="E3818" s="558" t="s">
        <v>3003</v>
      </c>
      <c r="F3818" s="559">
        <v>500474</v>
      </c>
      <c r="G3818" s="558" t="s">
        <v>2999</v>
      </c>
      <c r="H3818" s="564">
        <v>40015</v>
      </c>
      <c r="I3818" s="563">
        <v>688.35</v>
      </c>
      <c r="J3818" s="563">
        <v>-585</v>
      </c>
      <c r="K3818" s="582">
        <f t="shared" si="177"/>
        <v>103.35000000000002</v>
      </c>
      <c r="L3818" s="563">
        <f t="shared" si="178"/>
        <v>113.68500000000003</v>
      </c>
      <c r="M3818" s="563">
        <f t="shared" si="179"/>
        <v>757.18500000000006</v>
      </c>
      <c r="N3818" s="580"/>
    </row>
    <row r="3819" spans="4:16" x14ac:dyDescent="0.25">
      <c r="D3819" s="559" t="s">
        <v>867</v>
      </c>
      <c r="E3819" s="558" t="s">
        <v>3004</v>
      </c>
      <c r="F3819" s="559">
        <v>500475</v>
      </c>
      <c r="G3819" s="558" t="s">
        <v>3005</v>
      </c>
      <c r="H3819" s="564">
        <v>40015</v>
      </c>
      <c r="I3819" s="563">
        <v>688.35</v>
      </c>
      <c r="J3819" s="563">
        <v>-585</v>
      </c>
      <c r="K3819" s="582">
        <f t="shared" si="177"/>
        <v>103.35000000000002</v>
      </c>
      <c r="L3819" s="563">
        <f t="shared" si="178"/>
        <v>113.68500000000003</v>
      </c>
      <c r="M3819" s="563">
        <f t="shared" si="179"/>
        <v>757.18500000000006</v>
      </c>
      <c r="N3819" s="580"/>
    </row>
    <row r="3820" spans="4:16" x14ac:dyDescent="0.25">
      <c r="D3820" s="559" t="s">
        <v>867</v>
      </c>
      <c r="E3820" s="558" t="s">
        <v>3006</v>
      </c>
      <c r="F3820" s="559">
        <v>500988</v>
      </c>
      <c r="G3820" s="558" t="s">
        <v>3005</v>
      </c>
      <c r="H3820" s="564">
        <v>40015</v>
      </c>
      <c r="I3820" s="563">
        <v>688.35</v>
      </c>
      <c r="J3820" s="563">
        <v>-585</v>
      </c>
      <c r="K3820" s="582">
        <f t="shared" si="177"/>
        <v>103.35000000000002</v>
      </c>
      <c r="L3820" s="563">
        <f t="shared" si="178"/>
        <v>113.68500000000003</v>
      </c>
      <c r="M3820" s="563">
        <f t="shared" si="179"/>
        <v>757.18500000000006</v>
      </c>
      <c r="N3820" s="580"/>
    </row>
    <row r="3821" spans="4:16" x14ac:dyDescent="0.25">
      <c r="D3821" s="559" t="s">
        <v>867</v>
      </c>
      <c r="E3821" s="558" t="s">
        <v>3007</v>
      </c>
      <c r="F3821" s="559">
        <v>500989</v>
      </c>
      <c r="G3821" s="558" t="s">
        <v>3005</v>
      </c>
      <c r="H3821" s="564">
        <v>40015</v>
      </c>
      <c r="I3821" s="563">
        <v>688.35</v>
      </c>
      <c r="J3821" s="563">
        <v>-585</v>
      </c>
      <c r="K3821" s="582">
        <f t="shared" si="177"/>
        <v>103.35000000000002</v>
      </c>
      <c r="L3821" s="563">
        <f t="shared" si="178"/>
        <v>113.68500000000003</v>
      </c>
      <c r="M3821" s="563">
        <f t="shared" si="179"/>
        <v>757.18500000000006</v>
      </c>
      <c r="N3821" s="580"/>
    </row>
    <row r="3822" spans="4:16" x14ac:dyDescent="0.25">
      <c r="D3822" s="559" t="s">
        <v>867</v>
      </c>
      <c r="E3822" s="558" t="s">
        <v>3008</v>
      </c>
      <c r="F3822" s="559">
        <v>501008</v>
      </c>
      <c r="G3822" s="558" t="s">
        <v>3005</v>
      </c>
      <c r="H3822" s="564">
        <v>40015</v>
      </c>
      <c r="I3822" s="563">
        <v>25.35</v>
      </c>
      <c r="J3822" s="563">
        <v>-25.35</v>
      </c>
      <c r="K3822" s="582">
        <f t="shared" si="177"/>
        <v>0</v>
      </c>
      <c r="L3822" s="563">
        <f t="shared" si="178"/>
        <v>0</v>
      </c>
      <c r="M3822" s="563">
        <f t="shared" si="179"/>
        <v>27.885000000000005</v>
      </c>
      <c r="N3822" s="580"/>
    </row>
    <row r="3823" spans="4:16" x14ac:dyDescent="0.25">
      <c r="D3823" s="559" t="s">
        <v>867</v>
      </c>
      <c r="E3823" s="558" t="s">
        <v>3009</v>
      </c>
      <c r="F3823" s="559">
        <v>500990</v>
      </c>
      <c r="G3823" s="558" t="s">
        <v>3005</v>
      </c>
      <c r="H3823" s="564">
        <v>40015</v>
      </c>
      <c r="I3823" s="563">
        <v>688.35</v>
      </c>
      <c r="J3823" s="563">
        <v>-585</v>
      </c>
      <c r="K3823" s="582">
        <f t="shared" si="177"/>
        <v>103.35000000000002</v>
      </c>
      <c r="L3823" s="563">
        <f t="shared" si="178"/>
        <v>113.68500000000003</v>
      </c>
      <c r="M3823" s="563">
        <f t="shared" si="179"/>
        <v>757.18500000000006</v>
      </c>
      <c r="N3823" s="580"/>
    </row>
    <row r="3824" spans="4:16" x14ac:dyDescent="0.25">
      <c r="D3824" s="559" t="s">
        <v>867</v>
      </c>
      <c r="E3824" s="558" t="s">
        <v>3010</v>
      </c>
      <c r="F3824" s="559">
        <v>500992</v>
      </c>
      <c r="G3824" s="558" t="s">
        <v>3011</v>
      </c>
      <c r="H3824" s="564">
        <v>40015</v>
      </c>
      <c r="I3824" s="563">
        <v>688.35</v>
      </c>
      <c r="J3824" s="563">
        <v>-585</v>
      </c>
      <c r="K3824" s="582">
        <f t="shared" si="177"/>
        <v>103.35000000000002</v>
      </c>
      <c r="L3824" s="563">
        <f t="shared" si="178"/>
        <v>113.68500000000003</v>
      </c>
      <c r="M3824" s="563">
        <f t="shared" si="179"/>
        <v>757.18500000000006</v>
      </c>
      <c r="N3824" s="580"/>
    </row>
    <row r="3825" spans="4:14" x14ac:dyDescent="0.25">
      <c r="D3825" s="559" t="s">
        <v>867</v>
      </c>
      <c r="E3825" s="558" t="s">
        <v>3012</v>
      </c>
      <c r="F3825" s="559">
        <v>500993</v>
      </c>
      <c r="G3825" s="558" t="s">
        <v>3011</v>
      </c>
      <c r="H3825" s="564">
        <v>40015</v>
      </c>
      <c r="I3825" s="563">
        <v>688.35</v>
      </c>
      <c r="J3825" s="563">
        <v>-585</v>
      </c>
      <c r="K3825" s="582">
        <f t="shared" si="177"/>
        <v>103.35000000000002</v>
      </c>
      <c r="L3825" s="563">
        <f t="shared" si="178"/>
        <v>113.68500000000003</v>
      </c>
      <c r="M3825" s="563">
        <f t="shared" si="179"/>
        <v>757.18500000000006</v>
      </c>
      <c r="N3825" s="580"/>
    </row>
    <row r="3826" spans="4:14" x14ac:dyDescent="0.25">
      <c r="D3826" s="559" t="s">
        <v>867</v>
      </c>
      <c r="E3826" s="558" t="s">
        <v>3013</v>
      </c>
      <c r="F3826" s="559">
        <v>500994</v>
      </c>
      <c r="G3826" s="558" t="s">
        <v>3011</v>
      </c>
      <c r="H3826" s="564">
        <v>40015</v>
      </c>
      <c r="I3826" s="563">
        <v>64.349999999999994</v>
      </c>
      <c r="J3826" s="563">
        <v>-64.349999999999994</v>
      </c>
      <c r="K3826" s="582">
        <f t="shared" si="177"/>
        <v>0</v>
      </c>
      <c r="L3826" s="563">
        <f t="shared" si="178"/>
        <v>0</v>
      </c>
      <c r="M3826" s="563">
        <f t="shared" si="179"/>
        <v>70.784999999999997</v>
      </c>
      <c r="N3826" s="580"/>
    </row>
    <row r="3827" spans="4:14" x14ac:dyDescent="0.25">
      <c r="D3827" s="559" t="s">
        <v>867</v>
      </c>
      <c r="E3827" s="558" t="s">
        <v>3014</v>
      </c>
      <c r="F3827" s="559">
        <v>500996</v>
      </c>
      <c r="G3827" s="558" t="s">
        <v>3011</v>
      </c>
      <c r="H3827" s="564">
        <v>40015</v>
      </c>
      <c r="I3827" s="563">
        <v>64.349999999999994</v>
      </c>
      <c r="J3827" s="563">
        <v>-64.349999999999994</v>
      </c>
      <c r="K3827" s="582">
        <f t="shared" si="177"/>
        <v>0</v>
      </c>
      <c r="L3827" s="563">
        <f t="shared" si="178"/>
        <v>0</v>
      </c>
      <c r="M3827" s="563">
        <f t="shared" si="179"/>
        <v>70.784999999999997</v>
      </c>
      <c r="N3827" s="580"/>
    </row>
    <row r="3828" spans="4:14" x14ac:dyDescent="0.25">
      <c r="D3828" s="559" t="s">
        <v>867</v>
      </c>
      <c r="E3828" s="558" t="s">
        <v>3015</v>
      </c>
      <c r="F3828" s="559">
        <v>500997</v>
      </c>
      <c r="G3828" s="558" t="s">
        <v>3011</v>
      </c>
      <c r="H3828" s="564">
        <v>40015</v>
      </c>
      <c r="I3828" s="563">
        <v>688.35</v>
      </c>
      <c r="J3828" s="563">
        <v>-585</v>
      </c>
      <c r="K3828" s="582">
        <f t="shared" si="177"/>
        <v>103.35000000000002</v>
      </c>
      <c r="L3828" s="563">
        <f t="shared" si="178"/>
        <v>113.68500000000003</v>
      </c>
      <c r="M3828" s="563">
        <f t="shared" si="179"/>
        <v>757.18500000000006</v>
      </c>
      <c r="N3828" s="580"/>
    </row>
    <row r="3829" spans="4:14" x14ac:dyDescent="0.25">
      <c r="D3829" s="559" t="s">
        <v>867</v>
      </c>
      <c r="E3829" s="558" t="s">
        <v>3016</v>
      </c>
      <c r="F3829" s="559">
        <v>501001</v>
      </c>
      <c r="G3829" s="558" t="s">
        <v>3017</v>
      </c>
      <c r="H3829" s="564">
        <v>40015</v>
      </c>
      <c r="I3829" s="563">
        <v>64.349999999999994</v>
      </c>
      <c r="J3829" s="563">
        <v>-64.349999999999994</v>
      </c>
      <c r="K3829" s="582">
        <f t="shared" si="177"/>
        <v>0</v>
      </c>
      <c r="L3829" s="563">
        <f t="shared" si="178"/>
        <v>0</v>
      </c>
      <c r="M3829" s="563">
        <f t="shared" si="179"/>
        <v>70.784999999999997</v>
      </c>
      <c r="N3829" s="580"/>
    </row>
    <row r="3830" spans="4:14" x14ac:dyDescent="0.25">
      <c r="D3830" s="559" t="s">
        <v>867</v>
      </c>
      <c r="E3830" s="558" t="s">
        <v>3018</v>
      </c>
      <c r="F3830" s="559">
        <v>501382</v>
      </c>
      <c r="G3830" s="558" t="s">
        <v>3017</v>
      </c>
      <c r="H3830" s="564">
        <v>40015</v>
      </c>
      <c r="I3830" s="563">
        <v>688.35</v>
      </c>
      <c r="J3830" s="563">
        <v>-585</v>
      </c>
      <c r="K3830" s="582">
        <f t="shared" si="177"/>
        <v>103.35000000000002</v>
      </c>
      <c r="L3830" s="563">
        <f t="shared" si="178"/>
        <v>113.68500000000003</v>
      </c>
      <c r="M3830" s="563">
        <f t="shared" si="179"/>
        <v>757.18500000000006</v>
      </c>
      <c r="N3830" s="580"/>
    </row>
    <row r="3831" spans="4:14" x14ac:dyDescent="0.25">
      <c r="D3831" s="559" t="s">
        <v>867</v>
      </c>
      <c r="E3831" s="558" t="s">
        <v>3019</v>
      </c>
      <c r="F3831" s="559">
        <v>501003</v>
      </c>
      <c r="G3831" s="558" t="s">
        <v>3017</v>
      </c>
      <c r="H3831" s="564">
        <v>40015</v>
      </c>
      <c r="I3831" s="563">
        <v>25.35</v>
      </c>
      <c r="J3831" s="563">
        <v>-25.35</v>
      </c>
      <c r="K3831" s="582">
        <f t="shared" si="177"/>
        <v>0</v>
      </c>
      <c r="L3831" s="563">
        <f t="shared" si="178"/>
        <v>0</v>
      </c>
      <c r="M3831" s="563">
        <f t="shared" si="179"/>
        <v>27.885000000000005</v>
      </c>
      <c r="N3831" s="580"/>
    </row>
    <row r="3832" spans="4:14" x14ac:dyDescent="0.25">
      <c r="D3832" s="559" t="s">
        <v>867</v>
      </c>
      <c r="E3832" s="558" t="s">
        <v>3020</v>
      </c>
      <c r="F3832" s="559">
        <v>501004</v>
      </c>
      <c r="G3832" s="558" t="s">
        <v>3017</v>
      </c>
      <c r="H3832" s="564">
        <v>40015</v>
      </c>
      <c r="I3832" s="563">
        <v>688.35</v>
      </c>
      <c r="J3832" s="563">
        <v>-585</v>
      </c>
      <c r="K3832" s="582">
        <f t="shared" si="177"/>
        <v>103.35000000000002</v>
      </c>
      <c r="L3832" s="563">
        <f t="shared" si="178"/>
        <v>113.68500000000003</v>
      </c>
      <c r="M3832" s="563">
        <f t="shared" si="179"/>
        <v>757.18500000000006</v>
      </c>
      <c r="N3832" s="580"/>
    </row>
    <row r="3833" spans="4:14" x14ac:dyDescent="0.25">
      <c r="D3833" s="559" t="s">
        <v>867</v>
      </c>
      <c r="E3833" s="558" t="s">
        <v>3021</v>
      </c>
      <c r="F3833" s="559">
        <v>501005</v>
      </c>
      <c r="G3833" s="558" t="s">
        <v>3017</v>
      </c>
      <c r="H3833" s="564">
        <v>40015</v>
      </c>
      <c r="I3833" s="563">
        <v>688.35</v>
      </c>
      <c r="J3833" s="563">
        <v>-585</v>
      </c>
      <c r="K3833" s="582">
        <f t="shared" si="177"/>
        <v>103.35000000000002</v>
      </c>
      <c r="L3833" s="563">
        <f t="shared" si="178"/>
        <v>113.68500000000003</v>
      </c>
      <c r="M3833" s="563">
        <f t="shared" si="179"/>
        <v>757.18500000000006</v>
      </c>
      <c r="N3833" s="580"/>
    </row>
    <row r="3834" spans="4:14" x14ac:dyDescent="0.25">
      <c r="D3834" s="559" t="s">
        <v>867</v>
      </c>
      <c r="E3834" s="558" t="s">
        <v>3022</v>
      </c>
      <c r="F3834" s="559">
        <v>501006</v>
      </c>
      <c r="G3834" s="558" t="s">
        <v>3023</v>
      </c>
      <c r="H3834" s="564">
        <v>40015</v>
      </c>
      <c r="I3834" s="563">
        <v>493.35</v>
      </c>
      <c r="J3834" s="563">
        <v>-493.35</v>
      </c>
      <c r="K3834" s="582">
        <f t="shared" si="177"/>
        <v>0</v>
      </c>
      <c r="L3834" s="563">
        <f t="shared" si="178"/>
        <v>0</v>
      </c>
      <c r="M3834" s="563">
        <f t="shared" si="179"/>
        <v>542.68500000000006</v>
      </c>
      <c r="N3834" s="580"/>
    </row>
    <row r="3835" spans="4:14" x14ac:dyDescent="0.25">
      <c r="D3835" s="559" t="s">
        <v>867</v>
      </c>
      <c r="E3835" s="558" t="s">
        <v>3024</v>
      </c>
      <c r="F3835" s="559">
        <v>500488</v>
      </c>
      <c r="G3835" s="558" t="s">
        <v>3023</v>
      </c>
      <c r="H3835" s="564">
        <v>40015</v>
      </c>
      <c r="I3835" s="563">
        <v>220.35</v>
      </c>
      <c r="J3835" s="563">
        <v>-220.35</v>
      </c>
      <c r="K3835" s="582">
        <f t="shared" si="177"/>
        <v>0</v>
      </c>
      <c r="L3835" s="563">
        <f t="shared" si="178"/>
        <v>0</v>
      </c>
      <c r="M3835" s="563">
        <f t="shared" si="179"/>
        <v>242.38500000000002</v>
      </c>
      <c r="N3835" s="580"/>
    </row>
    <row r="3836" spans="4:14" x14ac:dyDescent="0.25">
      <c r="D3836" s="559" t="s">
        <v>867</v>
      </c>
      <c r="E3836" s="558" t="s">
        <v>3025</v>
      </c>
      <c r="F3836" s="559">
        <v>500478</v>
      </c>
      <c r="G3836" s="558" t="s">
        <v>3023</v>
      </c>
      <c r="H3836" s="564">
        <v>40015</v>
      </c>
      <c r="I3836" s="563">
        <v>337.35</v>
      </c>
      <c r="J3836" s="563">
        <v>-337.35</v>
      </c>
      <c r="K3836" s="582">
        <f t="shared" si="177"/>
        <v>0</v>
      </c>
      <c r="L3836" s="563">
        <f t="shared" si="178"/>
        <v>0</v>
      </c>
      <c r="M3836" s="563">
        <f t="shared" si="179"/>
        <v>371.08500000000004</v>
      </c>
      <c r="N3836" s="580"/>
    </row>
    <row r="3837" spans="4:14" x14ac:dyDescent="0.25">
      <c r="D3837" s="559" t="s">
        <v>867</v>
      </c>
      <c r="E3837" s="558" t="s">
        <v>3026</v>
      </c>
      <c r="F3837" s="559">
        <v>500479</v>
      </c>
      <c r="G3837" s="558" t="s">
        <v>3023</v>
      </c>
      <c r="H3837" s="564">
        <v>40015</v>
      </c>
      <c r="I3837" s="563">
        <v>337.35</v>
      </c>
      <c r="J3837" s="563">
        <v>-337.35</v>
      </c>
      <c r="K3837" s="582">
        <f t="shared" si="177"/>
        <v>0</v>
      </c>
      <c r="L3837" s="563">
        <f t="shared" si="178"/>
        <v>0</v>
      </c>
      <c r="M3837" s="563">
        <f t="shared" si="179"/>
        <v>371.08500000000004</v>
      </c>
      <c r="N3837" s="580"/>
    </row>
    <row r="3838" spans="4:14" x14ac:dyDescent="0.25">
      <c r="D3838" s="559" t="s">
        <v>867</v>
      </c>
      <c r="E3838" s="558" t="s">
        <v>3027</v>
      </c>
      <c r="F3838" s="559">
        <v>500480</v>
      </c>
      <c r="G3838" s="558" t="s">
        <v>3023</v>
      </c>
      <c r="H3838" s="564">
        <v>40015</v>
      </c>
      <c r="I3838" s="563">
        <v>688.35</v>
      </c>
      <c r="J3838" s="563">
        <v>-585</v>
      </c>
      <c r="K3838" s="582">
        <f t="shared" si="177"/>
        <v>103.35000000000002</v>
      </c>
      <c r="L3838" s="563">
        <f t="shared" si="178"/>
        <v>113.68500000000003</v>
      </c>
      <c r="M3838" s="563">
        <f t="shared" si="179"/>
        <v>757.18500000000006</v>
      </c>
      <c r="N3838" s="580"/>
    </row>
    <row r="3839" spans="4:14" x14ac:dyDescent="0.25">
      <c r="D3839" s="559" t="s">
        <v>867</v>
      </c>
      <c r="E3839" s="558" t="s">
        <v>3028</v>
      </c>
      <c r="F3839" s="559">
        <v>500482</v>
      </c>
      <c r="G3839" s="558" t="s">
        <v>3029</v>
      </c>
      <c r="H3839" s="564">
        <v>40015</v>
      </c>
      <c r="I3839" s="563">
        <v>337.35</v>
      </c>
      <c r="J3839" s="563">
        <v>-337.35</v>
      </c>
      <c r="K3839" s="582">
        <f t="shared" si="177"/>
        <v>0</v>
      </c>
      <c r="L3839" s="563">
        <f t="shared" si="178"/>
        <v>0</v>
      </c>
      <c r="M3839" s="563">
        <f t="shared" si="179"/>
        <v>371.08500000000004</v>
      </c>
      <c r="N3839" s="580"/>
    </row>
    <row r="3840" spans="4:14" x14ac:dyDescent="0.25">
      <c r="D3840" s="559" t="s">
        <v>867</v>
      </c>
      <c r="E3840" s="558" t="s">
        <v>3030</v>
      </c>
      <c r="F3840" s="559">
        <v>500483</v>
      </c>
      <c r="G3840" s="558" t="s">
        <v>3029</v>
      </c>
      <c r="H3840" s="564">
        <v>40015</v>
      </c>
      <c r="I3840" s="563">
        <v>337.35</v>
      </c>
      <c r="J3840" s="563">
        <v>-337.35</v>
      </c>
      <c r="K3840" s="582">
        <f t="shared" si="177"/>
        <v>0</v>
      </c>
      <c r="L3840" s="563">
        <f t="shared" si="178"/>
        <v>0</v>
      </c>
      <c r="M3840" s="563">
        <f t="shared" si="179"/>
        <v>371.08500000000004</v>
      </c>
      <c r="N3840" s="580"/>
    </row>
    <row r="3841" spans="4:16" x14ac:dyDescent="0.25">
      <c r="D3841" s="559" t="s">
        <v>867</v>
      </c>
      <c r="E3841" s="558" t="s">
        <v>3031</v>
      </c>
      <c r="F3841" s="559">
        <v>500484</v>
      </c>
      <c r="G3841" s="558" t="s">
        <v>3029</v>
      </c>
      <c r="H3841" s="564">
        <v>40015</v>
      </c>
      <c r="I3841" s="563">
        <v>337.35</v>
      </c>
      <c r="J3841" s="563">
        <v>-337.35</v>
      </c>
      <c r="K3841" s="582">
        <f t="shared" si="177"/>
        <v>0</v>
      </c>
      <c r="L3841" s="563">
        <f t="shared" si="178"/>
        <v>0</v>
      </c>
      <c r="M3841" s="563">
        <f t="shared" si="179"/>
        <v>371.08500000000004</v>
      </c>
      <c r="N3841" s="580"/>
    </row>
    <row r="3842" spans="4:16" x14ac:dyDescent="0.25">
      <c r="D3842" s="559" t="s">
        <v>867</v>
      </c>
      <c r="E3842" s="558" t="s">
        <v>3032</v>
      </c>
      <c r="F3842" s="559">
        <v>500217</v>
      </c>
      <c r="G3842" s="558" t="s">
        <v>3029</v>
      </c>
      <c r="H3842" s="564">
        <v>40015</v>
      </c>
      <c r="I3842" s="563">
        <v>337.35</v>
      </c>
      <c r="J3842" s="563">
        <v>-337.35</v>
      </c>
      <c r="K3842" s="582">
        <f t="shared" si="177"/>
        <v>0</v>
      </c>
      <c r="L3842" s="563">
        <f t="shared" si="178"/>
        <v>0</v>
      </c>
      <c r="M3842" s="563">
        <f t="shared" si="179"/>
        <v>371.08500000000004</v>
      </c>
      <c r="N3842" s="580"/>
    </row>
    <row r="3843" spans="4:16" x14ac:dyDescent="0.25">
      <c r="D3843" s="559" t="s">
        <v>867</v>
      </c>
      <c r="E3843" s="558" t="s">
        <v>3033</v>
      </c>
      <c r="F3843" s="559">
        <v>500485</v>
      </c>
      <c r="G3843" s="558" t="s">
        <v>3029</v>
      </c>
      <c r="H3843" s="564">
        <v>40015</v>
      </c>
      <c r="I3843" s="563">
        <v>337.35</v>
      </c>
      <c r="J3843" s="563">
        <v>-337.35</v>
      </c>
      <c r="K3843" s="582">
        <f t="shared" si="177"/>
        <v>0</v>
      </c>
      <c r="L3843" s="563">
        <f t="shared" si="178"/>
        <v>0</v>
      </c>
      <c r="M3843" s="563">
        <f t="shared" si="179"/>
        <v>371.08500000000004</v>
      </c>
      <c r="N3843" s="580"/>
    </row>
    <row r="3844" spans="4:16" x14ac:dyDescent="0.25">
      <c r="D3844" s="559" t="s">
        <v>867</v>
      </c>
      <c r="E3844" s="558" t="s">
        <v>3034</v>
      </c>
      <c r="F3844" s="559">
        <v>500219</v>
      </c>
      <c r="G3844" s="558" t="s">
        <v>3035</v>
      </c>
      <c r="H3844" s="564">
        <v>40015</v>
      </c>
      <c r="I3844" s="563">
        <v>337.35</v>
      </c>
      <c r="J3844" s="563">
        <v>-337.35</v>
      </c>
      <c r="K3844" s="582">
        <f t="shared" si="177"/>
        <v>0</v>
      </c>
      <c r="L3844" s="563">
        <f t="shared" si="178"/>
        <v>0</v>
      </c>
      <c r="M3844" s="563">
        <f t="shared" si="179"/>
        <v>371.08500000000004</v>
      </c>
      <c r="N3844" s="580"/>
    </row>
    <row r="3845" spans="4:16" x14ac:dyDescent="0.25">
      <c r="D3845" s="559" t="s">
        <v>867</v>
      </c>
      <c r="E3845" s="558" t="s">
        <v>3036</v>
      </c>
      <c r="F3845" s="559">
        <v>500486</v>
      </c>
      <c r="G3845" s="558" t="s">
        <v>3035</v>
      </c>
      <c r="H3845" s="564">
        <v>40015</v>
      </c>
      <c r="I3845" s="563">
        <v>259.35000000000002</v>
      </c>
      <c r="J3845" s="563">
        <v>-259.35000000000002</v>
      </c>
      <c r="K3845" s="582">
        <f t="shared" si="177"/>
        <v>0</v>
      </c>
      <c r="L3845" s="563">
        <f t="shared" si="178"/>
        <v>0</v>
      </c>
      <c r="M3845" s="563">
        <f t="shared" si="179"/>
        <v>285.28500000000003</v>
      </c>
      <c r="N3845" s="580"/>
    </row>
    <row r="3846" spans="4:16" x14ac:dyDescent="0.25">
      <c r="D3846" s="559" t="s">
        <v>867</v>
      </c>
      <c r="E3846" s="558" t="s">
        <v>3037</v>
      </c>
      <c r="F3846" s="559">
        <v>500487</v>
      </c>
      <c r="G3846" s="558" t="s">
        <v>3035</v>
      </c>
      <c r="H3846" s="564">
        <v>40015</v>
      </c>
      <c r="I3846" s="563">
        <v>337.35</v>
      </c>
      <c r="J3846" s="563">
        <v>-337.35</v>
      </c>
      <c r="K3846" s="582">
        <f t="shared" si="177"/>
        <v>0</v>
      </c>
      <c r="L3846" s="563">
        <f t="shared" si="178"/>
        <v>0</v>
      </c>
      <c r="M3846" s="563">
        <f t="shared" si="179"/>
        <v>371.08500000000004</v>
      </c>
      <c r="N3846" s="580"/>
    </row>
    <row r="3847" spans="4:16" x14ac:dyDescent="0.25">
      <c r="D3847" s="559" t="s">
        <v>867</v>
      </c>
      <c r="E3847" s="558" t="s">
        <v>3038</v>
      </c>
      <c r="F3847" s="559">
        <v>500488</v>
      </c>
      <c r="G3847" s="558" t="s">
        <v>3035</v>
      </c>
      <c r="H3847" s="564">
        <v>40015</v>
      </c>
      <c r="I3847" s="563">
        <v>337.35</v>
      </c>
      <c r="J3847" s="563">
        <v>-337.35</v>
      </c>
      <c r="K3847" s="582">
        <f t="shared" si="177"/>
        <v>0</v>
      </c>
      <c r="L3847" s="563">
        <f t="shared" si="178"/>
        <v>0</v>
      </c>
      <c r="M3847" s="563">
        <f t="shared" si="179"/>
        <v>371.08500000000004</v>
      </c>
      <c r="N3847" s="580"/>
    </row>
    <row r="3848" spans="4:16" x14ac:dyDescent="0.25">
      <c r="D3848" s="559" t="s">
        <v>867</v>
      </c>
      <c r="E3848" s="558" t="s">
        <v>3039</v>
      </c>
      <c r="F3848" s="559">
        <v>500489</v>
      </c>
      <c r="G3848" s="558" t="s">
        <v>3035</v>
      </c>
      <c r="H3848" s="564">
        <v>40015</v>
      </c>
      <c r="I3848" s="563">
        <v>337.35</v>
      </c>
      <c r="J3848" s="563">
        <v>-337.35</v>
      </c>
      <c r="K3848" s="582">
        <f t="shared" si="177"/>
        <v>0</v>
      </c>
      <c r="L3848" s="563">
        <f t="shared" si="178"/>
        <v>0</v>
      </c>
      <c r="M3848" s="563">
        <f t="shared" si="179"/>
        <v>371.08500000000004</v>
      </c>
      <c r="N3848" s="580"/>
    </row>
    <row r="3849" spans="4:16" x14ac:dyDescent="0.25">
      <c r="D3849" s="559" t="s">
        <v>867</v>
      </c>
      <c r="E3849" s="558" t="s">
        <v>3040</v>
      </c>
      <c r="F3849" s="559">
        <v>500220</v>
      </c>
      <c r="G3849" s="558" t="s">
        <v>3041</v>
      </c>
      <c r="H3849" s="564">
        <v>40015</v>
      </c>
      <c r="I3849" s="563">
        <v>493.35</v>
      </c>
      <c r="J3849" s="563">
        <v>-493.35</v>
      </c>
      <c r="K3849" s="582">
        <f t="shared" si="177"/>
        <v>0</v>
      </c>
      <c r="L3849" s="563">
        <f t="shared" si="178"/>
        <v>0</v>
      </c>
      <c r="M3849" s="563">
        <f t="shared" si="179"/>
        <v>542.68500000000006</v>
      </c>
      <c r="N3849" s="580"/>
    </row>
    <row r="3850" spans="4:16" x14ac:dyDescent="0.25">
      <c r="D3850" s="559" t="s">
        <v>867</v>
      </c>
      <c r="E3850" s="558" t="s">
        <v>3042</v>
      </c>
      <c r="F3850" s="559">
        <v>500490</v>
      </c>
      <c r="G3850" s="558" t="s">
        <v>3041</v>
      </c>
      <c r="H3850" s="564">
        <v>40015</v>
      </c>
      <c r="I3850" s="563">
        <v>337.35</v>
      </c>
      <c r="J3850" s="563">
        <v>-337.35</v>
      </c>
      <c r="K3850" s="582">
        <f t="shared" si="177"/>
        <v>0</v>
      </c>
      <c r="L3850" s="563">
        <f t="shared" si="178"/>
        <v>0</v>
      </c>
      <c r="M3850" s="563">
        <f t="shared" si="179"/>
        <v>371.08500000000004</v>
      </c>
      <c r="N3850" s="580"/>
    </row>
    <row r="3851" spans="4:16" x14ac:dyDescent="0.25">
      <c r="D3851" s="559" t="s">
        <v>867</v>
      </c>
      <c r="E3851" s="558" t="s">
        <v>3043</v>
      </c>
      <c r="F3851" s="559">
        <v>500221</v>
      </c>
      <c r="G3851" s="558" t="s">
        <v>3041</v>
      </c>
      <c r="H3851" s="564">
        <v>40015</v>
      </c>
      <c r="I3851" s="563">
        <v>259.35000000000002</v>
      </c>
      <c r="J3851" s="563">
        <v>-259.35000000000002</v>
      </c>
      <c r="K3851" s="582">
        <f t="shared" si="177"/>
        <v>0</v>
      </c>
      <c r="L3851" s="563">
        <f t="shared" si="178"/>
        <v>0</v>
      </c>
      <c r="M3851" s="563">
        <f t="shared" si="179"/>
        <v>285.28500000000003</v>
      </c>
      <c r="N3851" s="580"/>
    </row>
    <row r="3852" spans="4:16" x14ac:dyDescent="0.25">
      <c r="D3852" s="559" t="s">
        <v>867</v>
      </c>
      <c r="E3852" s="558" t="s">
        <v>3044</v>
      </c>
      <c r="F3852" s="559">
        <v>500222</v>
      </c>
      <c r="G3852" s="558" t="s">
        <v>3041</v>
      </c>
      <c r="H3852" s="564">
        <v>40015</v>
      </c>
      <c r="I3852" s="563">
        <v>259.35000000000002</v>
      </c>
      <c r="J3852" s="563">
        <v>-259.35000000000002</v>
      </c>
      <c r="K3852" s="582">
        <f t="shared" si="177"/>
        <v>0</v>
      </c>
      <c r="L3852" s="563">
        <f t="shared" si="178"/>
        <v>0</v>
      </c>
      <c r="M3852" s="563">
        <f t="shared" si="179"/>
        <v>285.28500000000003</v>
      </c>
      <c r="N3852" s="580"/>
    </row>
    <row r="3853" spans="4:16" x14ac:dyDescent="0.25">
      <c r="D3853" s="559" t="s">
        <v>867</v>
      </c>
      <c r="E3853" s="558" t="s">
        <v>3045</v>
      </c>
      <c r="F3853" s="559">
        <v>500223</v>
      </c>
      <c r="G3853" s="558" t="s">
        <v>3041</v>
      </c>
      <c r="H3853" s="564">
        <v>40015</v>
      </c>
      <c r="I3853" s="563">
        <v>493.35</v>
      </c>
      <c r="J3853" s="563">
        <v>-493.35</v>
      </c>
      <c r="K3853" s="582">
        <f t="shared" si="177"/>
        <v>0</v>
      </c>
      <c r="L3853" s="563">
        <f t="shared" si="178"/>
        <v>0</v>
      </c>
      <c r="M3853" s="563">
        <f t="shared" si="179"/>
        <v>542.68500000000006</v>
      </c>
      <c r="N3853" s="580"/>
    </row>
    <row r="3854" spans="4:16" x14ac:dyDescent="0.25">
      <c r="D3854" s="559" t="s">
        <v>867</v>
      </c>
      <c r="E3854" s="558" t="s">
        <v>1949</v>
      </c>
      <c r="F3854" s="559">
        <v>500224</v>
      </c>
      <c r="G3854" s="558" t="s">
        <v>1950</v>
      </c>
      <c r="H3854" s="564">
        <v>40015</v>
      </c>
      <c r="I3854" s="563">
        <v>493.35</v>
      </c>
      <c r="J3854" s="563">
        <v>-493.35</v>
      </c>
      <c r="K3854" s="563">
        <f t="shared" si="177"/>
        <v>0</v>
      </c>
      <c r="L3854" s="563">
        <f t="shared" si="178"/>
        <v>0</v>
      </c>
      <c r="M3854" s="563">
        <f t="shared" si="179"/>
        <v>542.68500000000006</v>
      </c>
      <c r="N3854" s="580"/>
      <c r="O3854" s="558"/>
      <c r="P3854" s="564"/>
    </row>
    <row r="3855" spans="4:16" x14ac:dyDescent="0.25">
      <c r="D3855" s="559" t="s">
        <v>867</v>
      </c>
      <c r="E3855" s="558" t="s">
        <v>3046</v>
      </c>
      <c r="F3855" s="559">
        <v>500518</v>
      </c>
      <c r="G3855" s="558" t="s">
        <v>1950</v>
      </c>
      <c r="H3855" s="564">
        <v>40015</v>
      </c>
      <c r="I3855" s="563">
        <v>64.349999999999994</v>
      </c>
      <c r="J3855" s="563">
        <v>-64.349999999999994</v>
      </c>
      <c r="K3855" s="582">
        <f t="shared" si="177"/>
        <v>0</v>
      </c>
      <c r="L3855" s="563">
        <f t="shared" si="178"/>
        <v>0</v>
      </c>
      <c r="M3855" s="563">
        <f t="shared" si="179"/>
        <v>70.784999999999997</v>
      </c>
      <c r="N3855" s="580"/>
    </row>
    <row r="3856" spans="4:16" x14ac:dyDescent="0.25">
      <c r="D3856" s="559" t="s">
        <v>867</v>
      </c>
      <c r="E3856" s="558" t="s">
        <v>3047</v>
      </c>
      <c r="F3856" s="559">
        <v>500519</v>
      </c>
      <c r="G3856" s="558" t="s">
        <v>1950</v>
      </c>
      <c r="H3856" s="564">
        <v>40015</v>
      </c>
      <c r="I3856" s="563">
        <v>64.349999999999994</v>
      </c>
      <c r="J3856" s="563">
        <v>-64.349999999999994</v>
      </c>
      <c r="K3856" s="582">
        <f t="shared" si="177"/>
        <v>0</v>
      </c>
      <c r="L3856" s="563">
        <f t="shared" si="178"/>
        <v>0</v>
      </c>
      <c r="M3856" s="563">
        <f t="shared" si="179"/>
        <v>70.784999999999997</v>
      </c>
      <c r="N3856" s="580"/>
    </row>
    <row r="3857" spans="4:14" x14ac:dyDescent="0.25">
      <c r="D3857" s="559" t="s">
        <v>867</v>
      </c>
      <c r="E3857" s="558" t="s">
        <v>3048</v>
      </c>
      <c r="F3857" s="559">
        <v>500520</v>
      </c>
      <c r="G3857" s="558" t="s">
        <v>1950</v>
      </c>
      <c r="H3857" s="564">
        <v>40015</v>
      </c>
      <c r="I3857" s="563">
        <v>64.349999999999994</v>
      </c>
      <c r="J3857" s="563">
        <v>-64.349999999999994</v>
      </c>
      <c r="K3857" s="582">
        <f t="shared" si="177"/>
        <v>0</v>
      </c>
      <c r="L3857" s="563">
        <f t="shared" si="178"/>
        <v>0</v>
      </c>
      <c r="M3857" s="563">
        <f t="shared" si="179"/>
        <v>70.784999999999997</v>
      </c>
      <c r="N3857" s="580"/>
    </row>
    <row r="3858" spans="4:14" x14ac:dyDescent="0.25">
      <c r="D3858" s="559" t="s">
        <v>867</v>
      </c>
      <c r="E3858" s="558" t="s">
        <v>3049</v>
      </c>
      <c r="F3858" s="559">
        <v>500521</v>
      </c>
      <c r="G3858" s="558" t="s">
        <v>1950</v>
      </c>
      <c r="H3858" s="564">
        <v>40015</v>
      </c>
      <c r="I3858" s="563">
        <v>64.349999999999994</v>
      </c>
      <c r="J3858" s="563">
        <v>-64.349999999999994</v>
      </c>
      <c r="K3858" s="582">
        <f t="shared" si="177"/>
        <v>0</v>
      </c>
      <c r="L3858" s="563">
        <f t="shared" si="178"/>
        <v>0</v>
      </c>
      <c r="M3858" s="563">
        <f t="shared" si="179"/>
        <v>70.784999999999997</v>
      </c>
      <c r="N3858" s="580"/>
    </row>
    <row r="3859" spans="4:14" x14ac:dyDescent="0.25">
      <c r="D3859" s="559" t="s">
        <v>867</v>
      </c>
      <c r="E3859" s="558" t="s">
        <v>3050</v>
      </c>
      <c r="F3859" s="559">
        <v>500522</v>
      </c>
      <c r="G3859" s="558" t="s">
        <v>3051</v>
      </c>
      <c r="H3859" s="564">
        <v>40015</v>
      </c>
      <c r="I3859" s="563">
        <v>64.349999999999994</v>
      </c>
      <c r="J3859" s="563">
        <v>-64.349999999999994</v>
      </c>
      <c r="K3859" s="582">
        <f t="shared" si="177"/>
        <v>0</v>
      </c>
      <c r="L3859" s="563">
        <f t="shared" si="178"/>
        <v>0</v>
      </c>
      <c r="M3859" s="563">
        <f t="shared" si="179"/>
        <v>70.784999999999997</v>
      </c>
      <c r="N3859" s="580"/>
    </row>
    <row r="3860" spans="4:14" x14ac:dyDescent="0.25">
      <c r="D3860" s="559" t="s">
        <v>867</v>
      </c>
      <c r="E3860" s="558" t="s">
        <v>3052</v>
      </c>
      <c r="F3860" s="559">
        <v>500523</v>
      </c>
      <c r="G3860" s="558" t="s">
        <v>3051</v>
      </c>
      <c r="H3860" s="564">
        <v>40015</v>
      </c>
      <c r="I3860" s="563">
        <v>64.349999999999994</v>
      </c>
      <c r="J3860" s="563">
        <v>-64.349999999999994</v>
      </c>
      <c r="K3860" s="582">
        <f t="shared" si="177"/>
        <v>0</v>
      </c>
      <c r="L3860" s="563">
        <f t="shared" si="178"/>
        <v>0</v>
      </c>
      <c r="M3860" s="563">
        <f t="shared" si="179"/>
        <v>70.784999999999997</v>
      </c>
      <c r="N3860" s="580"/>
    </row>
    <row r="3861" spans="4:14" x14ac:dyDescent="0.25">
      <c r="D3861" s="559" t="s">
        <v>867</v>
      </c>
      <c r="E3861" s="558" t="s">
        <v>3053</v>
      </c>
      <c r="F3861" s="559">
        <v>500524</v>
      </c>
      <c r="G3861" s="558" t="s">
        <v>3051</v>
      </c>
      <c r="H3861" s="564">
        <v>40015</v>
      </c>
      <c r="I3861" s="563">
        <v>64.349999999999994</v>
      </c>
      <c r="J3861" s="563">
        <v>-64.349999999999994</v>
      </c>
      <c r="K3861" s="582">
        <f t="shared" si="177"/>
        <v>0</v>
      </c>
      <c r="L3861" s="563">
        <f t="shared" si="178"/>
        <v>0</v>
      </c>
      <c r="M3861" s="563">
        <f t="shared" si="179"/>
        <v>70.784999999999997</v>
      </c>
      <c r="N3861" s="580"/>
    </row>
    <row r="3862" spans="4:14" x14ac:dyDescent="0.25">
      <c r="D3862" s="559" t="s">
        <v>867</v>
      </c>
      <c r="E3862" s="558" t="s">
        <v>3054</v>
      </c>
      <c r="F3862" s="559">
        <v>500525</v>
      </c>
      <c r="G3862" s="558" t="s">
        <v>3051</v>
      </c>
      <c r="H3862" s="564">
        <v>40015</v>
      </c>
      <c r="I3862" s="563">
        <v>64.349999999999994</v>
      </c>
      <c r="J3862" s="563">
        <v>-64.349999999999994</v>
      </c>
      <c r="K3862" s="582">
        <f t="shared" si="177"/>
        <v>0</v>
      </c>
      <c r="L3862" s="563">
        <f t="shared" si="178"/>
        <v>0</v>
      </c>
      <c r="M3862" s="563">
        <f t="shared" si="179"/>
        <v>70.784999999999997</v>
      </c>
      <c r="N3862" s="580"/>
    </row>
    <row r="3863" spans="4:14" x14ac:dyDescent="0.25">
      <c r="D3863" s="559" t="s">
        <v>867</v>
      </c>
      <c r="E3863" s="558" t="s">
        <v>3055</v>
      </c>
      <c r="F3863" s="559">
        <v>500526</v>
      </c>
      <c r="G3863" s="558" t="s">
        <v>3051</v>
      </c>
      <c r="H3863" s="564">
        <v>40015</v>
      </c>
      <c r="I3863" s="563">
        <v>64.349999999999994</v>
      </c>
      <c r="J3863" s="563">
        <v>-64.349999999999994</v>
      </c>
      <c r="K3863" s="582">
        <f t="shared" si="177"/>
        <v>0</v>
      </c>
      <c r="L3863" s="563">
        <f t="shared" si="178"/>
        <v>0</v>
      </c>
      <c r="M3863" s="563">
        <f t="shared" si="179"/>
        <v>70.784999999999997</v>
      </c>
      <c r="N3863" s="580"/>
    </row>
    <row r="3864" spans="4:14" x14ac:dyDescent="0.25">
      <c r="D3864" s="559" t="s">
        <v>867</v>
      </c>
      <c r="E3864" s="558" t="s">
        <v>3056</v>
      </c>
      <c r="F3864" s="559">
        <v>500527</v>
      </c>
      <c r="G3864" s="558" t="s">
        <v>3057</v>
      </c>
      <c r="H3864" s="564">
        <v>40015</v>
      </c>
      <c r="I3864" s="563">
        <v>64.349999999999994</v>
      </c>
      <c r="J3864" s="563">
        <v>-64.349999999999994</v>
      </c>
      <c r="K3864" s="582">
        <f t="shared" si="177"/>
        <v>0</v>
      </c>
      <c r="L3864" s="563">
        <f t="shared" si="178"/>
        <v>0</v>
      </c>
      <c r="M3864" s="563">
        <f t="shared" si="179"/>
        <v>70.784999999999997</v>
      </c>
      <c r="N3864" s="580"/>
    </row>
    <row r="3865" spans="4:14" x14ac:dyDescent="0.25">
      <c r="D3865" s="559" t="s">
        <v>867</v>
      </c>
      <c r="E3865" s="558" t="s">
        <v>3058</v>
      </c>
      <c r="F3865" s="559">
        <v>500528</v>
      </c>
      <c r="G3865" s="558" t="s">
        <v>3057</v>
      </c>
      <c r="H3865" s="564">
        <v>40015</v>
      </c>
      <c r="I3865" s="563">
        <v>64.349999999999994</v>
      </c>
      <c r="J3865" s="563">
        <v>-64.349999999999994</v>
      </c>
      <c r="K3865" s="582">
        <f t="shared" si="177"/>
        <v>0</v>
      </c>
      <c r="L3865" s="563">
        <f t="shared" si="178"/>
        <v>0</v>
      </c>
      <c r="M3865" s="563">
        <f t="shared" si="179"/>
        <v>70.784999999999997</v>
      </c>
      <c r="N3865" s="580"/>
    </row>
    <row r="3866" spans="4:14" x14ac:dyDescent="0.25">
      <c r="D3866" s="559" t="s">
        <v>867</v>
      </c>
      <c r="E3866" s="558" t="s">
        <v>3059</v>
      </c>
      <c r="F3866" s="559">
        <v>500529</v>
      </c>
      <c r="G3866" s="558" t="s">
        <v>3057</v>
      </c>
      <c r="H3866" s="564">
        <v>40015</v>
      </c>
      <c r="I3866" s="563">
        <v>688.35</v>
      </c>
      <c r="J3866" s="563">
        <v>-585</v>
      </c>
      <c r="K3866" s="582">
        <f t="shared" si="177"/>
        <v>103.35000000000002</v>
      </c>
      <c r="L3866" s="563">
        <f t="shared" si="178"/>
        <v>113.68500000000003</v>
      </c>
      <c r="M3866" s="563">
        <f t="shared" si="179"/>
        <v>757.18500000000006</v>
      </c>
      <c r="N3866" s="580"/>
    </row>
    <row r="3867" spans="4:14" x14ac:dyDescent="0.25">
      <c r="D3867" s="559" t="s">
        <v>867</v>
      </c>
      <c r="E3867" s="558" t="s">
        <v>3060</v>
      </c>
      <c r="F3867" s="559">
        <v>500530</v>
      </c>
      <c r="G3867" s="558" t="s">
        <v>3057</v>
      </c>
      <c r="H3867" s="564">
        <v>40015</v>
      </c>
      <c r="I3867" s="563">
        <v>64.349999999999994</v>
      </c>
      <c r="J3867" s="563">
        <v>-64.349999999999994</v>
      </c>
      <c r="K3867" s="582">
        <f t="shared" si="177"/>
        <v>0</v>
      </c>
      <c r="L3867" s="563">
        <f t="shared" si="178"/>
        <v>0</v>
      </c>
      <c r="M3867" s="563">
        <f t="shared" si="179"/>
        <v>70.784999999999997</v>
      </c>
      <c r="N3867" s="580"/>
    </row>
    <row r="3868" spans="4:14" x14ac:dyDescent="0.25">
      <c r="D3868" s="559" t="s">
        <v>867</v>
      </c>
      <c r="E3868" s="558" t="s">
        <v>3061</v>
      </c>
      <c r="F3868" s="559">
        <v>500531</v>
      </c>
      <c r="G3868" s="558" t="s">
        <v>3057</v>
      </c>
      <c r="H3868" s="564">
        <v>40015</v>
      </c>
      <c r="I3868" s="563">
        <v>298.35000000000002</v>
      </c>
      <c r="J3868" s="563">
        <v>-298.35000000000002</v>
      </c>
      <c r="K3868" s="582">
        <f t="shared" si="177"/>
        <v>0</v>
      </c>
      <c r="L3868" s="563">
        <f t="shared" si="178"/>
        <v>0</v>
      </c>
      <c r="M3868" s="563">
        <f t="shared" si="179"/>
        <v>328.18500000000006</v>
      </c>
      <c r="N3868" s="580"/>
    </row>
    <row r="3869" spans="4:14" x14ac:dyDescent="0.25">
      <c r="D3869" s="559" t="s">
        <v>867</v>
      </c>
      <c r="E3869" s="558" t="s">
        <v>3062</v>
      </c>
      <c r="F3869" s="559">
        <v>500532</v>
      </c>
      <c r="G3869" s="558" t="s">
        <v>3063</v>
      </c>
      <c r="H3869" s="564">
        <v>40015</v>
      </c>
      <c r="I3869" s="563">
        <v>64.349999999999994</v>
      </c>
      <c r="J3869" s="563">
        <v>-64.349999999999994</v>
      </c>
      <c r="K3869" s="582">
        <f t="shared" si="177"/>
        <v>0</v>
      </c>
      <c r="L3869" s="563">
        <f t="shared" si="178"/>
        <v>0</v>
      </c>
      <c r="M3869" s="563">
        <f t="shared" si="179"/>
        <v>70.784999999999997</v>
      </c>
      <c r="N3869" s="580"/>
    </row>
    <row r="3870" spans="4:14" x14ac:dyDescent="0.25">
      <c r="D3870" s="559" t="s">
        <v>867</v>
      </c>
      <c r="E3870" s="558" t="s">
        <v>3064</v>
      </c>
      <c r="F3870" s="559">
        <v>500533</v>
      </c>
      <c r="G3870" s="558" t="s">
        <v>3063</v>
      </c>
      <c r="H3870" s="564">
        <v>40015</v>
      </c>
      <c r="I3870" s="563">
        <v>25.35</v>
      </c>
      <c r="J3870" s="563">
        <v>-25.35</v>
      </c>
      <c r="K3870" s="582">
        <f t="shared" si="177"/>
        <v>0</v>
      </c>
      <c r="L3870" s="563">
        <f t="shared" si="178"/>
        <v>0</v>
      </c>
      <c r="M3870" s="563">
        <f t="shared" si="179"/>
        <v>27.885000000000005</v>
      </c>
      <c r="N3870" s="580"/>
    </row>
    <row r="3871" spans="4:14" x14ac:dyDescent="0.25">
      <c r="D3871" s="559" t="s">
        <v>867</v>
      </c>
      <c r="E3871" s="558" t="s">
        <v>3065</v>
      </c>
      <c r="F3871" s="559">
        <v>500534</v>
      </c>
      <c r="G3871" s="558" t="s">
        <v>3063</v>
      </c>
      <c r="H3871" s="564">
        <v>40015</v>
      </c>
      <c r="I3871" s="563">
        <v>64.349999999999994</v>
      </c>
      <c r="J3871" s="563">
        <v>-64.349999999999994</v>
      </c>
      <c r="K3871" s="582">
        <f t="shared" si="177"/>
        <v>0</v>
      </c>
      <c r="L3871" s="563">
        <f t="shared" si="178"/>
        <v>0</v>
      </c>
      <c r="M3871" s="563">
        <f t="shared" si="179"/>
        <v>70.784999999999997</v>
      </c>
      <c r="N3871" s="580"/>
    </row>
    <row r="3872" spans="4:14" x14ac:dyDescent="0.25">
      <c r="D3872" s="559" t="s">
        <v>867</v>
      </c>
      <c r="E3872" s="558" t="s">
        <v>3066</v>
      </c>
      <c r="F3872" s="559">
        <v>500535</v>
      </c>
      <c r="G3872" s="558" t="s">
        <v>3063</v>
      </c>
      <c r="H3872" s="564">
        <v>40015</v>
      </c>
      <c r="I3872" s="563">
        <v>64.349999999999994</v>
      </c>
      <c r="J3872" s="563">
        <v>-64.349999999999994</v>
      </c>
      <c r="K3872" s="582">
        <f t="shared" si="177"/>
        <v>0</v>
      </c>
      <c r="L3872" s="563">
        <f t="shared" si="178"/>
        <v>0</v>
      </c>
      <c r="M3872" s="563">
        <f t="shared" si="179"/>
        <v>70.784999999999997</v>
      </c>
      <c r="N3872" s="580"/>
    </row>
    <row r="3873" spans="4:14" x14ac:dyDescent="0.25">
      <c r="D3873" s="559" t="s">
        <v>867</v>
      </c>
      <c r="E3873" s="558" t="s">
        <v>3067</v>
      </c>
      <c r="F3873" s="559">
        <v>500536</v>
      </c>
      <c r="G3873" s="558" t="s">
        <v>3063</v>
      </c>
      <c r="H3873" s="564">
        <v>40015</v>
      </c>
      <c r="I3873" s="563">
        <v>64.349999999999994</v>
      </c>
      <c r="J3873" s="563">
        <v>-64.349999999999994</v>
      </c>
      <c r="K3873" s="582">
        <f t="shared" si="177"/>
        <v>0</v>
      </c>
      <c r="L3873" s="563">
        <f t="shared" si="178"/>
        <v>0</v>
      </c>
      <c r="M3873" s="563">
        <f t="shared" si="179"/>
        <v>70.784999999999997</v>
      </c>
      <c r="N3873" s="580"/>
    </row>
    <row r="3874" spans="4:14" x14ac:dyDescent="0.25">
      <c r="D3874" s="559" t="s">
        <v>867</v>
      </c>
      <c r="E3874" s="558" t="s">
        <v>3068</v>
      </c>
      <c r="F3874" s="559">
        <v>500537</v>
      </c>
      <c r="G3874" s="558" t="s">
        <v>3069</v>
      </c>
      <c r="H3874" s="564">
        <v>40015</v>
      </c>
      <c r="I3874" s="563">
        <v>64.349999999999994</v>
      </c>
      <c r="J3874" s="563">
        <v>-64.349999999999994</v>
      </c>
      <c r="K3874" s="582">
        <f t="shared" si="177"/>
        <v>0</v>
      </c>
      <c r="L3874" s="563">
        <f t="shared" si="178"/>
        <v>0</v>
      </c>
      <c r="M3874" s="563">
        <f t="shared" si="179"/>
        <v>70.784999999999997</v>
      </c>
      <c r="N3874" s="580"/>
    </row>
    <row r="3875" spans="4:14" x14ac:dyDescent="0.25">
      <c r="D3875" s="559" t="s">
        <v>867</v>
      </c>
      <c r="E3875" s="558" t="s">
        <v>3070</v>
      </c>
      <c r="F3875" s="559">
        <v>500538</v>
      </c>
      <c r="G3875" s="558" t="s">
        <v>3069</v>
      </c>
      <c r="H3875" s="564">
        <v>40015</v>
      </c>
      <c r="I3875" s="563">
        <v>64.349999999999994</v>
      </c>
      <c r="J3875" s="563">
        <v>-64.349999999999994</v>
      </c>
      <c r="K3875" s="582">
        <f t="shared" si="177"/>
        <v>0</v>
      </c>
      <c r="L3875" s="563">
        <f t="shared" si="178"/>
        <v>0</v>
      </c>
      <c r="M3875" s="563">
        <f t="shared" si="179"/>
        <v>70.784999999999997</v>
      </c>
      <c r="N3875" s="580"/>
    </row>
    <row r="3876" spans="4:14" x14ac:dyDescent="0.25">
      <c r="D3876" s="559" t="s">
        <v>867</v>
      </c>
      <c r="E3876" s="558" t="s">
        <v>3071</v>
      </c>
      <c r="F3876" s="559">
        <v>500539</v>
      </c>
      <c r="G3876" s="558" t="s">
        <v>3069</v>
      </c>
      <c r="H3876" s="564">
        <v>40015</v>
      </c>
      <c r="I3876" s="563">
        <v>64.349999999999994</v>
      </c>
      <c r="J3876" s="563">
        <v>-64.349999999999994</v>
      </c>
      <c r="K3876" s="582">
        <f t="shared" si="177"/>
        <v>0</v>
      </c>
      <c r="L3876" s="563">
        <f t="shared" si="178"/>
        <v>0</v>
      </c>
      <c r="M3876" s="563">
        <f t="shared" si="179"/>
        <v>70.784999999999997</v>
      </c>
      <c r="N3876" s="580"/>
    </row>
    <row r="3877" spans="4:14" x14ac:dyDescent="0.25">
      <c r="D3877" s="559" t="s">
        <v>867</v>
      </c>
      <c r="E3877" s="558" t="s">
        <v>3072</v>
      </c>
      <c r="F3877" s="559">
        <v>500540</v>
      </c>
      <c r="G3877" s="558" t="s">
        <v>3069</v>
      </c>
      <c r="H3877" s="564">
        <v>40015</v>
      </c>
      <c r="I3877" s="563">
        <v>64.349999999999994</v>
      </c>
      <c r="J3877" s="563">
        <v>-64.349999999999994</v>
      </c>
      <c r="K3877" s="582">
        <f t="shared" si="177"/>
        <v>0</v>
      </c>
      <c r="L3877" s="563">
        <f t="shared" si="178"/>
        <v>0</v>
      </c>
      <c r="M3877" s="563">
        <f t="shared" si="179"/>
        <v>70.784999999999997</v>
      </c>
      <c r="N3877" s="580"/>
    </row>
    <row r="3878" spans="4:14" x14ac:dyDescent="0.25">
      <c r="D3878" s="559" t="s">
        <v>867</v>
      </c>
      <c r="E3878" s="558" t="s">
        <v>3073</v>
      </c>
      <c r="F3878" s="559">
        <v>500541</v>
      </c>
      <c r="G3878" s="558" t="s">
        <v>3069</v>
      </c>
      <c r="H3878" s="564">
        <v>40015</v>
      </c>
      <c r="I3878" s="563">
        <v>220.35</v>
      </c>
      <c r="J3878" s="563">
        <v>-220.35</v>
      </c>
      <c r="K3878" s="582">
        <f t="shared" si="177"/>
        <v>0</v>
      </c>
      <c r="L3878" s="563">
        <f t="shared" si="178"/>
        <v>0</v>
      </c>
      <c r="M3878" s="563">
        <f t="shared" si="179"/>
        <v>242.38500000000002</v>
      </c>
      <c r="N3878" s="580"/>
    </row>
    <row r="3879" spans="4:14" x14ac:dyDescent="0.25">
      <c r="D3879" s="559" t="s">
        <v>867</v>
      </c>
      <c r="E3879" s="558" t="s">
        <v>3074</v>
      </c>
      <c r="F3879" s="559">
        <v>500541</v>
      </c>
      <c r="G3879" s="558" t="s">
        <v>3075</v>
      </c>
      <c r="H3879" s="564">
        <v>40015</v>
      </c>
      <c r="I3879" s="563">
        <v>64.349999999999994</v>
      </c>
      <c r="J3879" s="563">
        <v>-64.349999999999994</v>
      </c>
      <c r="K3879" s="582">
        <f t="shared" si="177"/>
        <v>0</v>
      </c>
      <c r="L3879" s="563">
        <f t="shared" si="178"/>
        <v>0</v>
      </c>
      <c r="M3879" s="563">
        <f t="shared" si="179"/>
        <v>70.784999999999997</v>
      </c>
      <c r="N3879" s="580"/>
    </row>
    <row r="3880" spans="4:14" x14ac:dyDescent="0.25">
      <c r="D3880" s="559" t="s">
        <v>867</v>
      </c>
      <c r="E3880" s="558" t="s">
        <v>3076</v>
      </c>
      <c r="F3880" s="559">
        <v>500542</v>
      </c>
      <c r="G3880" s="558" t="s">
        <v>3075</v>
      </c>
      <c r="H3880" s="564">
        <v>40015</v>
      </c>
      <c r="I3880" s="563">
        <v>64.349999999999994</v>
      </c>
      <c r="J3880" s="563">
        <v>-64.349999999999994</v>
      </c>
      <c r="K3880" s="582">
        <f t="shared" si="177"/>
        <v>0</v>
      </c>
      <c r="L3880" s="563">
        <f t="shared" si="178"/>
        <v>0</v>
      </c>
      <c r="M3880" s="563">
        <f t="shared" si="179"/>
        <v>70.784999999999997</v>
      </c>
      <c r="N3880" s="580"/>
    </row>
    <row r="3881" spans="4:14" x14ac:dyDescent="0.25">
      <c r="D3881" s="559" t="s">
        <v>867</v>
      </c>
      <c r="E3881" s="558" t="s">
        <v>3077</v>
      </c>
      <c r="F3881" s="559">
        <v>500543</v>
      </c>
      <c r="G3881" s="558" t="s">
        <v>3075</v>
      </c>
      <c r="H3881" s="564">
        <v>40015</v>
      </c>
      <c r="I3881" s="563">
        <v>64.349999999999994</v>
      </c>
      <c r="J3881" s="563">
        <v>-64.349999999999994</v>
      </c>
      <c r="K3881" s="582">
        <f t="shared" ref="K3881:K3944" si="180">+I3881+J3881</f>
        <v>0</v>
      </c>
      <c r="L3881" s="563">
        <f t="shared" ref="L3881:L3944" si="181">+K3881*1.1</f>
        <v>0</v>
      </c>
      <c r="M3881" s="563">
        <f t="shared" ref="M3881:M3944" si="182">+I3881*1.1</f>
        <v>70.784999999999997</v>
      </c>
      <c r="N3881" s="580"/>
    </row>
    <row r="3882" spans="4:14" x14ac:dyDescent="0.25">
      <c r="D3882" s="559" t="s">
        <v>867</v>
      </c>
      <c r="E3882" s="558" t="s">
        <v>3078</v>
      </c>
      <c r="F3882" s="559">
        <v>500544</v>
      </c>
      <c r="G3882" s="558" t="s">
        <v>3075</v>
      </c>
      <c r="H3882" s="564">
        <v>40015</v>
      </c>
      <c r="I3882" s="563">
        <v>64.349999999999994</v>
      </c>
      <c r="J3882" s="563">
        <v>-64.349999999999994</v>
      </c>
      <c r="K3882" s="582">
        <f t="shared" si="180"/>
        <v>0</v>
      </c>
      <c r="L3882" s="563">
        <f t="shared" si="181"/>
        <v>0</v>
      </c>
      <c r="M3882" s="563">
        <f t="shared" si="182"/>
        <v>70.784999999999997</v>
      </c>
      <c r="N3882" s="580"/>
    </row>
    <row r="3883" spans="4:14" x14ac:dyDescent="0.25">
      <c r="D3883" s="559" t="s">
        <v>867</v>
      </c>
      <c r="E3883" s="558" t="s">
        <v>3079</v>
      </c>
      <c r="F3883" s="559">
        <v>500545</v>
      </c>
      <c r="G3883" s="558" t="s">
        <v>3075</v>
      </c>
      <c r="H3883" s="564">
        <v>40015</v>
      </c>
      <c r="I3883" s="563">
        <v>64.349999999999994</v>
      </c>
      <c r="J3883" s="563">
        <v>-64.349999999999994</v>
      </c>
      <c r="K3883" s="582">
        <f t="shared" si="180"/>
        <v>0</v>
      </c>
      <c r="L3883" s="563">
        <f t="shared" si="181"/>
        <v>0</v>
      </c>
      <c r="M3883" s="563">
        <f t="shared" si="182"/>
        <v>70.784999999999997</v>
      </c>
      <c r="N3883" s="580"/>
    </row>
    <row r="3884" spans="4:14" x14ac:dyDescent="0.25">
      <c r="D3884" s="559" t="s">
        <v>867</v>
      </c>
      <c r="E3884" s="558" t="s">
        <v>3080</v>
      </c>
      <c r="F3884" s="559">
        <v>500546</v>
      </c>
      <c r="G3884" s="558" t="s">
        <v>3081</v>
      </c>
      <c r="H3884" s="564">
        <v>40015</v>
      </c>
      <c r="I3884" s="563">
        <v>64.349999999999994</v>
      </c>
      <c r="J3884" s="563">
        <v>-64.349999999999994</v>
      </c>
      <c r="K3884" s="582">
        <f t="shared" si="180"/>
        <v>0</v>
      </c>
      <c r="L3884" s="563">
        <f t="shared" si="181"/>
        <v>0</v>
      </c>
      <c r="M3884" s="563">
        <f t="shared" si="182"/>
        <v>70.784999999999997</v>
      </c>
      <c r="N3884" s="580"/>
    </row>
    <row r="3885" spans="4:14" x14ac:dyDescent="0.25">
      <c r="D3885" s="559" t="s">
        <v>867</v>
      </c>
      <c r="E3885" s="558" t="s">
        <v>3082</v>
      </c>
      <c r="F3885" s="559">
        <v>500547</v>
      </c>
      <c r="G3885" s="558" t="s">
        <v>3081</v>
      </c>
      <c r="H3885" s="564">
        <v>40015</v>
      </c>
      <c r="I3885" s="563">
        <v>64.349999999999994</v>
      </c>
      <c r="J3885" s="563">
        <v>-64.349999999999994</v>
      </c>
      <c r="K3885" s="582">
        <f t="shared" si="180"/>
        <v>0</v>
      </c>
      <c r="L3885" s="563">
        <f t="shared" si="181"/>
        <v>0</v>
      </c>
      <c r="M3885" s="563">
        <f t="shared" si="182"/>
        <v>70.784999999999997</v>
      </c>
      <c r="N3885" s="580"/>
    </row>
    <row r="3886" spans="4:14" x14ac:dyDescent="0.25">
      <c r="D3886" s="559" t="s">
        <v>867</v>
      </c>
      <c r="E3886" s="558" t="s">
        <v>3083</v>
      </c>
      <c r="F3886" s="559">
        <v>500548</v>
      </c>
      <c r="G3886" s="558" t="s">
        <v>3081</v>
      </c>
      <c r="H3886" s="564">
        <v>40015</v>
      </c>
      <c r="I3886" s="563">
        <v>64.349999999999994</v>
      </c>
      <c r="J3886" s="563">
        <v>-64.349999999999994</v>
      </c>
      <c r="K3886" s="582">
        <f t="shared" si="180"/>
        <v>0</v>
      </c>
      <c r="L3886" s="563">
        <f t="shared" si="181"/>
        <v>0</v>
      </c>
      <c r="M3886" s="563">
        <f t="shared" si="182"/>
        <v>70.784999999999997</v>
      </c>
      <c r="N3886" s="580"/>
    </row>
    <row r="3887" spans="4:14" x14ac:dyDescent="0.25">
      <c r="D3887" s="559" t="s">
        <v>867</v>
      </c>
      <c r="E3887" s="558" t="s">
        <v>3084</v>
      </c>
      <c r="F3887" s="559">
        <v>500549</v>
      </c>
      <c r="G3887" s="558" t="s">
        <v>3081</v>
      </c>
      <c r="H3887" s="564">
        <v>40015</v>
      </c>
      <c r="I3887" s="563">
        <v>64.349999999999994</v>
      </c>
      <c r="J3887" s="563">
        <v>-64.349999999999994</v>
      </c>
      <c r="K3887" s="582">
        <f t="shared" si="180"/>
        <v>0</v>
      </c>
      <c r="L3887" s="563">
        <f t="shared" si="181"/>
        <v>0</v>
      </c>
      <c r="M3887" s="563">
        <f t="shared" si="182"/>
        <v>70.784999999999997</v>
      </c>
      <c r="N3887" s="580"/>
    </row>
    <row r="3888" spans="4:14" x14ac:dyDescent="0.25">
      <c r="D3888" s="559" t="s">
        <v>867</v>
      </c>
      <c r="E3888" s="558" t="s">
        <v>3085</v>
      </c>
      <c r="F3888" s="559">
        <v>500550</v>
      </c>
      <c r="G3888" s="558" t="s">
        <v>3081</v>
      </c>
      <c r="H3888" s="564">
        <v>40015</v>
      </c>
      <c r="I3888" s="563">
        <v>64.349999999999994</v>
      </c>
      <c r="J3888" s="563">
        <v>-64.349999999999994</v>
      </c>
      <c r="K3888" s="582">
        <f t="shared" si="180"/>
        <v>0</v>
      </c>
      <c r="L3888" s="563">
        <f t="shared" si="181"/>
        <v>0</v>
      </c>
      <c r="M3888" s="563">
        <f t="shared" si="182"/>
        <v>70.784999999999997</v>
      </c>
      <c r="N3888" s="580"/>
    </row>
    <row r="3889" spans="4:14" x14ac:dyDescent="0.25">
      <c r="D3889" s="559" t="s">
        <v>867</v>
      </c>
      <c r="E3889" s="558" t="s">
        <v>3086</v>
      </c>
      <c r="F3889" s="559">
        <v>500551</v>
      </c>
      <c r="G3889" s="558" t="s">
        <v>3087</v>
      </c>
      <c r="H3889" s="564">
        <v>40015</v>
      </c>
      <c r="I3889" s="563">
        <v>64.349999999999994</v>
      </c>
      <c r="J3889" s="563">
        <v>-64.349999999999994</v>
      </c>
      <c r="K3889" s="582">
        <f t="shared" si="180"/>
        <v>0</v>
      </c>
      <c r="L3889" s="563">
        <f t="shared" si="181"/>
        <v>0</v>
      </c>
      <c r="M3889" s="563">
        <f t="shared" si="182"/>
        <v>70.784999999999997</v>
      </c>
      <c r="N3889" s="580"/>
    </row>
    <row r="3890" spans="4:14" x14ac:dyDescent="0.25">
      <c r="D3890" s="559" t="s">
        <v>867</v>
      </c>
      <c r="E3890" s="558" t="s">
        <v>3088</v>
      </c>
      <c r="F3890" s="559">
        <v>500552</v>
      </c>
      <c r="G3890" s="558" t="s">
        <v>3087</v>
      </c>
      <c r="H3890" s="564">
        <v>40015</v>
      </c>
      <c r="I3890" s="563">
        <v>64.349999999999994</v>
      </c>
      <c r="J3890" s="563">
        <v>-64.349999999999994</v>
      </c>
      <c r="K3890" s="582">
        <f t="shared" si="180"/>
        <v>0</v>
      </c>
      <c r="L3890" s="563">
        <f t="shared" si="181"/>
        <v>0</v>
      </c>
      <c r="M3890" s="563">
        <f t="shared" si="182"/>
        <v>70.784999999999997</v>
      </c>
      <c r="N3890" s="580"/>
    </row>
    <row r="3891" spans="4:14" x14ac:dyDescent="0.25">
      <c r="D3891" s="559" t="s">
        <v>867</v>
      </c>
      <c r="E3891" s="558" t="s">
        <v>3089</v>
      </c>
      <c r="F3891" s="559">
        <v>500553</v>
      </c>
      <c r="G3891" s="558" t="s">
        <v>3087</v>
      </c>
      <c r="H3891" s="564">
        <v>40015</v>
      </c>
      <c r="I3891" s="563">
        <v>64.349999999999994</v>
      </c>
      <c r="J3891" s="563">
        <v>-64.349999999999994</v>
      </c>
      <c r="K3891" s="582">
        <f t="shared" si="180"/>
        <v>0</v>
      </c>
      <c r="L3891" s="563">
        <f t="shared" si="181"/>
        <v>0</v>
      </c>
      <c r="M3891" s="563">
        <f t="shared" si="182"/>
        <v>70.784999999999997</v>
      </c>
      <c r="N3891" s="580"/>
    </row>
    <row r="3892" spans="4:14" x14ac:dyDescent="0.25">
      <c r="D3892" s="559" t="s">
        <v>867</v>
      </c>
      <c r="E3892" s="558" t="s">
        <v>3090</v>
      </c>
      <c r="F3892" s="559">
        <v>500554</v>
      </c>
      <c r="G3892" s="558" t="s">
        <v>3087</v>
      </c>
      <c r="H3892" s="564">
        <v>40015</v>
      </c>
      <c r="I3892" s="563">
        <v>64.349999999999994</v>
      </c>
      <c r="J3892" s="563">
        <v>-64.349999999999994</v>
      </c>
      <c r="K3892" s="582">
        <f t="shared" si="180"/>
        <v>0</v>
      </c>
      <c r="L3892" s="563">
        <f t="shared" si="181"/>
        <v>0</v>
      </c>
      <c r="M3892" s="563">
        <f t="shared" si="182"/>
        <v>70.784999999999997</v>
      </c>
      <c r="N3892" s="580"/>
    </row>
    <row r="3893" spans="4:14" x14ac:dyDescent="0.25">
      <c r="D3893" s="559" t="s">
        <v>867</v>
      </c>
      <c r="E3893" s="558" t="s">
        <v>3091</v>
      </c>
      <c r="F3893" s="559">
        <v>502164</v>
      </c>
      <c r="G3893" s="558" t="s">
        <v>3087</v>
      </c>
      <c r="H3893" s="564">
        <v>40015</v>
      </c>
      <c r="I3893" s="563">
        <v>688.35</v>
      </c>
      <c r="J3893" s="563">
        <v>-585</v>
      </c>
      <c r="K3893" s="582">
        <f t="shared" si="180"/>
        <v>103.35000000000002</v>
      </c>
      <c r="L3893" s="563">
        <f t="shared" si="181"/>
        <v>113.68500000000003</v>
      </c>
      <c r="M3893" s="563">
        <f t="shared" si="182"/>
        <v>757.18500000000006</v>
      </c>
      <c r="N3893" s="580"/>
    </row>
    <row r="3894" spans="4:14" x14ac:dyDescent="0.25">
      <c r="D3894" s="559" t="s">
        <v>867</v>
      </c>
      <c r="E3894" s="558" t="s">
        <v>3092</v>
      </c>
      <c r="F3894" s="559">
        <v>500556</v>
      </c>
      <c r="G3894" s="558" t="s">
        <v>3093</v>
      </c>
      <c r="H3894" s="564">
        <v>40015</v>
      </c>
      <c r="I3894" s="563">
        <v>688.35</v>
      </c>
      <c r="J3894" s="563">
        <v>-585</v>
      </c>
      <c r="K3894" s="582">
        <f t="shared" si="180"/>
        <v>103.35000000000002</v>
      </c>
      <c r="L3894" s="563">
        <f t="shared" si="181"/>
        <v>113.68500000000003</v>
      </c>
      <c r="M3894" s="563">
        <f t="shared" si="182"/>
        <v>757.18500000000006</v>
      </c>
      <c r="N3894" s="580"/>
    </row>
    <row r="3895" spans="4:14" x14ac:dyDescent="0.25">
      <c r="D3895" s="559" t="s">
        <v>867</v>
      </c>
      <c r="E3895" s="558" t="s">
        <v>3094</v>
      </c>
      <c r="F3895" s="559">
        <v>500557</v>
      </c>
      <c r="G3895" s="558" t="s">
        <v>3093</v>
      </c>
      <c r="H3895" s="564">
        <v>40015</v>
      </c>
      <c r="I3895" s="563">
        <v>64.349999999999994</v>
      </c>
      <c r="J3895" s="563">
        <v>-64.349999999999994</v>
      </c>
      <c r="K3895" s="582">
        <f t="shared" si="180"/>
        <v>0</v>
      </c>
      <c r="L3895" s="563">
        <f t="shared" si="181"/>
        <v>0</v>
      </c>
      <c r="M3895" s="563">
        <f t="shared" si="182"/>
        <v>70.784999999999997</v>
      </c>
      <c r="N3895" s="580"/>
    </row>
    <row r="3896" spans="4:14" x14ac:dyDescent="0.25">
      <c r="D3896" s="559" t="s">
        <v>867</v>
      </c>
      <c r="E3896" s="558" t="s">
        <v>3095</v>
      </c>
      <c r="F3896" s="559">
        <v>500558</v>
      </c>
      <c r="G3896" s="558" t="s">
        <v>3093</v>
      </c>
      <c r="H3896" s="564">
        <v>40015</v>
      </c>
      <c r="I3896" s="563">
        <v>64.349999999999994</v>
      </c>
      <c r="J3896" s="563">
        <v>-64.349999999999994</v>
      </c>
      <c r="K3896" s="582">
        <f t="shared" si="180"/>
        <v>0</v>
      </c>
      <c r="L3896" s="563">
        <f t="shared" si="181"/>
        <v>0</v>
      </c>
      <c r="M3896" s="563">
        <f t="shared" si="182"/>
        <v>70.784999999999997</v>
      </c>
      <c r="N3896" s="580"/>
    </row>
    <row r="3897" spans="4:14" x14ac:dyDescent="0.25">
      <c r="D3897" s="559" t="s">
        <v>867</v>
      </c>
      <c r="E3897" s="558" t="s">
        <v>3096</v>
      </c>
      <c r="F3897" s="559">
        <v>500559</v>
      </c>
      <c r="G3897" s="558" t="s">
        <v>3093</v>
      </c>
      <c r="H3897" s="564">
        <v>40015</v>
      </c>
      <c r="I3897" s="563">
        <v>64.349999999999994</v>
      </c>
      <c r="J3897" s="563">
        <v>-64.349999999999994</v>
      </c>
      <c r="K3897" s="582">
        <f t="shared" si="180"/>
        <v>0</v>
      </c>
      <c r="L3897" s="563">
        <f t="shared" si="181"/>
        <v>0</v>
      </c>
      <c r="M3897" s="563">
        <f t="shared" si="182"/>
        <v>70.784999999999997</v>
      </c>
      <c r="N3897" s="580"/>
    </row>
    <row r="3898" spans="4:14" x14ac:dyDescent="0.25">
      <c r="D3898" s="559" t="s">
        <v>867</v>
      </c>
      <c r="E3898" s="558" t="s">
        <v>3097</v>
      </c>
      <c r="F3898" s="559">
        <v>500560</v>
      </c>
      <c r="G3898" s="558" t="s">
        <v>3093</v>
      </c>
      <c r="H3898" s="564">
        <v>40015</v>
      </c>
      <c r="I3898" s="563">
        <v>64.349999999999994</v>
      </c>
      <c r="J3898" s="563">
        <v>-64.349999999999994</v>
      </c>
      <c r="K3898" s="582">
        <f t="shared" si="180"/>
        <v>0</v>
      </c>
      <c r="L3898" s="563">
        <f t="shared" si="181"/>
        <v>0</v>
      </c>
      <c r="M3898" s="563">
        <f t="shared" si="182"/>
        <v>70.784999999999997</v>
      </c>
      <c r="N3898" s="580"/>
    </row>
    <row r="3899" spans="4:14" x14ac:dyDescent="0.25">
      <c r="D3899" s="559" t="s">
        <v>867</v>
      </c>
      <c r="E3899" s="558" t="s">
        <v>3098</v>
      </c>
      <c r="F3899" s="559">
        <v>500561</v>
      </c>
      <c r="G3899" s="558" t="s">
        <v>3099</v>
      </c>
      <c r="H3899" s="564">
        <v>40015</v>
      </c>
      <c r="I3899" s="563">
        <v>64.349999999999994</v>
      </c>
      <c r="J3899" s="563">
        <v>-64.349999999999994</v>
      </c>
      <c r="K3899" s="582">
        <f t="shared" si="180"/>
        <v>0</v>
      </c>
      <c r="L3899" s="563">
        <f t="shared" si="181"/>
        <v>0</v>
      </c>
      <c r="M3899" s="563">
        <f t="shared" si="182"/>
        <v>70.784999999999997</v>
      </c>
      <c r="N3899" s="580"/>
    </row>
    <row r="3900" spans="4:14" x14ac:dyDescent="0.25">
      <c r="D3900" s="559" t="s">
        <v>867</v>
      </c>
      <c r="E3900" s="558" t="s">
        <v>3100</v>
      </c>
      <c r="F3900" s="559">
        <v>500562</v>
      </c>
      <c r="G3900" s="558" t="s">
        <v>3099</v>
      </c>
      <c r="H3900" s="564">
        <v>40015</v>
      </c>
      <c r="I3900" s="563">
        <v>64.349999999999994</v>
      </c>
      <c r="J3900" s="563">
        <v>-64.349999999999994</v>
      </c>
      <c r="K3900" s="582">
        <f t="shared" si="180"/>
        <v>0</v>
      </c>
      <c r="L3900" s="563">
        <f t="shared" si="181"/>
        <v>0</v>
      </c>
      <c r="M3900" s="563">
        <f t="shared" si="182"/>
        <v>70.784999999999997</v>
      </c>
      <c r="N3900" s="580"/>
    </row>
    <row r="3901" spans="4:14" x14ac:dyDescent="0.25">
      <c r="D3901" s="559" t="s">
        <v>867</v>
      </c>
      <c r="E3901" s="558" t="s">
        <v>3101</v>
      </c>
      <c r="F3901" s="559">
        <v>500563</v>
      </c>
      <c r="G3901" s="558" t="s">
        <v>3099</v>
      </c>
      <c r="H3901" s="564">
        <v>40015</v>
      </c>
      <c r="I3901" s="563">
        <v>64.349999999999994</v>
      </c>
      <c r="J3901" s="563">
        <v>-64.349999999999994</v>
      </c>
      <c r="K3901" s="582">
        <f t="shared" si="180"/>
        <v>0</v>
      </c>
      <c r="L3901" s="563">
        <f t="shared" si="181"/>
        <v>0</v>
      </c>
      <c r="M3901" s="563">
        <f t="shared" si="182"/>
        <v>70.784999999999997</v>
      </c>
      <c r="N3901" s="580"/>
    </row>
    <row r="3902" spans="4:14" x14ac:dyDescent="0.25">
      <c r="D3902" s="559" t="s">
        <v>867</v>
      </c>
      <c r="E3902" s="558" t="s">
        <v>3102</v>
      </c>
      <c r="F3902" s="559">
        <v>500564</v>
      </c>
      <c r="G3902" s="558" t="s">
        <v>3099</v>
      </c>
      <c r="H3902" s="564">
        <v>40015</v>
      </c>
      <c r="I3902" s="563">
        <v>64.349999999999994</v>
      </c>
      <c r="J3902" s="563">
        <v>-64.349999999999994</v>
      </c>
      <c r="K3902" s="582">
        <f t="shared" si="180"/>
        <v>0</v>
      </c>
      <c r="L3902" s="563">
        <f t="shared" si="181"/>
        <v>0</v>
      </c>
      <c r="M3902" s="563">
        <f t="shared" si="182"/>
        <v>70.784999999999997</v>
      </c>
      <c r="N3902" s="580"/>
    </row>
    <row r="3903" spans="4:14" x14ac:dyDescent="0.25">
      <c r="D3903" s="559" t="s">
        <v>867</v>
      </c>
      <c r="E3903" s="558" t="s">
        <v>3103</v>
      </c>
      <c r="F3903" s="559">
        <v>500565</v>
      </c>
      <c r="G3903" s="558" t="s">
        <v>3099</v>
      </c>
      <c r="H3903" s="564">
        <v>40015</v>
      </c>
      <c r="I3903" s="563">
        <v>64.349999999999994</v>
      </c>
      <c r="J3903" s="563">
        <v>-64.349999999999994</v>
      </c>
      <c r="K3903" s="582">
        <f t="shared" si="180"/>
        <v>0</v>
      </c>
      <c r="L3903" s="563">
        <f t="shared" si="181"/>
        <v>0</v>
      </c>
      <c r="M3903" s="563">
        <f t="shared" si="182"/>
        <v>70.784999999999997</v>
      </c>
      <c r="N3903" s="580"/>
    </row>
    <row r="3904" spans="4:14" x14ac:dyDescent="0.25">
      <c r="D3904" s="559" t="s">
        <v>867</v>
      </c>
      <c r="E3904" s="558" t="s">
        <v>3104</v>
      </c>
      <c r="F3904" s="559">
        <v>500566</v>
      </c>
      <c r="G3904" s="558" t="s">
        <v>3105</v>
      </c>
      <c r="H3904" s="564">
        <v>40015</v>
      </c>
      <c r="I3904" s="563">
        <v>64.349999999999994</v>
      </c>
      <c r="J3904" s="563">
        <v>-64.349999999999994</v>
      </c>
      <c r="K3904" s="582">
        <f t="shared" si="180"/>
        <v>0</v>
      </c>
      <c r="L3904" s="563">
        <f t="shared" si="181"/>
        <v>0</v>
      </c>
      <c r="M3904" s="563">
        <f t="shared" si="182"/>
        <v>70.784999999999997</v>
      </c>
      <c r="N3904" s="580"/>
    </row>
    <row r="3905" spans="4:16" x14ac:dyDescent="0.25">
      <c r="D3905" s="559" t="s">
        <v>867</v>
      </c>
      <c r="E3905" s="558" t="s">
        <v>3106</v>
      </c>
      <c r="F3905" s="559">
        <v>500567</v>
      </c>
      <c r="G3905" s="558" t="s">
        <v>3105</v>
      </c>
      <c r="H3905" s="564">
        <v>40015</v>
      </c>
      <c r="I3905" s="563">
        <v>64.349999999999994</v>
      </c>
      <c r="J3905" s="563">
        <v>-64.349999999999994</v>
      </c>
      <c r="K3905" s="582">
        <f t="shared" si="180"/>
        <v>0</v>
      </c>
      <c r="L3905" s="563">
        <f t="shared" si="181"/>
        <v>0</v>
      </c>
      <c r="M3905" s="563">
        <f t="shared" si="182"/>
        <v>70.784999999999997</v>
      </c>
      <c r="N3905" s="580"/>
    </row>
    <row r="3906" spans="4:16" x14ac:dyDescent="0.25">
      <c r="D3906" s="559" t="s">
        <v>867</v>
      </c>
      <c r="E3906" s="558" t="s">
        <v>3107</v>
      </c>
      <c r="F3906" s="559">
        <v>500568</v>
      </c>
      <c r="G3906" s="558" t="s">
        <v>3105</v>
      </c>
      <c r="H3906" s="564">
        <v>40015</v>
      </c>
      <c r="I3906" s="563">
        <v>64.349999999999994</v>
      </c>
      <c r="J3906" s="563">
        <v>-64.349999999999994</v>
      </c>
      <c r="K3906" s="582">
        <f t="shared" si="180"/>
        <v>0</v>
      </c>
      <c r="L3906" s="563">
        <f t="shared" si="181"/>
        <v>0</v>
      </c>
      <c r="M3906" s="563">
        <f t="shared" si="182"/>
        <v>70.784999999999997</v>
      </c>
      <c r="N3906" s="580"/>
    </row>
    <row r="3907" spans="4:16" x14ac:dyDescent="0.25">
      <c r="D3907" s="559" t="s">
        <v>867</v>
      </c>
      <c r="E3907" s="558" t="s">
        <v>3108</v>
      </c>
      <c r="F3907" s="559">
        <v>500569</v>
      </c>
      <c r="G3907" s="558" t="s">
        <v>3105</v>
      </c>
      <c r="H3907" s="564">
        <v>40015</v>
      </c>
      <c r="I3907" s="563">
        <v>64.349999999999994</v>
      </c>
      <c r="J3907" s="563">
        <v>-64.349999999999994</v>
      </c>
      <c r="K3907" s="582">
        <f t="shared" si="180"/>
        <v>0</v>
      </c>
      <c r="L3907" s="563">
        <f t="shared" si="181"/>
        <v>0</v>
      </c>
      <c r="M3907" s="563">
        <f t="shared" si="182"/>
        <v>70.784999999999997</v>
      </c>
      <c r="N3907" s="580"/>
    </row>
    <row r="3908" spans="4:16" x14ac:dyDescent="0.25">
      <c r="D3908" s="559" t="s">
        <v>867</v>
      </c>
      <c r="E3908" s="558" t="s">
        <v>3109</v>
      </c>
      <c r="F3908" s="559">
        <v>502200</v>
      </c>
      <c r="G3908" s="558" t="s">
        <v>3105</v>
      </c>
      <c r="H3908" s="564">
        <v>40015</v>
      </c>
      <c r="I3908" s="563">
        <v>64.349999999999994</v>
      </c>
      <c r="J3908" s="563">
        <v>-64.349999999999994</v>
      </c>
      <c r="K3908" s="582">
        <f t="shared" si="180"/>
        <v>0</v>
      </c>
      <c r="L3908" s="563">
        <f t="shared" si="181"/>
        <v>0</v>
      </c>
      <c r="M3908" s="563">
        <f t="shared" si="182"/>
        <v>70.784999999999997</v>
      </c>
      <c r="N3908" s="580"/>
    </row>
    <row r="3909" spans="4:16" x14ac:dyDescent="0.25">
      <c r="D3909" s="559" t="s">
        <v>867</v>
      </c>
      <c r="E3909" s="558" t="s">
        <v>3110</v>
      </c>
      <c r="F3909" s="559">
        <v>500570</v>
      </c>
      <c r="G3909" s="558" t="s">
        <v>3111</v>
      </c>
      <c r="H3909" s="564">
        <v>40015</v>
      </c>
      <c r="I3909" s="563">
        <v>64.349999999999994</v>
      </c>
      <c r="J3909" s="563">
        <v>-64.349999999999994</v>
      </c>
      <c r="K3909" s="582">
        <f t="shared" si="180"/>
        <v>0</v>
      </c>
      <c r="L3909" s="563">
        <f t="shared" si="181"/>
        <v>0</v>
      </c>
      <c r="M3909" s="563">
        <f t="shared" si="182"/>
        <v>70.784999999999997</v>
      </c>
      <c r="N3909" s="580"/>
    </row>
    <row r="3910" spans="4:16" x14ac:dyDescent="0.25">
      <c r="D3910" s="559" t="s">
        <v>867</v>
      </c>
      <c r="E3910" s="558" t="s">
        <v>3112</v>
      </c>
      <c r="F3910" s="559">
        <v>500571</v>
      </c>
      <c r="G3910" s="558" t="s">
        <v>3111</v>
      </c>
      <c r="H3910" s="564">
        <v>40015</v>
      </c>
      <c r="I3910" s="563">
        <v>64.349999999999994</v>
      </c>
      <c r="J3910" s="563">
        <v>-64.349999999999994</v>
      </c>
      <c r="K3910" s="582">
        <f t="shared" si="180"/>
        <v>0</v>
      </c>
      <c r="L3910" s="563">
        <f t="shared" si="181"/>
        <v>0</v>
      </c>
      <c r="M3910" s="563">
        <f t="shared" si="182"/>
        <v>70.784999999999997</v>
      </c>
      <c r="N3910" s="580"/>
    </row>
    <row r="3911" spans="4:16" x14ac:dyDescent="0.25">
      <c r="D3911" s="559" t="s">
        <v>867</v>
      </c>
      <c r="E3911" s="558" t="s">
        <v>3113</v>
      </c>
      <c r="F3911" s="559">
        <v>701851</v>
      </c>
      <c r="G3911" s="558" t="s">
        <v>3114</v>
      </c>
      <c r="H3911" s="564">
        <v>40015</v>
      </c>
      <c r="I3911" s="563">
        <v>727.35</v>
      </c>
      <c r="J3911" s="563">
        <v>-585</v>
      </c>
      <c r="K3911" s="582">
        <f t="shared" si="180"/>
        <v>142.35000000000002</v>
      </c>
      <c r="L3911" s="563">
        <f t="shared" si="181"/>
        <v>156.58500000000004</v>
      </c>
      <c r="M3911" s="563">
        <f t="shared" si="182"/>
        <v>800.08500000000004</v>
      </c>
      <c r="N3911" s="580"/>
    </row>
    <row r="3912" spans="4:16" x14ac:dyDescent="0.25">
      <c r="D3912" s="559" t="s">
        <v>867</v>
      </c>
      <c r="E3912" s="558" t="s">
        <v>3115</v>
      </c>
      <c r="F3912" s="559">
        <v>701831</v>
      </c>
      <c r="G3912" s="558" t="s">
        <v>3116</v>
      </c>
      <c r="H3912" s="564">
        <v>40015</v>
      </c>
      <c r="I3912" s="563">
        <v>727.35</v>
      </c>
      <c r="J3912" s="563">
        <v>-585</v>
      </c>
      <c r="K3912" s="582">
        <f t="shared" si="180"/>
        <v>142.35000000000002</v>
      </c>
      <c r="L3912" s="563">
        <f t="shared" si="181"/>
        <v>156.58500000000004</v>
      </c>
      <c r="M3912" s="563">
        <f t="shared" si="182"/>
        <v>800.08500000000004</v>
      </c>
      <c r="N3912" s="580"/>
    </row>
    <row r="3913" spans="4:16" x14ac:dyDescent="0.25">
      <c r="D3913" s="559" t="s">
        <v>867</v>
      </c>
      <c r="E3913" s="558" t="s">
        <v>1951</v>
      </c>
      <c r="F3913" s="559">
        <v>701746</v>
      </c>
      <c r="G3913" s="558" t="s">
        <v>1952</v>
      </c>
      <c r="H3913" s="564">
        <v>40015</v>
      </c>
      <c r="I3913" s="563">
        <v>727.35</v>
      </c>
      <c r="J3913" s="563">
        <v>-585</v>
      </c>
      <c r="K3913" s="563">
        <f t="shared" si="180"/>
        <v>142.35000000000002</v>
      </c>
      <c r="L3913" s="563">
        <f t="shared" si="181"/>
        <v>156.58500000000004</v>
      </c>
      <c r="M3913" s="563">
        <f t="shared" si="182"/>
        <v>800.08500000000004</v>
      </c>
      <c r="N3913" s="580"/>
      <c r="O3913" s="558"/>
      <c r="P3913" s="564"/>
    </row>
    <row r="3914" spans="4:16" x14ac:dyDescent="0.25">
      <c r="D3914" s="559" t="s">
        <v>867</v>
      </c>
      <c r="E3914" s="558" t="s">
        <v>3117</v>
      </c>
      <c r="F3914" s="559">
        <v>701739</v>
      </c>
      <c r="G3914" s="558" t="s">
        <v>1954</v>
      </c>
      <c r="H3914" s="564">
        <v>40015</v>
      </c>
      <c r="I3914" s="563">
        <v>727.35</v>
      </c>
      <c r="J3914" s="563">
        <v>-585</v>
      </c>
      <c r="K3914" s="582">
        <f t="shared" si="180"/>
        <v>142.35000000000002</v>
      </c>
      <c r="L3914" s="563">
        <f t="shared" si="181"/>
        <v>156.58500000000004</v>
      </c>
      <c r="M3914" s="563">
        <f t="shared" si="182"/>
        <v>800.08500000000004</v>
      </c>
      <c r="N3914" s="580"/>
    </row>
    <row r="3915" spans="4:16" x14ac:dyDescent="0.25">
      <c r="D3915" s="559" t="s">
        <v>867</v>
      </c>
      <c r="E3915" s="558" t="s">
        <v>3118</v>
      </c>
      <c r="F3915" s="559">
        <v>701735</v>
      </c>
      <c r="G3915" s="558" t="s">
        <v>1954</v>
      </c>
      <c r="H3915" s="564">
        <v>40015</v>
      </c>
      <c r="I3915" s="563">
        <v>64.349999999999994</v>
      </c>
      <c r="J3915" s="563">
        <v>-64.349999999999994</v>
      </c>
      <c r="K3915" s="582">
        <f t="shared" si="180"/>
        <v>0</v>
      </c>
      <c r="L3915" s="563">
        <f t="shared" si="181"/>
        <v>0</v>
      </c>
      <c r="M3915" s="563">
        <f t="shared" si="182"/>
        <v>70.784999999999997</v>
      </c>
      <c r="N3915" s="580"/>
    </row>
    <row r="3916" spans="4:16" x14ac:dyDescent="0.25">
      <c r="D3916" s="559" t="s">
        <v>867</v>
      </c>
      <c r="E3916" s="558" t="s">
        <v>1953</v>
      </c>
      <c r="F3916" s="559">
        <v>701747</v>
      </c>
      <c r="G3916" s="558" t="s">
        <v>1954</v>
      </c>
      <c r="H3916" s="564">
        <v>40015</v>
      </c>
      <c r="I3916" s="563">
        <v>64.349999999999994</v>
      </c>
      <c r="J3916" s="563">
        <v>-64.349999999999994</v>
      </c>
      <c r="K3916" s="563">
        <f t="shared" si="180"/>
        <v>0</v>
      </c>
      <c r="L3916" s="563">
        <f t="shared" si="181"/>
        <v>0</v>
      </c>
      <c r="M3916" s="563">
        <f t="shared" si="182"/>
        <v>70.784999999999997</v>
      </c>
      <c r="N3916" s="580"/>
      <c r="O3916" s="558"/>
      <c r="P3916" s="564"/>
    </row>
    <row r="3917" spans="4:16" x14ac:dyDescent="0.25">
      <c r="D3917" s="559" t="s">
        <v>867</v>
      </c>
      <c r="E3917" s="558" t="s">
        <v>3119</v>
      </c>
      <c r="F3917" s="559">
        <v>701748</v>
      </c>
      <c r="G3917" s="558" t="s">
        <v>1954</v>
      </c>
      <c r="H3917" s="564">
        <v>40015</v>
      </c>
      <c r="I3917" s="563">
        <v>64.349999999999994</v>
      </c>
      <c r="J3917" s="563">
        <v>-64.349999999999994</v>
      </c>
      <c r="K3917" s="582">
        <f t="shared" si="180"/>
        <v>0</v>
      </c>
      <c r="L3917" s="563">
        <f t="shared" si="181"/>
        <v>0</v>
      </c>
      <c r="M3917" s="563">
        <f t="shared" si="182"/>
        <v>70.784999999999997</v>
      </c>
      <c r="N3917" s="580"/>
    </row>
    <row r="3918" spans="4:16" x14ac:dyDescent="0.25">
      <c r="D3918" s="559" t="s">
        <v>867</v>
      </c>
      <c r="E3918" s="558" t="s">
        <v>3120</v>
      </c>
      <c r="F3918" s="559">
        <v>701749</v>
      </c>
      <c r="G3918" s="558" t="s">
        <v>1954</v>
      </c>
      <c r="H3918" s="564">
        <v>40015</v>
      </c>
      <c r="I3918" s="563">
        <v>64.349999999999994</v>
      </c>
      <c r="J3918" s="563">
        <v>-64.349999999999994</v>
      </c>
      <c r="K3918" s="582">
        <f t="shared" si="180"/>
        <v>0</v>
      </c>
      <c r="L3918" s="563">
        <f t="shared" si="181"/>
        <v>0</v>
      </c>
      <c r="M3918" s="563">
        <f t="shared" si="182"/>
        <v>70.784999999999997</v>
      </c>
      <c r="N3918" s="580"/>
    </row>
    <row r="3919" spans="4:16" x14ac:dyDescent="0.25">
      <c r="D3919" s="559" t="s">
        <v>867</v>
      </c>
      <c r="E3919" s="558" t="s">
        <v>3121</v>
      </c>
      <c r="F3919" s="559">
        <v>701750</v>
      </c>
      <c r="G3919" s="558" t="s">
        <v>3122</v>
      </c>
      <c r="H3919" s="564">
        <v>40015</v>
      </c>
      <c r="I3919" s="563">
        <v>64.349999999999994</v>
      </c>
      <c r="J3919" s="563">
        <v>-64.349999999999994</v>
      </c>
      <c r="K3919" s="582">
        <f t="shared" si="180"/>
        <v>0</v>
      </c>
      <c r="L3919" s="563">
        <f t="shared" si="181"/>
        <v>0</v>
      </c>
      <c r="M3919" s="563">
        <f t="shared" si="182"/>
        <v>70.784999999999997</v>
      </c>
      <c r="N3919" s="580"/>
    </row>
    <row r="3920" spans="4:16" x14ac:dyDescent="0.25">
      <c r="D3920" s="559" t="s">
        <v>867</v>
      </c>
      <c r="E3920" s="558" t="s">
        <v>3123</v>
      </c>
      <c r="F3920" s="559">
        <v>701898</v>
      </c>
      <c r="G3920" s="558" t="s">
        <v>3122</v>
      </c>
      <c r="H3920" s="564">
        <v>40015</v>
      </c>
      <c r="I3920" s="563">
        <v>64.349999999999994</v>
      </c>
      <c r="J3920" s="563">
        <v>-64.349999999999994</v>
      </c>
      <c r="K3920" s="582">
        <f t="shared" si="180"/>
        <v>0</v>
      </c>
      <c r="L3920" s="563">
        <f t="shared" si="181"/>
        <v>0</v>
      </c>
      <c r="M3920" s="563">
        <f t="shared" si="182"/>
        <v>70.784999999999997</v>
      </c>
      <c r="N3920" s="580"/>
    </row>
    <row r="3921" spans="4:16" x14ac:dyDescent="0.25">
      <c r="D3921" s="559" t="s">
        <v>867</v>
      </c>
      <c r="E3921" s="558" t="s">
        <v>3124</v>
      </c>
      <c r="F3921" s="559">
        <v>701899</v>
      </c>
      <c r="G3921" s="558" t="s">
        <v>3122</v>
      </c>
      <c r="H3921" s="564">
        <v>40015</v>
      </c>
      <c r="I3921" s="563">
        <v>64.349999999999994</v>
      </c>
      <c r="J3921" s="563">
        <v>-64.349999999999994</v>
      </c>
      <c r="K3921" s="582">
        <f t="shared" si="180"/>
        <v>0</v>
      </c>
      <c r="L3921" s="563">
        <f t="shared" si="181"/>
        <v>0</v>
      </c>
      <c r="M3921" s="563">
        <f t="shared" si="182"/>
        <v>70.784999999999997</v>
      </c>
      <c r="N3921" s="580"/>
    </row>
    <row r="3922" spans="4:16" x14ac:dyDescent="0.25">
      <c r="D3922" s="559" t="s">
        <v>867</v>
      </c>
      <c r="E3922" s="558" t="s">
        <v>3125</v>
      </c>
      <c r="F3922" s="559">
        <v>701752</v>
      </c>
      <c r="G3922" s="558" t="s">
        <v>3122</v>
      </c>
      <c r="H3922" s="564">
        <v>40015</v>
      </c>
      <c r="I3922" s="563">
        <v>64.349999999999994</v>
      </c>
      <c r="J3922" s="563">
        <v>-64.349999999999994</v>
      </c>
      <c r="K3922" s="582">
        <f t="shared" si="180"/>
        <v>0</v>
      </c>
      <c r="L3922" s="563">
        <f t="shared" si="181"/>
        <v>0</v>
      </c>
      <c r="M3922" s="563">
        <f t="shared" si="182"/>
        <v>70.784999999999997</v>
      </c>
      <c r="N3922" s="580"/>
    </row>
    <row r="3923" spans="4:16" x14ac:dyDescent="0.25">
      <c r="D3923" s="559" t="s">
        <v>867</v>
      </c>
      <c r="E3923" s="558" t="s">
        <v>3126</v>
      </c>
      <c r="F3923" s="559">
        <v>701753</v>
      </c>
      <c r="G3923" s="558" t="s">
        <v>3122</v>
      </c>
      <c r="H3923" s="564">
        <v>40015</v>
      </c>
      <c r="I3923" s="563">
        <v>64.349999999999994</v>
      </c>
      <c r="J3923" s="563">
        <v>-64.349999999999994</v>
      </c>
      <c r="K3923" s="582">
        <f t="shared" si="180"/>
        <v>0</v>
      </c>
      <c r="L3923" s="563">
        <f t="shared" si="181"/>
        <v>0</v>
      </c>
      <c r="M3923" s="563">
        <f t="shared" si="182"/>
        <v>70.784999999999997</v>
      </c>
      <c r="N3923" s="580"/>
    </row>
    <row r="3924" spans="4:16" x14ac:dyDescent="0.25">
      <c r="D3924" s="559" t="s">
        <v>867</v>
      </c>
      <c r="E3924" s="558" t="s">
        <v>3127</v>
      </c>
      <c r="F3924" s="559">
        <v>701754</v>
      </c>
      <c r="G3924" s="558" t="s">
        <v>3128</v>
      </c>
      <c r="H3924" s="564">
        <v>40015</v>
      </c>
      <c r="I3924" s="563">
        <v>64.349999999999994</v>
      </c>
      <c r="J3924" s="563">
        <v>-64.349999999999994</v>
      </c>
      <c r="K3924" s="582">
        <f t="shared" si="180"/>
        <v>0</v>
      </c>
      <c r="L3924" s="563">
        <f t="shared" si="181"/>
        <v>0</v>
      </c>
      <c r="M3924" s="563">
        <f t="shared" si="182"/>
        <v>70.784999999999997</v>
      </c>
      <c r="N3924" s="580"/>
    </row>
    <row r="3925" spans="4:16" x14ac:dyDescent="0.25">
      <c r="D3925" s="559" t="s">
        <v>867</v>
      </c>
      <c r="E3925" s="558" t="s">
        <v>3129</v>
      </c>
      <c r="F3925" s="559">
        <v>702037</v>
      </c>
      <c r="G3925" s="558" t="s">
        <v>3128</v>
      </c>
      <c r="H3925" s="564">
        <v>40015</v>
      </c>
      <c r="I3925" s="563">
        <v>64.349999999999994</v>
      </c>
      <c r="J3925" s="563">
        <v>-64.349999999999994</v>
      </c>
      <c r="K3925" s="582">
        <f t="shared" si="180"/>
        <v>0</v>
      </c>
      <c r="L3925" s="563">
        <f t="shared" si="181"/>
        <v>0</v>
      </c>
      <c r="M3925" s="563">
        <f t="shared" si="182"/>
        <v>70.784999999999997</v>
      </c>
      <c r="N3925" s="580"/>
    </row>
    <row r="3926" spans="4:16" x14ac:dyDescent="0.25">
      <c r="D3926" s="559" t="s">
        <v>867</v>
      </c>
      <c r="E3926" s="558" t="s">
        <v>3130</v>
      </c>
      <c r="F3926" s="559">
        <v>702135</v>
      </c>
      <c r="G3926" s="558" t="s">
        <v>3128</v>
      </c>
      <c r="H3926" s="564">
        <v>40015</v>
      </c>
      <c r="I3926" s="563">
        <v>64.349999999999994</v>
      </c>
      <c r="J3926" s="563">
        <v>-64.349999999999994</v>
      </c>
      <c r="K3926" s="582">
        <f t="shared" si="180"/>
        <v>0</v>
      </c>
      <c r="L3926" s="563">
        <f t="shared" si="181"/>
        <v>0</v>
      </c>
      <c r="M3926" s="563">
        <f t="shared" si="182"/>
        <v>70.784999999999997</v>
      </c>
      <c r="N3926" s="580"/>
    </row>
    <row r="3927" spans="4:16" x14ac:dyDescent="0.25">
      <c r="D3927" s="559" t="s">
        <v>867</v>
      </c>
      <c r="E3927" s="558" t="s">
        <v>3131</v>
      </c>
      <c r="F3927" s="559">
        <v>702419</v>
      </c>
      <c r="G3927" s="558" t="s">
        <v>3128</v>
      </c>
      <c r="H3927" s="564">
        <v>40015</v>
      </c>
      <c r="I3927" s="563">
        <v>64.349999999999994</v>
      </c>
      <c r="J3927" s="563">
        <v>-64.349999999999994</v>
      </c>
      <c r="K3927" s="582">
        <f t="shared" si="180"/>
        <v>0</v>
      </c>
      <c r="L3927" s="563">
        <f t="shared" si="181"/>
        <v>0</v>
      </c>
      <c r="M3927" s="563">
        <f t="shared" si="182"/>
        <v>70.784999999999997</v>
      </c>
      <c r="N3927" s="580"/>
    </row>
    <row r="3928" spans="4:16" x14ac:dyDescent="0.25">
      <c r="D3928" s="559" t="s">
        <v>867</v>
      </c>
      <c r="E3928" s="558" t="s">
        <v>3132</v>
      </c>
      <c r="F3928" s="559">
        <v>702420</v>
      </c>
      <c r="G3928" s="558" t="s">
        <v>3128</v>
      </c>
      <c r="H3928" s="564">
        <v>40015</v>
      </c>
      <c r="I3928" s="563">
        <v>64.349999999999994</v>
      </c>
      <c r="J3928" s="563">
        <v>-64.349999999999994</v>
      </c>
      <c r="K3928" s="582">
        <f t="shared" si="180"/>
        <v>0</v>
      </c>
      <c r="L3928" s="563">
        <f t="shared" si="181"/>
        <v>0</v>
      </c>
      <c r="M3928" s="563">
        <f t="shared" si="182"/>
        <v>70.784999999999997</v>
      </c>
      <c r="N3928" s="580"/>
    </row>
    <row r="3929" spans="4:16" x14ac:dyDescent="0.25">
      <c r="D3929" s="559" t="s">
        <v>867</v>
      </c>
      <c r="E3929" s="558" t="s">
        <v>3133</v>
      </c>
      <c r="F3929" s="559">
        <v>702421</v>
      </c>
      <c r="G3929" s="558" t="s">
        <v>3134</v>
      </c>
      <c r="H3929" s="564">
        <v>40015</v>
      </c>
      <c r="I3929" s="563">
        <v>64.349999999999994</v>
      </c>
      <c r="J3929" s="563">
        <v>-64.349999999999994</v>
      </c>
      <c r="K3929" s="582">
        <f t="shared" si="180"/>
        <v>0</v>
      </c>
      <c r="L3929" s="563">
        <f t="shared" si="181"/>
        <v>0</v>
      </c>
      <c r="M3929" s="563">
        <f t="shared" si="182"/>
        <v>70.784999999999997</v>
      </c>
      <c r="N3929" s="580"/>
    </row>
    <row r="3930" spans="4:16" x14ac:dyDescent="0.25">
      <c r="D3930" s="559" t="s">
        <v>867</v>
      </c>
      <c r="E3930" s="558" t="s">
        <v>3135</v>
      </c>
      <c r="F3930" s="559">
        <v>701738</v>
      </c>
      <c r="G3930" s="558" t="s">
        <v>3134</v>
      </c>
      <c r="H3930" s="564">
        <v>40015</v>
      </c>
      <c r="I3930" s="563">
        <v>64.349999999999994</v>
      </c>
      <c r="J3930" s="563">
        <v>-64.349999999999994</v>
      </c>
      <c r="K3930" s="582">
        <f t="shared" si="180"/>
        <v>0</v>
      </c>
      <c r="L3930" s="563">
        <f t="shared" si="181"/>
        <v>0</v>
      </c>
      <c r="M3930" s="563">
        <f t="shared" si="182"/>
        <v>70.784999999999997</v>
      </c>
      <c r="N3930" s="580"/>
    </row>
    <row r="3931" spans="4:16" x14ac:dyDescent="0.25">
      <c r="D3931" s="559" t="s">
        <v>867</v>
      </c>
      <c r="E3931" s="558" t="s">
        <v>3136</v>
      </c>
      <c r="F3931" s="559">
        <v>701734</v>
      </c>
      <c r="G3931" s="558" t="s">
        <v>3134</v>
      </c>
      <c r="H3931" s="564">
        <v>40015</v>
      </c>
      <c r="I3931" s="563">
        <v>727.35</v>
      </c>
      <c r="J3931" s="563">
        <v>-585</v>
      </c>
      <c r="K3931" s="582">
        <f t="shared" si="180"/>
        <v>142.35000000000002</v>
      </c>
      <c r="L3931" s="563">
        <f t="shared" si="181"/>
        <v>156.58500000000004</v>
      </c>
      <c r="M3931" s="563">
        <f t="shared" si="182"/>
        <v>800.08500000000004</v>
      </c>
      <c r="N3931" s="580"/>
    </row>
    <row r="3932" spans="4:16" x14ac:dyDescent="0.25">
      <c r="D3932" s="559" t="s">
        <v>867</v>
      </c>
      <c r="E3932" s="558" t="s">
        <v>3137</v>
      </c>
      <c r="F3932" s="559">
        <v>701837</v>
      </c>
      <c r="G3932" s="558" t="s">
        <v>3134</v>
      </c>
      <c r="H3932" s="564">
        <v>40015</v>
      </c>
      <c r="I3932" s="563">
        <v>64.349999999999994</v>
      </c>
      <c r="J3932" s="563">
        <v>-64.349999999999994</v>
      </c>
      <c r="K3932" s="582">
        <f t="shared" si="180"/>
        <v>0</v>
      </c>
      <c r="L3932" s="563">
        <f t="shared" si="181"/>
        <v>0</v>
      </c>
      <c r="M3932" s="563">
        <f t="shared" si="182"/>
        <v>70.784999999999997</v>
      </c>
      <c r="N3932" s="580"/>
    </row>
    <row r="3933" spans="4:16" x14ac:dyDescent="0.25">
      <c r="D3933" s="559" t="s">
        <v>867</v>
      </c>
      <c r="E3933" s="558" t="s">
        <v>3138</v>
      </c>
      <c r="F3933" s="559">
        <v>701838</v>
      </c>
      <c r="G3933" s="558" t="s">
        <v>3134</v>
      </c>
      <c r="H3933" s="564">
        <v>40015</v>
      </c>
      <c r="I3933" s="563">
        <v>64.349999999999994</v>
      </c>
      <c r="J3933" s="563">
        <v>-64.349999999999994</v>
      </c>
      <c r="K3933" s="582">
        <f t="shared" si="180"/>
        <v>0</v>
      </c>
      <c r="L3933" s="563">
        <f t="shared" si="181"/>
        <v>0</v>
      </c>
      <c r="M3933" s="563">
        <f t="shared" si="182"/>
        <v>70.784999999999997</v>
      </c>
      <c r="N3933" s="580"/>
    </row>
    <row r="3934" spans="4:16" x14ac:dyDescent="0.25">
      <c r="D3934" s="559" t="s">
        <v>867</v>
      </c>
      <c r="E3934" s="558" t="s">
        <v>3139</v>
      </c>
      <c r="F3934" s="559">
        <v>701839</v>
      </c>
      <c r="G3934" s="558" t="s">
        <v>1956</v>
      </c>
      <c r="H3934" s="564">
        <v>40015</v>
      </c>
      <c r="I3934" s="563">
        <v>64.349999999999994</v>
      </c>
      <c r="J3934" s="563">
        <v>-64.349999999999994</v>
      </c>
      <c r="K3934" s="582">
        <f t="shared" si="180"/>
        <v>0</v>
      </c>
      <c r="L3934" s="563">
        <f t="shared" si="181"/>
        <v>0</v>
      </c>
      <c r="M3934" s="563">
        <f t="shared" si="182"/>
        <v>70.784999999999997</v>
      </c>
      <c r="N3934" s="580"/>
    </row>
    <row r="3935" spans="4:16" x14ac:dyDescent="0.25">
      <c r="D3935" s="559" t="s">
        <v>867</v>
      </c>
      <c r="E3935" s="558" t="s">
        <v>3140</v>
      </c>
      <c r="F3935" s="559">
        <v>701740</v>
      </c>
      <c r="G3935" s="558" t="s">
        <v>1956</v>
      </c>
      <c r="H3935" s="564">
        <v>40015</v>
      </c>
      <c r="I3935" s="563">
        <v>727.35</v>
      </c>
      <c r="J3935" s="563">
        <v>-585</v>
      </c>
      <c r="K3935" s="582">
        <f t="shared" si="180"/>
        <v>142.35000000000002</v>
      </c>
      <c r="L3935" s="563">
        <f t="shared" si="181"/>
        <v>156.58500000000004</v>
      </c>
      <c r="M3935" s="563">
        <f t="shared" si="182"/>
        <v>800.08500000000004</v>
      </c>
      <c r="N3935" s="580"/>
    </row>
    <row r="3936" spans="4:16" x14ac:dyDescent="0.25">
      <c r="D3936" s="559" t="s">
        <v>867</v>
      </c>
      <c r="E3936" s="558" t="s">
        <v>1955</v>
      </c>
      <c r="F3936" s="559">
        <v>701840</v>
      </c>
      <c r="G3936" s="558" t="s">
        <v>1956</v>
      </c>
      <c r="H3936" s="564">
        <v>40015</v>
      </c>
      <c r="I3936" s="563">
        <v>64.349999999999994</v>
      </c>
      <c r="J3936" s="563">
        <v>-64.349999999999994</v>
      </c>
      <c r="K3936" s="563">
        <f t="shared" si="180"/>
        <v>0</v>
      </c>
      <c r="L3936" s="563">
        <f t="shared" si="181"/>
        <v>0</v>
      </c>
      <c r="M3936" s="563">
        <f t="shared" si="182"/>
        <v>70.784999999999997</v>
      </c>
      <c r="N3936" s="580"/>
      <c r="O3936" s="558"/>
      <c r="P3936" s="564"/>
    </row>
    <row r="3937" spans="4:16" x14ac:dyDescent="0.25">
      <c r="D3937" s="559" t="s">
        <v>867</v>
      </c>
      <c r="E3937" s="558" t="s">
        <v>1957</v>
      </c>
      <c r="F3937" s="559">
        <v>701841</v>
      </c>
      <c r="G3937" s="558" t="s">
        <v>1956</v>
      </c>
      <c r="H3937" s="564">
        <v>40015</v>
      </c>
      <c r="I3937" s="563">
        <v>64.349999999999994</v>
      </c>
      <c r="J3937" s="563">
        <v>-64.349999999999994</v>
      </c>
      <c r="K3937" s="563">
        <f t="shared" si="180"/>
        <v>0</v>
      </c>
      <c r="L3937" s="563">
        <f t="shared" si="181"/>
        <v>0</v>
      </c>
      <c r="M3937" s="563">
        <f t="shared" si="182"/>
        <v>70.784999999999997</v>
      </c>
      <c r="N3937" s="580"/>
      <c r="O3937" s="558"/>
      <c r="P3937" s="564"/>
    </row>
    <row r="3938" spans="4:16" x14ac:dyDescent="0.25">
      <c r="D3938" s="559" t="s">
        <v>867</v>
      </c>
      <c r="E3938" s="558" t="s">
        <v>3141</v>
      </c>
      <c r="F3938" s="559">
        <v>701842</v>
      </c>
      <c r="G3938" s="558" t="s">
        <v>1956</v>
      </c>
      <c r="H3938" s="564">
        <v>40015</v>
      </c>
      <c r="I3938" s="563">
        <v>64.349999999999994</v>
      </c>
      <c r="J3938" s="563">
        <v>-64.349999999999994</v>
      </c>
      <c r="K3938" s="582">
        <f t="shared" si="180"/>
        <v>0</v>
      </c>
      <c r="L3938" s="563">
        <f t="shared" si="181"/>
        <v>0</v>
      </c>
      <c r="M3938" s="563">
        <f t="shared" si="182"/>
        <v>70.784999999999997</v>
      </c>
      <c r="N3938" s="580"/>
    </row>
    <row r="3939" spans="4:16" x14ac:dyDescent="0.25">
      <c r="D3939" s="559" t="s">
        <v>867</v>
      </c>
      <c r="E3939" s="558" t="s">
        <v>0</v>
      </c>
      <c r="F3939" s="559">
        <v>701843</v>
      </c>
      <c r="G3939" s="558" t="s">
        <v>1959</v>
      </c>
      <c r="H3939" s="564">
        <v>40015</v>
      </c>
      <c r="I3939" s="563">
        <v>64.349999999999994</v>
      </c>
      <c r="J3939" s="563">
        <v>-64.349999999999994</v>
      </c>
      <c r="K3939" s="582">
        <f t="shared" si="180"/>
        <v>0</v>
      </c>
      <c r="L3939" s="563">
        <f t="shared" si="181"/>
        <v>0</v>
      </c>
      <c r="M3939" s="563">
        <f t="shared" si="182"/>
        <v>70.784999999999997</v>
      </c>
      <c r="N3939" s="580"/>
    </row>
    <row r="3940" spans="4:16" x14ac:dyDescent="0.25">
      <c r="D3940" s="559" t="s">
        <v>867</v>
      </c>
      <c r="E3940" s="558" t="s">
        <v>1</v>
      </c>
      <c r="F3940" s="559">
        <v>701848</v>
      </c>
      <c r="G3940" s="558" t="s">
        <v>1959</v>
      </c>
      <c r="H3940" s="564">
        <v>40015</v>
      </c>
      <c r="I3940" s="563">
        <v>64.349999999999994</v>
      </c>
      <c r="J3940" s="563">
        <v>-64.349999999999994</v>
      </c>
      <c r="K3940" s="582">
        <f t="shared" si="180"/>
        <v>0</v>
      </c>
      <c r="L3940" s="563">
        <f t="shared" si="181"/>
        <v>0</v>
      </c>
      <c r="M3940" s="563">
        <f t="shared" si="182"/>
        <v>70.784999999999997</v>
      </c>
      <c r="N3940" s="580"/>
    </row>
    <row r="3941" spans="4:16" x14ac:dyDescent="0.25">
      <c r="D3941" s="559" t="s">
        <v>867</v>
      </c>
      <c r="E3941" s="558" t="s">
        <v>1958</v>
      </c>
      <c r="F3941" s="559">
        <v>701847</v>
      </c>
      <c r="G3941" s="558" t="s">
        <v>1959</v>
      </c>
      <c r="H3941" s="564">
        <v>40015</v>
      </c>
      <c r="I3941" s="563">
        <v>64.349999999999994</v>
      </c>
      <c r="J3941" s="563">
        <v>-64.349999999999994</v>
      </c>
      <c r="K3941" s="563">
        <f t="shared" si="180"/>
        <v>0</v>
      </c>
      <c r="L3941" s="563">
        <f t="shared" si="181"/>
        <v>0</v>
      </c>
      <c r="M3941" s="563">
        <f t="shared" si="182"/>
        <v>70.784999999999997</v>
      </c>
      <c r="N3941" s="580"/>
      <c r="O3941" s="558"/>
      <c r="P3941" s="564"/>
    </row>
    <row r="3942" spans="4:16" x14ac:dyDescent="0.25">
      <c r="D3942" s="559" t="s">
        <v>867</v>
      </c>
      <c r="E3942" s="558" t="s">
        <v>2</v>
      </c>
      <c r="F3942" s="559">
        <v>701846</v>
      </c>
      <c r="G3942" s="558" t="s">
        <v>1959</v>
      </c>
      <c r="H3942" s="564">
        <v>40015</v>
      </c>
      <c r="I3942" s="563">
        <v>64.349999999999994</v>
      </c>
      <c r="J3942" s="563">
        <v>-64.349999999999994</v>
      </c>
      <c r="K3942" s="582">
        <f t="shared" si="180"/>
        <v>0</v>
      </c>
      <c r="L3942" s="563">
        <f t="shared" si="181"/>
        <v>0</v>
      </c>
      <c r="M3942" s="563">
        <f t="shared" si="182"/>
        <v>70.784999999999997</v>
      </c>
      <c r="N3942" s="580"/>
    </row>
    <row r="3943" spans="4:16" x14ac:dyDescent="0.25">
      <c r="D3943" s="559" t="s">
        <v>867</v>
      </c>
      <c r="E3943" s="558" t="s">
        <v>1960</v>
      </c>
      <c r="F3943" s="559">
        <v>701845</v>
      </c>
      <c r="G3943" s="558" t="s">
        <v>1959</v>
      </c>
      <c r="H3943" s="564">
        <v>40015</v>
      </c>
      <c r="I3943" s="563">
        <v>64.349999999999994</v>
      </c>
      <c r="J3943" s="563">
        <v>-64.349999999999994</v>
      </c>
      <c r="K3943" s="563">
        <f t="shared" si="180"/>
        <v>0</v>
      </c>
      <c r="L3943" s="563">
        <f t="shared" si="181"/>
        <v>0</v>
      </c>
      <c r="M3943" s="563">
        <f t="shared" si="182"/>
        <v>70.784999999999997</v>
      </c>
      <c r="N3943" s="580"/>
      <c r="O3943" s="558"/>
      <c r="P3943" s="564"/>
    </row>
    <row r="3944" spans="4:16" x14ac:dyDescent="0.25">
      <c r="D3944" s="559" t="s">
        <v>867</v>
      </c>
      <c r="E3944" s="558" t="s">
        <v>3</v>
      </c>
      <c r="F3944" s="559">
        <v>701844</v>
      </c>
      <c r="G3944" s="558" t="s">
        <v>4</v>
      </c>
      <c r="H3944" s="564">
        <v>40015</v>
      </c>
      <c r="I3944" s="563">
        <v>64.349999999999994</v>
      </c>
      <c r="J3944" s="563">
        <v>-64.349999999999994</v>
      </c>
      <c r="K3944" s="582">
        <f t="shared" si="180"/>
        <v>0</v>
      </c>
      <c r="L3944" s="563">
        <f t="shared" si="181"/>
        <v>0</v>
      </c>
      <c r="M3944" s="563">
        <f t="shared" si="182"/>
        <v>70.784999999999997</v>
      </c>
      <c r="N3944" s="580"/>
    </row>
    <row r="3945" spans="4:16" x14ac:dyDescent="0.25">
      <c r="D3945" s="559" t="s">
        <v>867</v>
      </c>
      <c r="E3945" s="558" t="s">
        <v>5</v>
      </c>
      <c r="F3945" s="559">
        <v>701817</v>
      </c>
      <c r="G3945" s="558" t="s">
        <v>4</v>
      </c>
      <c r="H3945" s="564">
        <v>40015</v>
      </c>
      <c r="I3945" s="563">
        <v>64.349999999999994</v>
      </c>
      <c r="J3945" s="563">
        <v>-64.349999999999994</v>
      </c>
      <c r="K3945" s="582">
        <f t="shared" ref="K3945:K4008" si="183">+I3945+J3945</f>
        <v>0</v>
      </c>
      <c r="L3945" s="563">
        <f t="shared" ref="L3945:L4008" si="184">+K3945*1.1</f>
        <v>0</v>
      </c>
      <c r="M3945" s="563">
        <f t="shared" ref="M3945:M4008" si="185">+I3945*1.1</f>
        <v>70.784999999999997</v>
      </c>
      <c r="N3945" s="580"/>
    </row>
    <row r="3946" spans="4:16" x14ac:dyDescent="0.25">
      <c r="D3946" s="559" t="s">
        <v>867</v>
      </c>
      <c r="E3946" s="558" t="s">
        <v>6</v>
      </c>
      <c r="F3946" s="559">
        <v>701816</v>
      </c>
      <c r="G3946" s="558" t="s">
        <v>4</v>
      </c>
      <c r="H3946" s="564">
        <v>40015</v>
      </c>
      <c r="I3946" s="563">
        <v>64.349999999999994</v>
      </c>
      <c r="J3946" s="563">
        <v>-64.349999999999994</v>
      </c>
      <c r="K3946" s="582">
        <f t="shared" si="183"/>
        <v>0</v>
      </c>
      <c r="L3946" s="563">
        <f t="shared" si="184"/>
        <v>0</v>
      </c>
      <c r="M3946" s="563">
        <f t="shared" si="185"/>
        <v>70.784999999999997</v>
      </c>
      <c r="N3946" s="580"/>
    </row>
    <row r="3947" spans="4:16" x14ac:dyDescent="0.25">
      <c r="D3947" s="559" t="s">
        <v>867</v>
      </c>
      <c r="E3947" s="558" t="s">
        <v>7</v>
      </c>
      <c r="F3947" s="559">
        <v>701815</v>
      </c>
      <c r="G3947" s="558" t="s">
        <v>4</v>
      </c>
      <c r="H3947" s="564">
        <v>40015</v>
      </c>
      <c r="I3947" s="563">
        <v>64.349999999999994</v>
      </c>
      <c r="J3947" s="563">
        <v>-64.349999999999994</v>
      </c>
      <c r="K3947" s="582">
        <f t="shared" si="183"/>
        <v>0</v>
      </c>
      <c r="L3947" s="563">
        <f t="shared" si="184"/>
        <v>0</v>
      </c>
      <c r="M3947" s="563">
        <f t="shared" si="185"/>
        <v>70.784999999999997</v>
      </c>
      <c r="N3947" s="580"/>
    </row>
    <row r="3948" spans="4:16" x14ac:dyDescent="0.25">
      <c r="D3948" s="559" t="s">
        <v>867</v>
      </c>
      <c r="E3948" s="558" t="s">
        <v>8</v>
      </c>
      <c r="F3948" s="559">
        <v>701814</v>
      </c>
      <c r="G3948" s="558" t="s">
        <v>4</v>
      </c>
      <c r="H3948" s="564">
        <v>40015</v>
      </c>
      <c r="I3948" s="563">
        <v>64.349999999999994</v>
      </c>
      <c r="J3948" s="563">
        <v>-64.349999999999994</v>
      </c>
      <c r="K3948" s="582">
        <f t="shared" si="183"/>
        <v>0</v>
      </c>
      <c r="L3948" s="563">
        <f t="shared" si="184"/>
        <v>0</v>
      </c>
      <c r="M3948" s="563">
        <f t="shared" si="185"/>
        <v>70.784999999999997</v>
      </c>
      <c r="N3948" s="580"/>
    </row>
    <row r="3949" spans="4:16" x14ac:dyDescent="0.25">
      <c r="D3949" s="559" t="s">
        <v>867</v>
      </c>
      <c r="E3949" s="558" t="s">
        <v>9</v>
      </c>
      <c r="F3949" s="559">
        <v>701813</v>
      </c>
      <c r="G3949" s="558" t="s">
        <v>10</v>
      </c>
      <c r="H3949" s="564">
        <v>40015</v>
      </c>
      <c r="I3949" s="563">
        <v>64.349999999999994</v>
      </c>
      <c r="J3949" s="563">
        <v>-64.349999999999994</v>
      </c>
      <c r="K3949" s="582">
        <f t="shared" si="183"/>
        <v>0</v>
      </c>
      <c r="L3949" s="563">
        <f t="shared" si="184"/>
        <v>0</v>
      </c>
      <c r="M3949" s="563">
        <f t="shared" si="185"/>
        <v>70.784999999999997</v>
      </c>
      <c r="N3949" s="580"/>
    </row>
    <row r="3950" spans="4:16" x14ac:dyDescent="0.25">
      <c r="D3950" s="559" t="s">
        <v>867</v>
      </c>
      <c r="E3950" s="558" t="s">
        <v>11</v>
      </c>
      <c r="F3950" s="559">
        <v>701812</v>
      </c>
      <c r="G3950" s="558" t="s">
        <v>10</v>
      </c>
      <c r="H3950" s="564">
        <v>40015</v>
      </c>
      <c r="I3950" s="563">
        <v>64.349999999999994</v>
      </c>
      <c r="J3950" s="563">
        <v>-64.349999999999994</v>
      </c>
      <c r="K3950" s="582">
        <f t="shared" si="183"/>
        <v>0</v>
      </c>
      <c r="L3950" s="563">
        <f t="shared" si="184"/>
        <v>0</v>
      </c>
      <c r="M3950" s="563">
        <f t="shared" si="185"/>
        <v>70.784999999999997</v>
      </c>
      <c r="N3950" s="580"/>
    </row>
    <row r="3951" spans="4:16" x14ac:dyDescent="0.25">
      <c r="D3951" s="559" t="s">
        <v>867</v>
      </c>
      <c r="E3951" s="558" t="s">
        <v>12</v>
      </c>
      <c r="F3951" s="559">
        <v>701811</v>
      </c>
      <c r="G3951" s="558" t="s">
        <v>10</v>
      </c>
      <c r="H3951" s="564">
        <v>40015</v>
      </c>
      <c r="I3951" s="563">
        <v>64.349999999999994</v>
      </c>
      <c r="J3951" s="563">
        <v>-64.349999999999994</v>
      </c>
      <c r="K3951" s="582">
        <f t="shared" si="183"/>
        <v>0</v>
      </c>
      <c r="L3951" s="563">
        <f t="shared" si="184"/>
        <v>0</v>
      </c>
      <c r="M3951" s="563">
        <f t="shared" si="185"/>
        <v>70.784999999999997</v>
      </c>
      <c r="N3951" s="580"/>
    </row>
    <row r="3952" spans="4:16" x14ac:dyDescent="0.25">
      <c r="D3952" s="559" t="s">
        <v>867</v>
      </c>
      <c r="E3952" s="558" t="s">
        <v>13</v>
      </c>
      <c r="F3952" s="559">
        <v>701810</v>
      </c>
      <c r="G3952" s="558" t="s">
        <v>10</v>
      </c>
      <c r="H3952" s="564">
        <v>40015</v>
      </c>
      <c r="I3952" s="563">
        <v>64.349999999999994</v>
      </c>
      <c r="J3952" s="563">
        <v>-64.349999999999994</v>
      </c>
      <c r="K3952" s="582">
        <f t="shared" si="183"/>
        <v>0</v>
      </c>
      <c r="L3952" s="563">
        <f t="shared" si="184"/>
        <v>0</v>
      </c>
      <c r="M3952" s="563">
        <f t="shared" si="185"/>
        <v>70.784999999999997</v>
      </c>
      <c r="N3952" s="580"/>
    </row>
    <row r="3953" spans="4:16" x14ac:dyDescent="0.25">
      <c r="D3953" s="559" t="s">
        <v>867</v>
      </c>
      <c r="E3953" s="558" t="s">
        <v>14</v>
      </c>
      <c r="F3953" s="559">
        <v>701809</v>
      </c>
      <c r="G3953" s="558" t="s">
        <v>10</v>
      </c>
      <c r="H3953" s="564">
        <v>40015</v>
      </c>
      <c r="I3953" s="563">
        <v>64.349999999999994</v>
      </c>
      <c r="J3953" s="563">
        <v>-64.349999999999994</v>
      </c>
      <c r="K3953" s="582">
        <f t="shared" si="183"/>
        <v>0</v>
      </c>
      <c r="L3953" s="563">
        <f t="shared" si="184"/>
        <v>0</v>
      </c>
      <c r="M3953" s="563">
        <f t="shared" si="185"/>
        <v>70.784999999999997</v>
      </c>
      <c r="N3953" s="580"/>
    </row>
    <row r="3954" spans="4:16" x14ac:dyDescent="0.25">
      <c r="D3954" s="559" t="s">
        <v>867</v>
      </c>
      <c r="E3954" s="558" t="s">
        <v>15</v>
      </c>
      <c r="F3954" s="559">
        <v>701808</v>
      </c>
      <c r="G3954" s="558" t="s">
        <v>1962</v>
      </c>
      <c r="H3954" s="564">
        <v>40015</v>
      </c>
      <c r="I3954" s="563">
        <v>64.349999999999994</v>
      </c>
      <c r="J3954" s="563">
        <v>-64.349999999999994</v>
      </c>
      <c r="K3954" s="582">
        <f t="shared" si="183"/>
        <v>0</v>
      </c>
      <c r="L3954" s="563">
        <f t="shared" si="184"/>
        <v>0</v>
      </c>
      <c r="M3954" s="563">
        <f t="shared" si="185"/>
        <v>70.784999999999997</v>
      </c>
      <c r="N3954" s="580"/>
    </row>
    <row r="3955" spans="4:16" x14ac:dyDescent="0.25">
      <c r="D3955" s="559" t="s">
        <v>867</v>
      </c>
      <c r="E3955" s="558" t="s">
        <v>16</v>
      </c>
      <c r="F3955" s="559">
        <v>701807</v>
      </c>
      <c r="G3955" s="558" t="s">
        <v>1962</v>
      </c>
      <c r="H3955" s="564">
        <v>40015</v>
      </c>
      <c r="I3955" s="563">
        <v>64.349999999999994</v>
      </c>
      <c r="J3955" s="563">
        <v>-64.349999999999994</v>
      </c>
      <c r="K3955" s="582">
        <f t="shared" si="183"/>
        <v>0</v>
      </c>
      <c r="L3955" s="563">
        <f t="shared" si="184"/>
        <v>0</v>
      </c>
      <c r="M3955" s="563">
        <f t="shared" si="185"/>
        <v>70.784999999999997</v>
      </c>
      <c r="N3955" s="580"/>
    </row>
    <row r="3956" spans="4:16" x14ac:dyDescent="0.25">
      <c r="D3956" s="559" t="s">
        <v>867</v>
      </c>
      <c r="E3956" s="558" t="s">
        <v>1961</v>
      </c>
      <c r="F3956" s="559">
        <v>701805</v>
      </c>
      <c r="G3956" s="558" t="s">
        <v>1962</v>
      </c>
      <c r="H3956" s="564">
        <v>40015</v>
      </c>
      <c r="I3956" s="563">
        <v>64.349999999999994</v>
      </c>
      <c r="J3956" s="563">
        <v>-64.349999999999994</v>
      </c>
      <c r="K3956" s="563">
        <f t="shared" si="183"/>
        <v>0</v>
      </c>
      <c r="L3956" s="563">
        <f t="shared" si="184"/>
        <v>0</v>
      </c>
      <c r="M3956" s="563">
        <f t="shared" si="185"/>
        <v>70.784999999999997</v>
      </c>
      <c r="N3956" s="580"/>
      <c r="O3956" s="558"/>
      <c r="P3956" s="564"/>
    </row>
    <row r="3957" spans="4:16" x14ac:dyDescent="0.25">
      <c r="D3957" s="559" t="s">
        <v>867</v>
      </c>
      <c r="E3957" s="558" t="s">
        <v>1963</v>
      </c>
      <c r="F3957" s="559">
        <v>701805</v>
      </c>
      <c r="G3957" s="558" t="s">
        <v>1962</v>
      </c>
      <c r="H3957" s="564">
        <v>40015</v>
      </c>
      <c r="I3957" s="563">
        <v>64.349999999999994</v>
      </c>
      <c r="J3957" s="563">
        <v>-64.349999999999994</v>
      </c>
      <c r="K3957" s="563">
        <f t="shared" si="183"/>
        <v>0</v>
      </c>
      <c r="L3957" s="563">
        <f t="shared" si="184"/>
        <v>0</v>
      </c>
      <c r="M3957" s="563">
        <f t="shared" si="185"/>
        <v>70.784999999999997</v>
      </c>
      <c r="N3957" s="580"/>
      <c r="O3957" s="558"/>
      <c r="P3957" s="564"/>
    </row>
    <row r="3958" spans="4:16" x14ac:dyDescent="0.25">
      <c r="D3958" s="559" t="s">
        <v>867</v>
      </c>
      <c r="E3958" s="558" t="s">
        <v>17</v>
      </c>
      <c r="F3958" s="559">
        <v>701804</v>
      </c>
      <c r="G3958" s="558" t="s">
        <v>1962</v>
      </c>
      <c r="H3958" s="564">
        <v>40015</v>
      </c>
      <c r="I3958" s="563">
        <v>64.349999999999994</v>
      </c>
      <c r="J3958" s="563">
        <v>-64.349999999999994</v>
      </c>
      <c r="K3958" s="582">
        <f t="shared" si="183"/>
        <v>0</v>
      </c>
      <c r="L3958" s="563">
        <f t="shared" si="184"/>
        <v>0</v>
      </c>
      <c r="M3958" s="563">
        <f t="shared" si="185"/>
        <v>70.784999999999997</v>
      </c>
      <c r="N3958" s="580"/>
    </row>
    <row r="3959" spans="4:16" x14ac:dyDescent="0.25">
      <c r="D3959" s="559" t="s">
        <v>867</v>
      </c>
      <c r="E3959" s="558" t="s">
        <v>18</v>
      </c>
      <c r="F3959" s="559">
        <v>701803</v>
      </c>
      <c r="G3959" s="558" t="s">
        <v>2424</v>
      </c>
      <c r="H3959" s="564">
        <v>40015</v>
      </c>
      <c r="I3959" s="563">
        <v>64.349999999999994</v>
      </c>
      <c r="J3959" s="563">
        <v>-64.349999999999994</v>
      </c>
      <c r="K3959" s="582">
        <f t="shared" si="183"/>
        <v>0</v>
      </c>
      <c r="L3959" s="563">
        <f t="shared" si="184"/>
        <v>0</v>
      </c>
      <c r="M3959" s="563">
        <f t="shared" si="185"/>
        <v>70.784999999999997</v>
      </c>
      <c r="N3959" s="580"/>
    </row>
    <row r="3960" spans="4:16" x14ac:dyDescent="0.25">
      <c r="D3960" s="559" t="s">
        <v>867</v>
      </c>
      <c r="E3960" s="558" t="s">
        <v>2425</v>
      </c>
      <c r="F3960" s="559">
        <v>701802</v>
      </c>
      <c r="G3960" s="558" t="s">
        <v>2424</v>
      </c>
      <c r="H3960" s="564">
        <v>40015</v>
      </c>
      <c r="I3960" s="563">
        <v>727.35</v>
      </c>
      <c r="J3960" s="563">
        <v>-585</v>
      </c>
      <c r="K3960" s="582">
        <f t="shared" si="183"/>
        <v>142.35000000000002</v>
      </c>
      <c r="L3960" s="563">
        <f t="shared" si="184"/>
        <v>156.58500000000004</v>
      </c>
      <c r="M3960" s="563">
        <f t="shared" si="185"/>
        <v>800.08500000000004</v>
      </c>
      <c r="N3960" s="580"/>
    </row>
    <row r="3961" spans="4:16" x14ac:dyDescent="0.25">
      <c r="D3961" s="559" t="s">
        <v>867</v>
      </c>
      <c r="E3961" s="558" t="s">
        <v>2426</v>
      </c>
      <c r="F3961" s="559">
        <v>702121</v>
      </c>
      <c r="G3961" s="558" t="s">
        <v>2424</v>
      </c>
      <c r="H3961" s="564">
        <v>40015</v>
      </c>
      <c r="I3961" s="563">
        <v>64.349999999999994</v>
      </c>
      <c r="J3961" s="563">
        <v>-64.349999999999994</v>
      </c>
      <c r="K3961" s="582">
        <f t="shared" si="183"/>
        <v>0</v>
      </c>
      <c r="L3961" s="563">
        <f t="shared" si="184"/>
        <v>0</v>
      </c>
      <c r="M3961" s="563">
        <f t="shared" si="185"/>
        <v>70.784999999999997</v>
      </c>
      <c r="N3961" s="580"/>
    </row>
    <row r="3962" spans="4:16" x14ac:dyDescent="0.25">
      <c r="D3962" s="559" t="s">
        <v>867</v>
      </c>
      <c r="E3962" s="558" t="s">
        <v>2427</v>
      </c>
      <c r="F3962" s="559">
        <v>701801</v>
      </c>
      <c r="G3962" s="558" t="s">
        <v>2424</v>
      </c>
      <c r="H3962" s="564">
        <v>40015</v>
      </c>
      <c r="I3962" s="563">
        <v>64.349999999999994</v>
      </c>
      <c r="J3962" s="563">
        <v>-64.349999999999994</v>
      </c>
      <c r="K3962" s="582">
        <f t="shared" si="183"/>
        <v>0</v>
      </c>
      <c r="L3962" s="563">
        <f t="shared" si="184"/>
        <v>0</v>
      </c>
      <c r="M3962" s="563">
        <f t="shared" si="185"/>
        <v>70.784999999999997</v>
      </c>
      <c r="N3962" s="580"/>
    </row>
    <row r="3963" spans="4:16" x14ac:dyDescent="0.25">
      <c r="D3963" s="559" t="s">
        <v>867</v>
      </c>
      <c r="E3963" s="558" t="s">
        <v>2428</v>
      </c>
      <c r="F3963" s="559">
        <v>701800</v>
      </c>
      <c r="G3963" s="558" t="s">
        <v>2424</v>
      </c>
      <c r="H3963" s="564">
        <v>40015</v>
      </c>
      <c r="I3963" s="563">
        <v>64.349999999999994</v>
      </c>
      <c r="J3963" s="563">
        <v>-64.349999999999994</v>
      </c>
      <c r="K3963" s="582">
        <f t="shared" si="183"/>
        <v>0</v>
      </c>
      <c r="L3963" s="563">
        <f t="shared" si="184"/>
        <v>0</v>
      </c>
      <c r="M3963" s="563">
        <f t="shared" si="185"/>
        <v>70.784999999999997</v>
      </c>
      <c r="N3963" s="580"/>
    </row>
    <row r="3964" spans="4:16" x14ac:dyDescent="0.25">
      <c r="D3964" s="559" t="s">
        <v>867</v>
      </c>
      <c r="E3964" s="558" t="s">
        <v>2429</v>
      </c>
      <c r="F3964" s="559">
        <v>701756</v>
      </c>
      <c r="G3964" s="558" t="s">
        <v>1965</v>
      </c>
      <c r="H3964" s="564">
        <v>40015</v>
      </c>
      <c r="I3964" s="563">
        <v>727.35</v>
      </c>
      <c r="J3964" s="563">
        <v>-585</v>
      </c>
      <c r="K3964" s="582">
        <f t="shared" si="183"/>
        <v>142.35000000000002</v>
      </c>
      <c r="L3964" s="563">
        <f t="shared" si="184"/>
        <v>156.58500000000004</v>
      </c>
      <c r="M3964" s="563">
        <f t="shared" si="185"/>
        <v>800.08500000000004</v>
      </c>
      <c r="N3964" s="580"/>
    </row>
    <row r="3965" spans="4:16" x14ac:dyDescent="0.25">
      <c r="D3965" s="559" t="s">
        <v>867</v>
      </c>
      <c r="E3965" s="558" t="s">
        <v>1964</v>
      </c>
      <c r="F3965" s="559">
        <v>701757</v>
      </c>
      <c r="G3965" s="558" t="s">
        <v>1965</v>
      </c>
      <c r="H3965" s="564">
        <v>40015</v>
      </c>
      <c r="I3965" s="563">
        <v>727.35</v>
      </c>
      <c r="J3965" s="563">
        <v>-585</v>
      </c>
      <c r="K3965" s="563">
        <f t="shared" si="183"/>
        <v>142.35000000000002</v>
      </c>
      <c r="L3965" s="563">
        <f t="shared" si="184"/>
        <v>156.58500000000004</v>
      </c>
      <c r="M3965" s="563">
        <f t="shared" si="185"/>
        <v>800.08500000000004</v>
      </c>
      <c r="N3965" s="580"/>
      <c r="O3965" s="558"/>
      <c r="P3965" s="564"/>
    </row>
    <row r="3966" spans="4:16" x14ac:dyDescent="0.25">
      <c r="D3966" s="559" t="s">
        <v>867</v>
      </c>
      <c r="E3966" s="558" t="s">
        <v>2430</v>
      </c>
      <c r="F3966" s="559">
        <v>701758</v>
      </c>
      <c r="G3966" s="558" t="s">
        <v>1965</v>
      </c>
      <c r="H3966" s="564">
        <v>40015</v>
      </c>
      <c r="I3966" s="563">
        <v>64.349999999999994</v>
      </c>
      <c r="J3966" s="563">
        <v>-64.349999999999994</v>
      </c>
      <c r="K3966" s="582">
        <f t="shared" si="183"/>
        <v>0</v>
      </c>
      <c r="L3966" s="563">
        <f t="shared" si="184"/>
        <v>0</v>
      </c>
      <c r="M3966" s="563">
        <f t="shared" si="185"/>
        <v>70.784999999999997</v>
      </c>
      <c r="N3966" s="580"/>
    </row>
    <row r="3967" spans="4:16" x14ac:dyDescent="0.25">
      <c r="D3967" s="559" t="s">
        <v>867</v>
      </c>
      <c r="E3967" s="558" t="s">
        <v>1966</v>
      </c>
      <c r="F3967" s="559">
        <v>701759</v>
      </c>
      <c r="G3967" s="558" t="s">
        <v>1965</v>
      </c>
      <c r="H3967" s="564">
        <v>40015</v>
      </c>
      <c r="I3967" s="563">
        <v>64.349999999999994</v>
      </c>
      <c r="J3967" s="563">
        <v>-64.349999999999994</v>
      </c>
      <c r="K3967" s="563">
        <f t="shared" si="183"/>
        <v>0</v>
      </c>
      <c r="L3967" s="563">
        <f t="shared" si="184"/>
        <v>0</v>
      </c>
      <c r="M3967" s="563">
        <f t="shared" si="185"/>
        <v>70.784999999999997</v>
      </c>
      <c r="N3967" s="580"/>
      <c r="O3967" s="558"/>
      <c r="P3967" s="564"/>
    </row>
    <row r="3968" spans="4:16" x14ac:dyDescent="0.25">
      <c r="D3968" s="559" t="s">
        <v>867</v>
      </c>
      <c r="E3968" s="558" t="s">
        <v>2431</v>
      </c>
      <c r="F3968" s="559">
        <v>701998</v>
      </c>
      <c r="G3968" s="558" t="s">
        <v>1965</v>
      </c>
      <c r="H3968" s="564">
        <v>40015</v>
      </c>
      <c r="I3968" s="563">
        <v>64.349999999999994</v>
      </c>
      <c r="J3968" s="563">
        <v>-64.349999999999994</v>
      </c>
      <c r="K3968" s="582">
        <f t="shared" si="183"/>
        <v>0</v>
      </c>
      <c r="L3968" s="563">
        <f t="shared" si="184"/>
        <v>0</v>
      </c>
      <c r="M3968" s="563">
        <f t="shared" si="185"/>
        <v>70.784999999999997</v>
      </c>
      <c r="N3968" s="580"/>
    </row>
    <row r="3969" spans="4:14" x14ac:dyDescent="0.25">
      <c r="D3969" s="559" t="s">
        <v>867</v>
      </c>
      <c r="E3969" s="558" t="s">
        <v>2432</v>
      </c>
      <c r="F3969" s="559">
        <v>701860</v>
      </c>
      <c r="G3969" s="558" t="s">
        <v>2433</v>
      </c>
      <c r="H3969" s="564">
        <v>40015</v>
      </c>
      <c r="I3969" s="563">
        <v>64.349999999999994</v>
      </c>
      <c r="J3969" s="563">
        <v>-64.349999999999994</v>
      </c>
      <c r="K3969" s="582">
        <f t="shared" si="183"/>
        <v>0</v>
      </c>
      <c r="L3969" s="563">
        <f t="shared" si="184"/>
        <v>0</v>
      </c>
      <c r="M3969" s="563">
        <f t="shared" si="185"/>
        <v>70.784999999999997</v>
      </c>
      <c r="N3969" s="580"/>
    </row>
    <row r="3970" spans="4:14" x14ac:dyDescent="0.25">
      <c r="D3970" s="559" t="s">
        <v>867</v>
      </c>
      <c r="E3970" s="558" t="s">
        <v>2434</v>
      </c>
      <c r="F3970" s="559">
        <v>701760</v>
      </c>
      <c r="G3970" s="558" t="s">
        <v>2433</v>
      </c>
      <c r="H3970" s="564">
        <v>40015</v>
      </c>
      <c r="I3970" s="563">
        <v>64.349999999999994</v>
      </c>
      <c r="J3970" s="563">
        <v>-64.349999999999994</v>
      </c>
      <c r="K3970" s="582">
        <f t="shared" si="183"/>
        <v>0</v>
      </c>
      <c r="L3970" s="563">
        <f t="shared" si="184"/>
        <v>0</v>
      </c>
      <c r="M3970" s="563">
        <f t="shared" si="185"/>
        <v>70.784999999999997</v>
      </c>
      <c r="N3970" s="580"/>
    </row>
    <row r="3971" spans="4:14" x14ac:dyDescent="0.25">
      <c r="D3971" s="559" t="s">
        <v>867</v>
      </c>
      <c r="E3971" s="558" t="s">
        <v>2435</v>
      </c>
      <c r="F3971" s="559">
        <v>701761</v>
      </c>
      <c r="G3971" s="558" t="s">
        <v>2433</v>
      </c>
      <c r="H3971" s="564">
        <v>40015</v>
      </c>
      <c r="I3971" s="563">
        <v>64.349999999999994</v>
      </c>
      <c r="J3971" s="563">
        <v>-64.349999999999994</v>
      </c>
      <c r="K3971" s="582">
        <f t="shared" si="183"/>
        <v>0</v>
      </c>
      <c r="L3971" s="563">
        <f t="shared" si="184"/>
        <v>0</v>
      </c>
      <c r="M3971" s="563">
        <f t="shared" si="185"/>
        <v>70.784999999999997</v>
      </c>
      <c r="N3971" s="580"/>
    </row>
    <row r="3972" spans="4:14" x14ac:dyDescent="0.25">
      <c r="D3972" s="559" t="s">
        <v>867</v>
      </c>
      <c r="E3972" s="558" t="s">
        <v>2436</v>
      </c>
      <c r="F3972" s="559">
        <v>701762</v>
      </c>
      <c r="G3972" s="558" t="s">
        <v>2433</v>
      </c>
      <c r="H3972" s="564">
        <v>40015</v>
      </c>
      <c r="I3972" s="563">
        <v>64.349999999999994</v>
      </c>
      <c r="J3972" s="563">
        <v>-64.349999999999994</v>
      </c>
      <c r="K3972" s="582">
        <f t="shared" si="183"/>
        <v>0</v>
      </c>
      <c r="L3972" s="563">
        <f t="shared" si="184"/>
        <v>0</v>
      </c>
      <c r="M3972" s="563">
        <f t="shared" si="185"/>
        <v>70.784999999999997</v>
      </c>
      <c r="N3972" s="580"/>
    </row>
    <row r="3973" spans="4:14" x14ac:dyDescent="0.25">
      <c r="D3973" s="559" t="s">
        <v>867</v>
      </c>
      <c r="E3973" s="558" t="s">
        <v>2437</v>
      </c>
      <c r="F3973" s="559">
        <v>701763</v>
      </c>
      <c r="G3973" s="558" t="s">
        <v>2433</v>
      </c>
      <c r="H3973" s="564">
        <v>40015</v>
      </c>
      <c r="I3973" s="563">
        <v>64.349999999999994</v>
      </c>
      <c r="J3973" s="563">
        <v>-64.349999999999994</v>
      </c>
      <c r="K3973" s="582">
        <f t="shared" si="183"/>
        <v>0</v>
      </c>
      <c r="L3973" s="563">
        <f t="shared" si="184"/>
        <v>0</v>
      </c>
      <c r="M3973" s="563">
        <f t="shared" si="185"/>
        <v>70.784999999999997</v>
      </c>
      <c r="N3973" s="580"/>
    </row>
    <row r="3974" spans="4:14" x14ac:dyDescent="0.25">
      <c r="D3974" s="559" t="s">
        <v>867</v>
      </c>
      <c r="E3974" s="558" t="s">
        <v>2438</v>
      </c>
      <c r="F3974" s="559">
        <v>701902</v>
      </c>
      <c r="G3974" s="558" t="s">
        <v>2439</v>
      </c>
      <c r="H3974" s="564">
        <v>40015</v>
      </c>
      <c r="I3974" s="563">
        <v>64.349999999999994</v>
      </c>
      <c r="J3974" s="563">
        <v>-64.349999999999994</v>
      </c>
      <c r="K3974" s="582">
        <f t="shared" si="183"/>
        <v>0</v>
      </c>
      <c r="L3974" s="563">
        <f t="shared" si="184"/>
        <v>0</v>
      </c>
      <c r="M3974" s="563">
        <f t="shared" si="185"/>
        <v>70.784999999999997</v>
      </c>
      <c r="N3974" s="580"/>
    </row>
    <row r="3975" spans="4:14" x14ac:dyDescent="0.25">
      <c r="D3975" s="559" t="s">
        <v>867</v>
      </c>
      <c r="E3975" s="558" t="s">
        <v>2440</v>
      </c>
      <c r="F3975" s="559">
        <v>701764</v>
      </c>
      <c r="G3975" s="558" t="s">
        <v>2439</v>
      </c>
      <c r="H3975" s="564">
        <v>40015</v>
      </c>
      <c r="I3975" s="563">
        <v>64.349999999999994</v>
      </c>
      <c r="J3975" s="563">
        <v>-64.349999999999994</v>
      </c>
      <c r="K3975" s="582">
        <f t="shared" si="183"/>
        <v>0</v>
      </c>
      <c r="L3975" s="563">
        <f t="shared" si="184"/>
        <v>0</v>
      </c>
      <c r="M3975" s="563">
        <f t="shared" si="185"/>
        <v>70.784999999999997</v>
      </c>
      <c r="N3975" s="580"/>
    </row>
    <row r="3976" spans="4:14" x14ac:dyDescent="0.25">
      <c r="D3976" s="559" t="s">
        <v>867</v>
      </c>
      <c r="E3976" s="558" t="s">
        <v>2441</v>
      </c>
      <c r="F3976" s="559">
        <v>701765</v>
      </c>
      <c r="G3976" s="558" t="s">
        <v>2439</v>
      </c>
      <c r="H3976" s="564">
        <v>40015</v>
      </c>
      <c r="I3976" s="563">
        <v>64.349999999999994</v>
      </c>
      <c r="J3976" s="563">
        <v>-64.349999999999994</v>
      </c>
      <c r="K3976" s="582">
        <f t="shared" si="183"/>
        <v>0</v>
      </c>
      <c r="L3976" s="563">
        <f t="shared" si="184"/>
        <v>0</v>
      </c>
      <c r="M3976" s="563">
        <f t="shared" si="185"/>
        <v>70.784999999999997</v>
      </c>
      <c r="N3976" s="580"/>
    </row>
    <row r="3977" spans="4:14" x14ac:dyDescent="0.25">
      <c r="D3977" s="559" t="s">
        <v>867</v>
      </c>
      <c r="E3977" s="558" t="s">
        <v>2442</v>
      </c>
      <c r="F3977" s="559">
        <v>701766</v>
      </c>
      <c r="G3977" s="558" t="s">
        <v>2439</v>
      </c>
      <c r="H3977" s="564">
        <v>40015</v>
      </c>
      <c r="I3977" s="563">
        <v>64.349999999999994</v>
      </c>
      <c r="J3977" s="563">
        <v>-64.349999999999994</v>
      </c>
      <c r="K3977" s="582">
        <f t="shared" si="183"/>
        <v>0</v>
      </c>
      <c r="L3977" s="563">
        <f t="shared" si="184"/>
        <v>0</v>
      </c>
      <c r="M3977" s="563">
        <f t="shared" si="185"/>
        <v>70.784999999999997</v>
      </c>
      <c r="N3977" s="580"/>
    </row>
    <row r="3978" spans="4:14" x14ac:dyDescent="0.25">
      <c r="D3978" s="559" t="s">
        <v>867</v>
      </c>
      <c r="E3978" s="558" t="s">
        <v>2443</v>
      </c>
      <c r="F3978" s="559">
        <v>701767</v>
      </c>
      <c r="G3978" s="558" t="s">
        <v>2439</v>
      </c>
      <c r="H3978" s="564">
        <v>40015</v>
      </c>
      <c r="I3978" s="563">
        <v>64.349999999999994</v>
      </c>
      <c r="J3978" s="563">
        <v>-64.349999999999994</v>
      </c>
      <c r="K3978" s="582">
        <f t="shared" si="183"/>
        <v>0</v>
      </c>
      <c r="L3978" s="563">
        <f t="shared" si="184"/>
        <v>0</v>
      </c>
      <c r="M3978" s="563">
        <f t="shared" si="185"/>
        <v>70.784999999999997</v>
      </c>
      <c r="N3978" s="580"/>
    </row>
    <row r="3979" spans="4:14" x14ac:dyDescent="0.25">
      <c r="D3979" s="559" t="s">
        <v>867</v>
      </c>
      <c r="E3979" s="558" t="s">
        <v>2444</v>
      </c>
      <c r="F3979" s="559">
        <v>701768</v>
      </c>
      <c r="G3979" s="558" t="s">
        <v>2445</v>
      </c>
      <c r="H3979" s="564">
        <v>40015</v>
      </c>
      <c r="I3979" s="563">
        <v>64.349999999999994</v>
      </c>
      <c r="J3979" s="563">
        <v>-64.349999999999994</v>
      </c>
      <c r="K3979" s="582">
        <f t="shared" si="183"/>
        <v>0</v>
      </c>
      <c r="L3979" s="563">
        <f t="shared" si="184"/>
        <v>0</v>
      </c>
      <c r="M3979" s="563">
        <f t="shared" si="185"/>
        <v>70.784999999999997</v>
      </c>
      <c r="N3979" s="580"/>
    </row>
    <row r="3980" spans="4:14" x14ac:dyDescent="0.25">
      <c r="D3980" s="559" t="s">
        <v>867</v>
      </c>
      <c r="E3980" s="558" t="s">
        <v>2446</v>
      </c>
      <c r="F3980" s="559">
        <v>701769</v>
      </c>
      <c r="G3980" s="558" t="s">
        <v>2445</v>
      </c>
      <c r="H3980" s="564">
        <v>40015</v>
      </c>
      <c r="I3980" s="563">
        <v>64.349999999999994</v>
      </c>
      <c r="J3980" s="563">
        <v>-64.349999999999994</v>
      </c>
      <c r="K3980" s="582">
        <f t="shared" si="183"/>
        <v>0</v>
      </c>
      <c r="L3980" s="563">
        <f t="shared" si="184"/>
        <v>0</v>
      </c>
      <c r="M3980" s="563">
        <f t="shared" si="185"/>
        <v>70.784999999999997</v>
      </c>
      <c r="N3980" s="580"/>
    </row>
    <row r="3981" spans="4:14" x14ac:dyDescent="0.25">
      <c r="D3981" s="559" t="s">
        <v>867</v>
      </c>
      <c r="E3981" s="558" t="s">
        <v>2447</v>
      </c>
      <c r="F3981" s="559">
        <v>701770</v>
      </c>
      <c r="G3981" s="558" t="s">
        <v>2445</v>
      </c>
      <c r="H3981" s="564">
        <v>40015</v>
      </c>
      <c r="I3981" s="563">
        <v>64.349999999999994</v>
      </c>
      <c r="J3981" s="563">
        <v>-64.349999999999994</v>
      </c>
      <c r="K3981" s="582">
        <f t="shared" si="183"/>
        <v>0</v>
      </c>
      <c r="L3981" s="563">
        <f t="shared" si="184"/>
        <v>0</v>
      </c>
      <c r="M3981" s="563">
        <f t="shared" si="185"/>
        <v>70.784999999999997</v>
      </c>
      <c r="N3981" s="580"/>
    </row>
    <row r="3982" spans="4:14" x14ac:dyDescent="0.25">
      <c r="D3982" s="559" t="s">
        <v>867</v>
      </c>
      <c r="E3982" s="558" t="s">
        <v>2448</v>
      </c>
      <c r="F3982" s="559">
        <v>701771</v>
      </c>
      <c r="G3982" s="558" t="s">
        <v>2445</v>
      </c>
      <c r="H3982" s="564">
        <v>40015</v>
      </c>
      <c r="I3982" s="563">
        <v>64.349999999999994</v>
      </c>
      <c r="J3982" s="563">
        <v>-64.349999999999994</v>
      </c>
      <c r="K3982" s="582">
        <f t="shared" si="183"/>
        <v>0</v>
      </c>
      <c r="L3982" s="563">
        <f t="shared" si="184"/>
        <v>0</v>
      </c>
      <c r="M3982" s="563">
        <f t="shared" si="185"/>
        <v>70.784999999999997</v>
      </c>
      <c r="N3982" s="580"/>
    </row>
    <row r="3983" spans="4:14" x14ac:dyDescent="0.25">
      <c r="D3983" s="559" t="s">
        <v>867</v>
      </c>
      <c r="E3983" s="558" t="s">
        <v>2449</v>
      </c>
      <c r="F3983" s="559">
        <v>701772</v>
      </c>
      <c r="G3983" s="558" t="s">
        <v>2445</v>
      </c>
      <c r="H3983" s="564">
        <v>40015</v>
      </c>
      <c r="I3983" s="563">
        <v>64.349999999999994</v>
      </c>
      <c r="J3983" s="563">
        <v>-64.349999999999994</v>
      </c>
      <c r="K3983" s="582">
        <f t="shared" si="183"/>
        <v>0</v>
      </c>
      <c r="L3983" s="563">
        <f t="shared" si="184"/>
        <v>0</v>
      </c>
      <c r="M3983" s="563">
        <f t="shared" si="185"/>
        <v>70.784999999999997</v>
      </c>
      <c r="N3983" s="580"/>
    </row>
    <row r="3984" spans="4:14" x14ac:dyDescent="0.25">
      <c r="D3984" s="559" t="s">
        <v>867</v>
      </c>
      <c r="E3984" s="558" t="s">
        <v>2450</v>
      </c>
      <c r="F3984" s="559">
        <v>701773</v>
      </c>
      <c r="G3984" s="558" t="s">
        <v>2451</v>
      </c>
      <c r="H3984" s="564">
        <v>40015</v>
      </c>
      <c r="I3984" s="563">
        <v>64.349999999999994</v>
      </c>
      <c r="J3984" s="563">
        <v>-64.349999999999994</v>
      </c>
      <c r="K3984" s="582">
        <f t="shared" si="183"/>
        <v>0</v>
      </c>
      <c r="L3984" s="563">
        <f t="shared" si="184"/>
        <v>0</v>
      </c>
      <c r="M3984" s="563">
        <f t="shared" si="185"/>
        <v>70.784999999999997</v>
      </c>
      <c r="N3984" s="580"/>
    </row>
    <row r="3985" spans="4:14" x14ac:dyDescent="0.25">
      <c r="D3985" s="559" t="s">
        <v>867</v>
      </c>
      <c r="E3985" s="558" t="s">
        <v>2452</v>
      </c>
      <c r="F3985" s="559">
        <v>701774</v>
      </c>
      <c r="G3985" s="558" t="s">
        <v>2451</v>
      </c>
      <c r="H3985" s="564">
        <v>40015</v>
      </c>
      <c r="I3985" s="563">
        <v>64.349999999999994</v>
      </c>
      <c r="J3985" s="563">
        <v>-64.349999999999994</v>
      </c>
      <c r="K3985" s="582">
        <f t="shared" si="183"/>
        <v>0</v>
      </c>
      <c r="L3985" s="563">
        <f t="shared" si="184"/>
        <v>0</v>
      </c>
      <c r="M3985" s="563">
        <f t="shared" si="185"/>
        <v>70.784999999999997</v>
      </c>
      <c r="N3985" s="580"/>
    </row>
    <row r="3986" spans="4:14" x14ac:dyDescent="0.25">
      <c r="D3986" s="559" t="s">
        <v>867</v>
      </c>
      <c r="E3986" s="558" t="s">
        <v>2453</v>
      </c>
      <c r="F3986" s="559">
        <v>701999</v>
      </c>
      <c r="G3986" s="558" t="s">
        <v>2451</v>
      </c>
      <c r="H3986" s="564">
        <v>40015</v>
      </c>
      <c r="I3986" s="563">
        <v>64.349999999999994</v>
      </c>
      <c r="J3986" s="563">
        <v>-64.349999999999994</v>
      </c>
      <c r="K3986" s="582">
        <f t="shared" si="183"/>
        <v>0</v>
      </c>
      <c r="L3986" s="563">
        <f t="shared" si="184"/>
        <v>0</v>
      </c>
      <c r="M3986" s="563">
        <f t="shared" si="185"/>
        <v>70.784999999999997</v>
      </c>
      <c r="N3986" s="580"/>
    </row>
    <row r="3987" spans="4:14" x14ac:dyDescent="0.25">
      <c r="D3987" s="559" t="s">
        <v>867</v>
      </c>
      <c r="E3987" s="558" t="s">
        <v>2454</v>
      </c>
      <c r="F3987" s="559">
        <v>701775</v>
      </c>
      <c r="G3987" s="558" t="s">
        <v>2451</v>
      </c>
      <c r="H3987" s="564">
        <v>40015</v>
      </c>
      <c r="I3987" s="563">
        <v>727.35</v>
      </c>
      <c r="J3987" s="563">
        <v>-585</v>
      </c>
      <c r="K3987" s="582">
        <f t="shared" si="183"/>
        <v>142.35000000000002</v>
      </c>
      <c r="L3987" s="563">
        <f t="shared" si="184"/>
        <v>156.58500000000004</v>
      </c>
      <c r="M3987" s="563">
        <f t="shared" si="185"/>
        <v>800.08500000000004</v>
      </c>
      <c r="N3987" s="580"/>
    </row>
    <row r="3988" spans="4:14" x14ac:dyDescent="0.25">
      <c r="D3988" s="559" t="s">
        <v>867</v>
      </c>
      <c r="E3988" s="558" t="s">
        <v>2455</v>
      </c>
      <c r="F3988" s="559">
        <v>701776</v>
      </c>
      <c r="G3988" s="558" t="s">
        <v>2451</v>
      </c>
      <c r="H3988" s="564">
        <v>40015</v>
      </c>
      <c r="I3988" s="563">
        <v>64.349999999999994</v>
      </c>
      <c r="J3988" s="563">
        <v>-64.349999999999994</v>
      </c>
      <c r="K3988" s="582">
        <f t="shared" si="183"/>
        <v>0</v>
      </c>
      <c r="L3988" s="563">
        <f t="shared" si="184"/>
        <v>0</v>
      </c>
      <c r="M3988" s="563">
        <f t="shared" si="185"/>
        <v>70.784999999999997</v>
      </c>
      <c r="N3988" s="580"/>
    </row>
    <row r="3989" spans="4:14" x14ac:dyDescent="0.25">
      <c r="D3989" s="559" t="s">
        <v>867</v>
      </c>
      <c r="E3989" s="558" t="s">
        <v>2456</v>
      </c>
      <c r="F3989" s="559">
        <v>701777</v>
      </c>
      <c r="G3989" s="558" t="s">
        <v>2457</v>
      </c>
      <c r="H3989" s="564">
        <v>40015</v>
      </c>
      <c r="I3989" s="563">
        <v>64.349999999999994</v>
      </c>
      <c r="J3989" s="563">
        <v>-64.349999999999994</v>
      </c>
      <c r="K3989" s="582">
        <f t="shared" si="183"/>
        <v>0</v>
      </c>
      <c r="L3989" s="563">
        <f t="shared" si="184"/>
        <v>0</v>
      </c>
      <c r="M3989" s="563">
        <f t="shared" si="185"/>
        <v>70.784999999999997</v>
      </c>
      <c r="N3989" s="580"/>
    </row>
    <row r="3990" spans="4:14" x14ac:dyDescent="0.25">
      <c r="D3990" s="559" t="s">
        <v>867</v>
      </c>
      <c r="E3990" s="558" t="s">
        <v>2458</v>
      </c>
      <c r="F3990" s="559">
        <v>701903</v>
      </c>
      <c r="G3990" s="558" t="s">
        <v>2457</v>
      </c>
      <c r="H3990" s="564">
        <v>40015</v>
      </c>
      <c r="I3990" s="563">
        <v>64.349999999999994</v>
      </c>
      <c r="J3990" s="563">
        <v>-64.349999999999994</v>
      </c>
      <c r="K3990" s="582">
        <f t="shared" si="183"/>
        <v>0</v>
      </c>
      <c r="L3990" s="563">
        <f t="shared" si="184"/>
        <v>0</v>
      </c>
      <c r="M3990" s="563">
        <f t="shared" si="185"/>
        <v>70.784999999999997</v>
      </c>
      <c r="N3990" s="580"/>
    </row>
    <row r="3991" spans="4:14" x14ac:dyDescent="0.25">
      <c r="D3991" s="559" t="s">
        <v>867</v>
      </c>
      <c r="E3991" s="558" t="s">
        <v>2459</v>
      </c>
      <c r="F3991" s="559">
        <v>701778</v>
      </c>
      <c r="G3991" s="558" t="s">
        <v>2457</v>
      </c>
      <c r="H3991" s="564">
        <v>40015</v>
      </c>
      <c r="I3991" s="563">
        <v>64.349999999999994</v>
      </c>
      <c r="J3991" s="563">
        <v>-64.349999999999994</v>
      </c>
      <c r="K3991" s="582">
        <f t="shared" si="183"/>
        <v>0</v>
      </c>
      <c r="L3991" s="563">
        <f t="shared" si="184"/>
        <v>0</v>
      </c>
      <c r="M3991" s="563">
        <f t="shared" si="185"/>
        <v>70.784999999999997</v>
      </c>
      <c r="N3991" s="580"/>
    </row>
    <row r="3992" spans="4:14" x14ac:dyDescent="0.25">
      <c r="D3992" s="559" t="s">
        <v>867</v>
      </c>
      <c r="E3992" s="558" t="s">
        <v>2460</v>
      </c>
      <c r="F3992" s="559">
        <v>701779</v>
      </c>
      <c r="G3992" s="558" t="s">
        <v>2457</v>
      </c>
      <c r="H3992" s="564">
        <v>40015</v>
      </c>
      <c r="I3992" s="563">
        <v>64.349999999999994</v>
      </c>
      <c r="J3992" s="563">
        <v>-64.349999999999994</v>
      </c>
      <c r="K3992" s="582">
        <f t="shared" si="183"/>
        <v>0</v>
      </c>
      <c r="L3992" s="563">
        <f t="shared" si="184"/>
        <v>0</v>
      </c>
      <c r="M3992" s="563">
        <f t="shared" si="185"/>
        <v>70.784999999999997</v>
      </c>
      <c r="N3992" s="580"/>
    </row>
    <row r="3993" spans="4:14" x14ac:dyDescent="0.25">
      <c r="D3993" s="559" t="s">
        <v>867</v>
      </c>
      <c r="E3993" s="558" t="s">
        <v>2461</v>
      </c>
      <c r="F3993" s="559">
        <v>701780</v>
      </c>
      <c r="G3993" s="558" t="s">
        <v>2457</v>
      </c>
      <c r="H3993" s="564">
        <v>40015</v>
      </c>
      <c r="I3993" s="563">
        <v>64.349999999999994</v>
      </c>
      <c r="J3993" s="563">
        <v>-64.349999999999994</v>
      </c>
      <c r="K3993" s="582">
        <f t="shared" si="183"/>
        <v>0</v>
      </c>
      <c r="L3993" s="563">
        <f t="shared" si="184"/>
        <v>0</v>
      </c>
      <c r="M3993" s="563">
        <f t="shared" si="185"/>
        <v>70.784999999999997</v>
      </c>
      <c r="N3993" s="580"/>
    </row>
    <row r="3994" spans="4:14" x14ac:dyDescent="0.25">
      <c r="D3994" s="559" t="s">
        <v>867</v>
      </c>
      <c r="E3994" s="558" t="s">
        <v>2462</v>
      </c>
      <c r="F3994" s="559">
        <v>701861</v>
      </c>
      <c r="G3994" s="558" t="s">
        <v>2463</v>
      </c>
      <c r="H3994" s="564">
        <v>40015</v>
      </c>
      <c r="I3994" s="563">
        <v>64.349999999999994</v>
      </c>
      <c r="J3994" s="563">
        <v>-64.349999999999994</v>
      </c>
      <c r="K3994" s="582">
        <f t="shared" si="183"/>
        <v>0</v>
      </c>
      <c r="L3994" s="563">
        <f t="shared" si="184"/>
        <v>0</v>
      </c>
      <c r="M3994" s="563">
        <f t="shared" si="185"/>
        <v>70.784999999999997</v>
      </c>
      <c r="N3994" s="580"/>
    </row>
    <row r="3995" spans="4:14" x14ac:dyDescent="0.25">
      <c r="D3995" s="559" t="s">
        <v>867</v>
      </c>
      <c r="E3995" s="558" t="s">
        <v>2464</v>
      </c>
      <c r="F3995" s="559">
        <v>701781</v>
      </c>
      <c r="G3995" s="558" t="s">
        <v>2463</v>
      </c>
      <c r="H3995" s="564">
        <v>40015</v>
      </c>
      <c r="I3995" s="563">
        <v>64.349999999999994</v>
      </c>
      <c r="J3995" s="563">
        <v>-64.349999999999994</v>
      </c>
      <c r="K3995" s="582">
        <f t="shared" si="183"/>
        <v>0</v>
      </c>
      <c r="L3995" s="563">
        <f t="shared" si="184"/>
        <v>0</v>
      </c>
      <c r="M3995" s="563">
        <f t="shared" si="185"/>
        <v>70.784999999999997</v>
      </c>
      <c r="N3995" s="580"/>
    </row>
    <row r="3996" spans="4:14" x14ac:dyDescent="0.25">
      <c r="D3996" s="559" t="s">
        <v>867</v>
      </c>
      <c r="E3996" s="558" t="s">
        <v>2465</v>
      </c>
      <c r="F3996" s="559">
        <v>701782</v>
      </c>
      <c r="G3996" s="558" t="s">
        <v>2463</v>
      </c>
      <c r="H3996" s="564">
        <v>40015</v>
      </c>
      <c r="I3996" s="563">
        <v>727.35</v>
      </c>
      <c r="J3996" s="563">
        <v>-585</v>
      </c>
      <c r="K3996" s="582">
        <f t="shared" si="183"/>
        <v>142.35000000000002</v>
      </c>
      <c r="L3996" s="563">
        <f t="shared" si="184"/>
        <v>156.58500000000004</v>
      </c>
      <c r="M3996" s="563">
        <f t="shared" si="185"/>
        <v>800.08500000000004</v>
      </c>
      <c r="N3996" s="580"/>
    </row>
    <row r="3997" spans="4:14" x14ac:dyDescent="0.25">
      <c r="D3997" s="559" t="s">
        <v>867</v>
      </c>
      <c r="E3997" s="558" t="s">
        <v>2466</v>
      </c>
      <c r="F3997" s="559">
        <v>701783</v>
      </c>
      <c r="G3997" s="558" t="s">
        <v>2463</v>
      </c>
      <c r="H3997" s="564">
        <v>40015</v>
      </c>
      <c r="I3997" s="563">
        <v>727.35</v>
      </c>
      <c r="J3997" s="563">
        <v>-585</v>
      </c>
      <c r="K3997" s="582">
        <f t="shared" si="183"/>
        <v>142.35000000000002</v>
      </c>
      <c r="L3997" s="563">
        <f t="shared" si="184"/>
        <v>156.58500000000004</v>
      </c>
      <c r="M3997" s="563">
        <f t="shared" si="185"/>
        <v>800.08500000000004</v>
      </c>
      <c r="N3997" s="580"/>
    </row>
    <row r="3998" spans="4:14" x14ac:dyDescent="0.25">
      <c r="D3998" s="559" t="s">
        <v>867</v>
      </c>
      <c r="E3998" s="558" t="s">
        <v>2467</v>
      </c>
      <c r="F3998" s="559">
        <v>701784</v>
      </c>
      <c r="G3998" s="558" t="s">
        <v>2463</v>
      </c>
      <c r="H3998" s="564">
        <v>40015</v>
      </c>
      <c r="I3998" s="563">
        <v>64.349999999999994</v>
      </c>
      <c r="J3998" s="563">
        <v>-64.349999999999994</v>
      </c>
      <c r="K3998" s="582">
        <f t="shared" si="183"/>
        <v>0</v>
      </c>
      <c r="L3998" s="563">
        <f t="shared" si="184"/>
        <v>0</v>
      </c>
      <c r="M3998" s="563">
        <f t="shared" si="185"/>
        <v>70.784999999999997</v>
      </c>
      <c r="N3998" s="580"/>
    </row>
    <row r="3999" spans="4:14" x14ac:dyDescent="0.25">
      <c r="D3999" s="559" t="s">
        <v>867</v>
      </c>
      <c r="E3999" s="558" t="s">
        <v>2468</v>
      </c>
      <c r="F3999" s="559">
        <v>701785</v>
      </c>
      <c r="G3999" s="558" t="s">
        <v>2469</v>
      </c>
      <c r="H3999" s="564">
        <v>40015</v>
      </c>
      <c r="I3999" s="563">
        <v>64.349999999999994</v>
      </c>
      <c r="J3999" s="563">
        <v>-64.349999999999994</v>
      </c>
      <c r="K3999" s="582">
        <f t="shared" si="183"/>
        <v>0</v>
      </c>
      <c r="L3999" s="563">
        <f t="shared" si="184"/>
        <v>0</v>
      </c>
      <c r="M3999" s="563">
        <f t="shared" si="185"/>
        <v>70.784999999999997</v>
      </c>
      <c r="N3999" s="580"/>
    </row>
    <row r="4000" spans="4:14" x14ac:dyDescent="0.25">
      <c r="D4000" s="559" t="s">
        <v>867</v>
      </c>
      <c r="E4000" s="558" t="s">
        <v>2470</v>
      </c>
      <c r="F4000" s="559">
        <v>701904</v>
      </c>
      <c r="G4000" s="558" t="s">
        <v>2469</v>
      </c>
      <c r="H4000" s="564">
        <v>40015</v>
      </c>
      <c r="I4000" s="563">
        <v>64.349999999999994</v>
      </c>
      <c r="J4000" s="563">
        <v>-64.349999999999994</v>
      </c>
      <c r="K4000" s="582">
        <f t="shared" si="183"/>
        <v>0</v>
      </c>
      <c r="L4000" s="563">
        <f t="shared" si="184"/>
        <v>0</v>
      </c>
      <c r="M4000" s="563">
        <f t="shared" si="185"/>
        <v>70.784999999999997</v>
      </c>
      <c r="N4000" s="580"/>
    </row>
    <row r="4001" spans="4:14" x14ac:dyDescent="0.25">
      <c r="D4001" s="559" t="s">
        <v>867</v>
      </c>
      <c r="E4001" s="558" t="s">
        <v>2471</v>
      </c>
      <c r="F4001" s="559">
        <v>701786</v>
      </c>
      <c r="G4001" s="558" t="s">
        <v>2469</v>
      </c>
      <c r="H4001" s="564">
        <v>40015</v>
      </c>
      <c r="I4001" s="563">
        <v>64.349999999999994</v>
      </c>
      <c r="J4001" s="563">
        <v>-64.349999999999994</v>
      </c>
      <c r="K4001" s="582">
        <f t="shared" si="183"/>
        <v>0</v>
      </c>
      <c r="L4001" s="563">
        <f t="shared" si="184"/>
        <v>0</v>
      </c>
      <c r="M4001" s="563">
        <f t="shared" si="185"/>
        <v>70.784999999999997</v>
      </c>
      <c r="N4001" s="580"/>
    </row>
    <row r="4002" spans="4:14" x14ac:dyDescent="0.25">
      <c r="D4002" s="559" t="s">
        <v>867</v>
      </c>
      <c r="E4002" s="558" t="s">
        <v>2472</v>
      </c>
      <c r="F4002" s="559">
        <v>701787</v>
      </c>
      <c r="G4002" s="558" t="s">
        <v>2469</v>
      </c>
      <c r="H4002" s="564">
        <v>40015</v>
      </c>
      <c r="I4002" s="563">
        <v>727.35</v>
      </c>
      <c r="J4002" s="563">
        <v>-585</v>
      </c>
      <c r="K4002" s="582">
        <f t="shared" si="183"/>
        <v>142.35000000000002</v>
      </c>
      <c r="L4002" s="563">
        <f t="shared" si="184"/>
        <v>156.58500000000004</v>
      </c>
      <c r="M4002" s="563">
        <f t="shared" si="185"/>
        <v>800.08500000000004</v>
      </c>
      <c r="N4002" s="580"/>
    </row>
    <row r="4003" spans="4:14" x14ac:dyDescent="0.25">
      <c r="D4003" s="559" t="s">
        <v>867</v>
      </c>
      <c r="E4003" s="558" t="s">
        <v>2473</v>
      </c>
      <c r="F4003" s="559">
        <v>701788</v>
      </c>
      <c r="G4003" s="558" t="s">
        <v>2469</v>
      </c>
      <c r="H4003" s="564">
        <v>40015</v>
      </c>
      <c r="I4003" s="563">
        <v>64.349999999999994</v>
      </c>
      <c r="J4003" s="563">
        <v>-64.349999999999994</v>
      </c>
      <c r="K4003" s="582">
        <f t="shared" si="183"/>
        <v>0</v>
      </c>
      <c r="L4003" s="563">
        <f t="shared" si="184"/>
        <v>0</v>
      </c>
      <c r="M4003" s="563">
        <f t="shared" si="185"/>
        <v>70.784999999999997</v>
      </c>
      <c r="N4003" s="580"/>
    </row>
    <row r="4004" spans="4:14" x14ac:dyDescent="0.25">
      <c r="D4004" s="559" t="s">
        <v>867</v>
      </c>
      <c r="E4004" s="558" t="s">
        <v>2474</v>
      </c>
      <c r="F4004" s="559">
        <v>701789</v>
      </c>
      <c r="G4004" s="558" t="s">
        <v>2475</v>
      </c>
      <c r="H4004" s="564">
        <v>40015</v>
      </c>
      <c r="I4004" s="563">
        <v>64.349999999999994</v>
      </c>
      <c r="J4004" s="563">
        <v>-64.349999999999994</v>
      </c>
      <c r="K4004" s="582">
        <f t="shared" si="183"/>
        <v>0</v>
      </c>
      <c r="L4004" s="563">
        <f t="shared" si="184"/>
        <v>0</v>
      </c>
      <c r="M4004" s="563">
        <f t="shared" si="185"/>
        <v>70.784999999999997</v>
      </c>
      <c r="N4004" s="580"/>
    </row>
    <row r="4005" spans="4:14" x14ac:dyDescent="0.25">
      <c r="D4005" s="559" t="s">
        <v>867</v>
      </c>
      <c r="E4005" s="558" t="s">
        <v>2476</v>
      </c>
      <c r="F4005" s="559">
        <v>701791</v>
      </c>
      <c r="G4005" s="558" t="s">
        <v>2475</v>
      </c>
      <c r="H4005" s="564">
        <v>40015</v>
      </c>
      <c r="I4005" s="563">
        <v>64.349999999999994</v>
      </c>
      <c r="J4005" s="563">
        <v>-64.349999999999994</v>
      </c>
      <c r="K4005" s="582">
        <f t="shared" si="183"/>
        <v>0</v>
      </c>
      <c r="L4005" s="563">
        <f t="shared" si="184"/>
        <v>0</v>
      </c>
      <c r="M4005" s="563">
        <f t="shared" si="185"/>
        <v>70.784999999999997</v>
      </c>
      <c r="N4005" s="580"/>
    </row>
    <row r="4006" spans="4:14" x14ac:dyDescent="0.25">
      <c r="D4006" s="559" t="s">
        <v>867</v>
      </c>
      <c r="E4006" s="558" t="s">
        <v>2477</v>
      </c>
      <c r="F4006" s="559">
        <v>701792</v>
      </c>
      <c r="G4006" s="558" t="s">
        <v>2475</v>
      </c>
      <c r="H4006" s="564">
        <v>40015</v>
      </c>
      <c r="I4006" s="563">
        <v>64.349999999999994</v>
      </c>
      <c r="J4006" s="563">
        <v>-64.349999999999994</v>
      </c>
      <c r="K4006" s="582">
        <f t="shared" si="183"/>
        <v>0</v>
      </c>
      <c r="L4006" s="563">
        <f t="shared" si="184"/>
        <v>0</v>
      </c>
      <c r="M4006" s="563">
        <f t="shared" si="185"/>
        <v>70.784999999999997</v>
      </c>
      <c r="N4006" s="580"/>
    </row>
    <row r="4007" spans="4:14" x14ac:dyDescent="0.25">
      <c r="D4007" s="559" t="s">
        <v>867</v>
      </c>
      <c r="E4007" s="558" t="s">
        <v>2478</v>
      </c>
      <c r="F4007" s="559">
        <v>702000</v>
      </c>
      <c r="G4007" s="558" t="s">
        <v>2475</v>
      </c>
      <c r="H4007" s="564">
        <v>40015</v>
      </c>
      <c r="I4007" s="563">
        <v>64.349999999999994</v>
      </c>
      <c r="J4007" s="563">
        <v>-64.349999999999994</v>
      </c>
      <c r="K4007" s="582">
        <f t="shared" si="183"/>
        <v>0</v>
      </c>
      <c r="L4007" s="563">
        <f t="shared" si="184"/>
        <v>0</v>
      </c>
      <c r="M4007" s="563">
        <f t="shared" si="185"/>
        <v>70.784999999999997</v>
      </c>
      <c r="N4007" s="580"/>
    </row>
    <row r="4008" spans="4:14" x14ac:dyDescent="0.25">
      <c r="D4008" s="559" t="s">
        <v>867</v>
      </c>
      <c r="E4008" s="558" t="s">
        <v>2479</v>
      </c>
      <c r="F4008" s="559">
        <v>502212</v>
      </c>
      <c r="G4008" s="558" t="s">
        <v>2475</v>
      </c>
      <c r="H4008" s="564">
        <v>40015</v>
      </c>
      <c r="I4008" s="563">
        <v>64.349999999999994</v>
      </c>
      <c r="J4008" s="563">
        <v>-64.349999999999994</v>
      </c>
      <c r="K4008" s="582">
        <f t="shared" si="183"/>
        <v>0</v>
      </c>
      <c r="L4008" s="563">
        <f t="shared" si="184"/>
        <v>0</v>
      </c>
      <c r="M4008" s="563">
        <f t="shared" si="185"/>
        <v>70.784999999999997</v>
      </c>
      <c r="N4008" s="580"/>
    </row>
    <row r="4009" spans="4:14" x14ac:dyDescent="0.25">
      <c r="D4009" s="559" t="s">
        <v>867</v>
      </c>
      <c r="E4009" s="558" t="s">
        <v>2480</v>
      </c>
      <c r="F4009" s="559">
        <v>701794</v>
      </c>
      <c r="G4009" s="558" t="s">
        <v>2481</v>
      </c>
      <c r="H4009" s="564">
        <v>40015</v>
      </c>
      <c r="I4009" s="563">
        <v>64.349999999999994</v>
      </c>
      <c r="J4009" s="563">
        <v>-64.349999999999994</v>
      </c>
      <c r="K4009" s="582">
        <f t="shared" ref="K4009:K4072" si="186">+I4009+J4009</f>
        <v>0</v>
      </c>
      <c r="L4009" s="563">
        <f t="shared" ref="L4009:L4072" si="187">+K4009*1.1</f>
        <v>0</v>
      </c>
      <c r="M4009" s="563">
        <f t="shared" ref="M4009:M4072" si="188">+I4009*1.1</f>
        <v>70.784999999999997</v>
      </c>
      <c r="N4009" s="580"/>
    </row>
    <row r="4010" spans="4:14" x14ac:dyDescent="0.25">
      <c r="D4010" s="559" t="s">
        <v>867</v>
      </c>
      <c r="E4010" s="558" t="s">
        <v>2482</v>
      </c>
      <c r="F4010" s="559">
        <v>701797</v>
      </c>
      <c r="G4010" s="558" t="s">
        <v>2481</v>
      </c>
      <c r="H4010" s="564">
        <v>40015</v>
      </c>
      <c r="I4010" s="563">
        <v>64.349999999999994</v>
      </c>
      <c r="J4010" s="563">
        <v>-64.349999999999994</v>
      </c>
      <c r="K4010" s="582">
        <f t="shared" si="186"/>
        <v>0</v>
      </c>
      <c r="L4010" s="563">
        <f t="shared" si="187"/>
        <v>0</v>
      </c>
      <c r="M4010" s="563">
        <f t="shared" si="188"/>
        <v>70.784999999999997</v>
      </c>
      <c r="N4010" s="580"/>
    </row>
    <row r="4011" spans="4:14" x14ac:dyDescent="0.25">
      <c r="D4011" s="559" t="s">
        <v>867</v>
      </c>
      <c r="E4011" s="558" t="s">
        <v>2483</v>
      </c>
      <c r="F4011" s="559">
        <v>701796</v>
      </c>
      <c r="G4011" s="558" t="s">
        <v>2481</v>
      </c>
      <c r="H4011" s="564">
        <v>40015</v>
      </c>
      <c r="I4011" s="563">
        <v>64.349999999999994</v>
      </c>
      <c r="J4011" s="563">
        <v>-64.349999999999994</v>
      </c>
      <c r="K4011" s="582">
        <f t="shared" si="186"/>
        <v>0</v>
      </c>
      <c r="L4011" s="563">
        <f t="shared" si="187"/>
        <v>0</v>
      </c>
      <c r="M4011" s="563">
        <f t="shared" si="188"/>
        <v>70.784999999999997</v>
      </c>
      <c r="N4011" s="580"/>
    </row>
    <row r="4012" spans="4:14" x14ac:dyDescent="0.25">
      <c r="D4012" s="559" t="s">
        <v>867</v>
      </c>
      <c r="E4012" s="558" t="s">
        <v>2484</v>
      </c>
      <c r="F4012" s="559">
        <v>701862</v>
      </c>
      <c r="G4012" s="558" t="s">
        <v>2481</v>
      </c>
      <c r="H4012" s="564">
        <v>40015</v>
      </c>
      <c r="I4012" s="563">
        <v>64.349999999999994</v>
      </c>
      <c r="J4012" s="563">
        <v>-64.349999999999994</v>
      </c>
      <c r="K4012" s="582">
        <f t="shared" si="186"/>
        <v>0</v>
      </c>
      <c r="L4012" s="563">
        <f t="shared" si="187"/>
        <v>0</v>
      </c>
      <c r="M4012" s="563">
        <f t="shared" si="188"/>
        <v>70.784999999999997</v>
      </c>
      <c r="N4012" s="580"/>
    </row>
    <row r="4013" spans="4:14" x14ac:dyDescent="0.25">
      <c r="D4013" s="559" t="s">
        <v>867</v>
      </c>
      <c r="E4013" s="558" t="s">
        <v>2485</v>
      </c>
      <c r="F4013" s="559">
        <v>702018</v>
      </c>
      <c r="G4013" s="558" t="s">
        <v>2481</v>
      </c>
      <c r="H4013" s="564">
        <v>40015</v>
      </c>
      <c r="I4013" s="563">
        <v>64.349999999999994</v>
      </c>
      <c r="J4013" s="563">
        <v>-64.349999999999994</v>
      </c>
      <c r="K4013" s="582">
        <f t="shared" si="186"/>
        <v>0</v>
      </c>
      <c r="L4013" s="563">
        <f t="shared" si="187"/>
        <v>0</v>
      </c>
      <c r="M4013" s="563">
        <f t="shared" si="188"/>
        <v>70.784999999999997</v>
      </c>
      <c r="N4013" s="580"/>
    </row>
    <row r="4014" spans="4:14" x14ac:dyDescent="0.25">
      <c r="D4014" s="559" t="s">
        <v>867</v>
      </c>
      <c r="E4014" s="558" t="s">
        <v>2486</v>
      </c>
      <c r="F4014" s="559">
        <v>701889</v>
      </c>
      <c r="G4014" s="558" t="s">
        <v>2487</v>
      </c>
      <c r="H4014" s="564">
        <v>40015</v>
      </c>
      <c r="I4014" s="563">
        <v>64.349999999999994</v>
      </c>
      <c r="J4014" s="563">
        <v>-64.349999999999994</v>
      </c>
      <c r="K4014" s="582">
        <f t="shared" si="186"/>
        <v>0</v>
      </c>
      <c r="L4014" s="563">
        <f t="shared" si="187"/>
        <v>0</v>
      </c>
      <c r="M4014" s="563">
        <f t="shared" si="188"/>
        <v>70.784999999999997</v>
      </c>
      <c r="N4014" s="580"/>
    </row>
    <row r="4015" spans="4:14" x14ac:dyDescent="0.25">
      <c r="D4015" s="559" t="s">
        <v>867</v>
      </c>
      <c r="E4015" s="558" t="s">
        <v>2488</v>
      </c>
      <c r="F4015" s="559">
        <v>701890</v>
      </c>
      <c r="G4015" s="558" t="s">
        <v>2487</v>
      </c>
      <c r="H4015" s="564">
        <v>40015</v>
      </c>
      <c r="I4015" s="563">
        <v>64.349999999999994</v>
      </c>
      <c r="J4015" s="563">
        <v>-64.349999999999994</v>
      </c>
      <c r="K4015" s="582">
        <f t="shared" si="186"/>
        <v>0</v>
      </c>
      <c r="L4015" s="563">
        <f t="shared" si="187"/>
        <v>0</v>
      </c>
      <c r="M4015" s="563">
        <f t="shared" si="188"/>
        <v>70.784999999999997</v>
      </c>
      <c r="N4015" s="580"/>
    </row>
    <row r="4016" spans="4:14" x14ac:dyDescent="0.25">
      <c r="D4016" s="559" t="s">
        <v>867</v>
      </c>
      <c r="E4016" s="558" t="s">
        <v>2489</v>
      </c>
      <c r="F4016" s="559">
        <v>701891</v>
      </c>
      <c r="G4016" s="558" t="s">
        <v>2487</v>
      </c>
      <c r="H4016" s="564">
        <v>40015</v>
      </c>
      <c r="I4016" s="563">
        <v>64.349999999999994</v>
      </c>
      <c r="J4016" s="563">
        <v>-64.349999999999994</v>
      </c>
      <c r="K4016" s="582">
        <f t="shared" si="186"/>
        <v>0</v>
      </c>
      <c r="L4016" s="563">
        <f t="shared" si="187"/>
        <v>0</v>
      </c>
      <c r="M4016" s="563">
        <f t="shared" si="188"/>
        <v>70.784999999999997</v>
      </c>
      <c r="N4016" s="580"/>
    </row>
    <row r="4017" spans="4:16" x14ac:dyDescent="0.25">
      <c r="D4017" s="559" t="s">
        <v>867</v>
      </c>
      <c r="E4017" s="558" t="s">
        <v>2490</v>
      </c>
      <c r="F4017" s="559">
        <v>701892</v>
      </c>
      <c r="G4017" s="558" t="s">
        <v>2487</v>
      </c>
      <c r="H4017" s="564">
        <v>40015</v>
      </c>
      <c r="I4017" s="563">
        <v>64.349999999999994</v>
      </c>
      <c r="J4017" s="563">
        <v>-64.349999999999994</v>
      </c>
      <c r="K4017" s="582">
        <f t="shared" si="186"/>
        <v>0</v>
      </c>
      <c r="L4017" s="563">
        <f t="shared" si="187"/>
        <v>0</v>
      </c>
      <c r="M4017" s="563">
        <f t="shared" si="188"/>
        <v>70.784999999999997</v>
      </c>
      <c r="N4017" s="580"/>
    </row>
    <row r="4018" spans="4:16" x14ac:dyDescent="0.25">
      <c r="D4018" s="559" t="s">
        <v>867</v>
      </c>
      <c r="E4018" s="558" t="s">
        <v>2491</v>
      </c>
      <c r="F4018" s="559">
        <v>701893</v>
      </c>
      <c r="G4018" s="558" t="s">
        <v>2487</v>
      </c>
      <c r="H4018" s="564">
        <v>40015</v>
      </c>
      <c r="I4018" s="563">
        <v>64.349999999999994</v>
      </c>
      <c r="J4018" s="563">
        <v>-64.349999999999994</v>
      </c>
      <c r="K4018" s="582">
        <f t="shared" si="186"/>
        <v>0</v>
      </c>
      <c r="L4018" s="563">
        <f t="shared" si="187"/>
        <v>0</v>
      </c>
      <c r="M4018" s="563">
        <f t="shared" si="188"/>
        <v>70.784999999999997</v>
      </c>
      <c r="N4018" s="580"/>
    </row>
    <row r="4019" spans="4:16" x14ac:dyDescent="0.25">
      <c r="D4019" s="559" t="s">
        <v>867</v>
      </c>
      <c r="E4019" s="558" t="s">
        <v>1967</v>
      </c>
      <c r="F4019" s="559">
        <v>702090</v>
      </c>
      <c r="G4019" s="558" t="s">
        <v>1968</v>
      </c>
      <c r="H4019" s="564">
        <v>40015</v>
      </c>
      <c r="I4019" s="563">
        <v>64.349999999999994</v>
      </c>
      <c r="J4019" s="563">
        <v>-64.349999999999994</v>
      </c>
      <c r="K4019" s="563">
        <f t="shared" si="186"/>
        <v>0</v>
      </c>
      <c r="L4019" s="563">
        <f t="shared" si="187"/>
        <v>0</v>
      </c>
      <c r="M4019" s="563">
        <f t="shared" si="188"/>
        <v>70.784999999999997</v>
      </c>
      <c r="N4019" s="580"/>
      <c r="O4019" s="558"/>
      <c r="P4019" s="564"/>
    </row>
    <row r="4020" spans="4:16" x14ac:dyDescent="0.25">
      <c r="D4020" s="559" t="s">
        <v>867</v>
      </c>
      <c r="E4020" s="558" t="s">
        <v>2492</v>
      </c>
      <c r="F4020" s="559">
        <v>702091</v>
      </c>
      <c r="G4020" s="558" t="s">
        <v>1968</v>
      </c>
      <c r="H4020" s="564">
        <v>40015</v>
      </c>
      <c r="I4020" s="563">
        <v>64.349999999999994</v>
      </c>
      <c r="J4020" s="563">
        <v>-64.349999999999994</v>
      </c>
      <c r="K4020" s="582">
        <f t="shared" si="186"/>
        <v>0</v>
      </c>
      <c r="L4020" s="563">
        <f t="shared" si="187"/>
        <v>0</v>
      </c>
      <c r="M4020" s="563">
        <f t="shared" si="188"/>
        <v>70.784999999999997</v>
      </c>
      <c r="N4020" s="580"/>
    </row>
    <row r="4021" spans="4:16" x14ac:dyDescent="0.25">
      <c r="D4021" s="559" t="s">
        <v>867</v>
      </c>
      <c r="E4021" s="558" t="s">
        <v>2493</v>
      </c>
      <c r="F4021" s="559">
        <v>702092</v>
      </c>
      <c r="G4021" s="558" t="s">
        <v>1968</v>
      </c>
      <c r="H4021" s="564">
        <v>40015</v>
      </c>
      <c r="I4021" s="563">
        <v>64.349999999999994</v>
      </c>
      <c r="J4021" s="563">
        <v>-64.349999999999994</v>
      </c>
      <c r="K4021" s="582">
        <f t="shared" si="186"/>
        <v>0</v>
      </c>
      <c r="L4021" s="563">
        <f t="shared" si="187"/>
        <v>0</v>
      </c>
      <c r="M4021" s="563">
        <f t="shared" si="188"/>
        <v>70.784999999999997</v>
      </c>
      <c r="N4021" s="580"/>
    </row>
    <row r="4022" spans="4:16" x14ac:dyDescent="0.25">
      <c r="D4022" s="559" t="s">
        <v>867</v>
      </c>
      <c r="E4022" s="558" t="s">
        <v>2494</v>
      </c>
      <c r="F4022" s="559">
        <v>702093</v>
      </c>
      <c r="G4022" s="558" t="s">
        <v>1968</v>
      </c>
      <c r="H4022" s="564">
        <v>40015</v>
      </c>
      <c r="I4022" s="563">
        <v>64.349999999999994</v>
      </c>
      <c r="J4022" s="563">
        <v>-64.349999999999994</v>
      </c>
      <c r="K4022" s="582">
        <f t="shared" si="186"/>
        <v>0</v>
      </c>
      <c r="L4022" s="563">
        <f t="shared" si="187"/>
        <v>0</v>
      </c>
      <c r="M4022" s="563">
        <f t="shared" si="188"/>
        <v>70.784999999999997</v>
      </c>
      <c r="N4022" s="580"/>
    </row>
    <row r="4023" spans="4:16" x14ac:dyDescent="0.25">
      <c r="D4023" s="559" t="s">
        <v>867</v>
      </c>
      <c r="E4023" s="558" t="s">
        <v>2495</v>
      </c>
      <c r="F4023" s="559">
        <v>702094</v>
      </c>
      <c r="G4023" s="558" t="s">
        <v>1968</v>
      </c>
      <c r="H4023" s="564">
        <v>40015</v>
      </c>
      <c r="I4023" s="563">
        <v>64.349999999999994</v>
      </c>
      <c r="J4023" s="563">
        <v>-64.349999999999994</v>
      </c>
      <c r="K4023" s="582">
        <f t="shared" si="186"/>
        <v>0</v>
      </c>
      <c r="L4023" s="563">
        <f t="shared" si="187"/>
        <v>0</v>
      </c>
      <c r="M4023" s="563">
        <f t="shared" si="188"/>
        <v>70.784999999999997</v>
      </c>
      <c r="N4023" s="580"/>
    </row>
    <row r="4024" spans="4:16" x14ac:dyDescent="0.25">
      <c r="D4024" s="559" t="s">
        <v>867</v>
      </c>
      <c r="E4024" s="558" t="s">
        <v>2496</v>
      </c>
      <c r="F4024" s="559">
        <v>702095</v>
      </c>
      <c r="G4024" s="558" t="s">
        <v>2497</v>
      </c>
      <c r="H4024" s="564">
        <v>40015</v>
      </c>
      <c r="I4024" s="563">
        <v>64.349999999999994</v>
      </c>
      <c r="J4024" s="563">
        <v>-64.349999999999994</v>
      </c>
      <c r="K4024" s="582">
        <f t="shared" si="186"/>
        <v>0</v>
      </c>
      <c r="L4024" s="563">
        <f t="shared" si="187"/>
        <v>0</v>
      </c>
      <c r="M4024" s="563">
        <f t="shared" si="188"/>
        <v>70.784999999999997</v>
      </c>
      <c r="N4024" s="580"/>
    </row>
    <row r="4025" spans="4:16" x14ac:dyDescent="0.25">
      <c r="D4025" s="559" t="s">
        <v>867</v>
      </c>
      <c r="E4025" s="558" t="s">
        <v>2498</v>
      </c>
      <c r="F4025" s="559">
        <v>702096</v>
      </c>
      <c r="G4025" s="558" t="s">
        <v>2497</v>
      </c>
      <c r="H4025" s="564">
        <v>40015</v>
      </c>
      <c r="I4025" s="563">
        <v>64.349999999999994</v>
      </c>
      <c r="J4025" s="563">
        <v>-64.349999999999994</v>
      </c>
      <c r="K4025" s="582">
        <f t="shared" si="186"/>
        <v>0</v>
      </c>
      <c r="L4025" s="563">
        <f t="shared" si="187"/>
        <v>0</v>
      </c>
      <c r="M4025" s="563">
        <f t="shared" si="188"/>
        <v>70.784999999999997</v>
      </c>
      <c r="N4025" s="580"/>
    </row>
    <row r="4026" spans="4:16" x14ac:dyDescent="0.25">
      <c r="D4026" s="559" t="s">
        <v>867</v>
      </c>
      <c r="E4026" s="558" t="s">
        <v>2499</v>
      </c>
      <c r="F4026" s="559">
        <v>702097</v>
      </c>
      <c r="G4026" s="558" t="s">
        <v>2497</v>
      </c>
      <c r="H4026" s="564">
        <v>40015</v>
      </c>
      <c r="I4026" s="563">
        <v>64.349999999999994</v>
      </c>
      <c r="J4026" s="563">
        <v>-64.349999999999994</v>
      </c>
      <c r="K4026" s="582">
        <f t="shared" si="186"/>
        <v>0</v>
      </c>
      <c r="L4026" s="563">
        <f t="shared" si="187"/>
        <v>0</v>
      </c>
      <c r="M4026" s="563">
        <f t="shared" si="188"/>
        <v>70.784999999999997</v>
      </c>
      <c r="N4026" s="580"/>
    </row>
    <row r="4027" spans="4:16" x14ac:dyDescent="0.25">
      <c r="D4027" s="559" t="s">
        <v>867</v>
      </c>
      <c r="E4027" s="558" t="s">
        <v>2500</v>
      </c>
      <c r="F4027" s="559">
        <v>702098</v>
      </c>
      <c r="G4027" s="558" t="s">
        <v>2497</v>
      </c>
      <c r="H4027" s="564">
        <v>40015</v>
      </c>
      <c r="I4027" s="563">
        <v>64.349999999999994</v>
      </c>
      <c r="J4027" s="563">
        <v>-64.349999999999994</v>
      </c>
      <c r="K4027" s="582">
        <f t="shared" si="186"/>
        <v>0</v>
      </c>
      <c r="L4027" s="563">
        <f t="shared" si="187"/>
        <v>0</v>
      </c>
      <c r="M4027" s="563">
        <f t="shared" si="188"/>
        <v>70.784999999999997</v>
      </c>
      <c r="N4027" s="580"/>
    </row>
    <row r="4028" spans="4:16" x14ac:dyDescent="0.25">
      <c r="D4028" s="559" t="s">
        <v>867</v>
      </c>
      <c r="E4028" s="558" t="s">
        <v>2501</v>
      </c>
      <c r="F4028" s="559">
        <v>701923</v>
      </c>
      <c r="G4028" s="558" t="s">
        <v>2497</v>
      </c>
      <c r="H4028" s="564">
        <v>40015</v>
      </c>
      <c r="I4028" s="563">
        <v>64.349999999999994</v>
      </c>
      <c r="J4028" s="563">
        <v>-64.349999999999994</v>
      </c>
      <c r="K4028" s="582">
        <f t="shared" si="186"/>
        <v>0</v>
      </c>
      <c r="L4028" s="563">
        <f t="shared" si="187"/>
        <v>0</v>
      </c>
      <c r="M4028" s="563">
        <f t="shared" si="188"/>
        <v>70.784999999999997</v>
      </c>
      <c r="N4028" s="580"/>
    </row>
    <row r="4029" spans="4:16" x14ac:dyDescent="0.25">
      <c r="D4029" s="559" t="s">
        <v>867</v>
      </c>
      <c r="E4029" s="558" t="s">
        <v>2502</v>
      </c>
      <c r="F4029" s="559">
        <v>702099</v>
      </c>
      <c r="G4029" s="558" t="s">
        <v>2503</v>
      </c>
      <c r="H4029" s="564">
        <v>40015</v>
      </c>
      <c r="I4029" s="563">
        <v>64.349999999999994</v>
      </c>
      <c r="J4029" s="563">
        <v>-64.349999999999994</v>
      </c>
      <c r="K4029" s="582">
        <f t="shared" si="186"/>
        <v>0</v>
      </c>
      <c r="L4029" s="563">
        <f t="shared" si="187"/>
        <v>0</v>
      </c>
      <c r="M4029" s="563">
        <f t="shared" si="188"/>
        <v>70.784999999999997</v>
      </c>
      <c r="N4029" s="580"/>
    </row>
    <row r="4030" spans="4:16" x14ac:dyDescent="0.25">
      <c r="D4030" s="559" t="s">
        <v>867</v>
      </c>
      <c r="E4030" s="558" t="s">
        <v>2504</v>
      </c>
      <c r="F4030" s="559">
        <v>702100</v>
      </c>
      <c r="G4030" s="558" t="s">
        <v>2503</v>
      </c>
      <c r="H4030" s="564">
        <v>40015</v>
      </c>
      <c r="I4030" s="563">
        <v>64.349999999999994</v>
      </c>
      <c r="J4030" s="563">
        <v>-64.349999999999994</v>
      </c>
      <c r="K4030" s="582">
        <f t="shared" si="186"/>
        <v>0</v>
      </c>
      <c r="L4030" s="563">
        <f t="shared" si="187"/>
        <v>0</v>
      </c>
      <c r="M4030" s="563">
        <f t="shared" si="188"/>
        <v>70.784999999999997</v>
      </c>
      <c r="N4030" s="580"/>
    </row>
    <row r="4031" spans="4:16" x14ac:dyDescent="0.25">
      <c r="D4031" s="559" t="s">
        <v>867</v>
      </c>
      <c r="E4031" s="558" t="s">
        <v>2505</v>
      </c>
      <c r="F4031" s="559">
        <v>702068</v>
      </c>
      <c r="G4031" s="558" t="s">
        <v>2503</v>
      </c>
      <c r="H4031" s="564">
        <v>40015</v>
      </c>
      <c r="I4031" s="563">
        <v>64.349999999999994</v>
      </c>
      <c r="J4031" s="563">
        <v>-64.349999999999994</v>
      </c>
      <c r="K4031" s="582">
        <f t="shared" si="186"/>
        <v>0</v>
      </c>
      <c r="L4031" s="563">
        <f t="shared" si="187"/>
        <v>0</v>
      </c>
      <c r="M4031" s="563">
        <f t="shared" si="188"/>
        <v>70.784999999999997</v>
      </c>
      <c r="N4031" s="580"/>
    </row>
    <row r="4032" spans="4:16" x14ac:dyDescent="0.25">
      <c r="D4032" s="559" t="s">
        <v>867</v>
      </c>
      <c r="E4032" s="558" t="s">
        <v>2506</v>
      </c>
      <c r="F4032" s="559">
        <v>702069</v>
      </c>
      <c r="G4032" s="558" t="s">
        <v>2503</v>
      </c>
      <c r="H4032" s="564">
        <v>40015</v>
      </c>
      <c r="I4032" s="563">
        <v>64.349999999999994</v>
      </c>
      <c r="J4032" s="563">
        <v>-64.349999999999994</v>
      </c>
      <c r="K4032" s="582">
        <f t="shared" si="186"/>
        <v>0</v>
      </c>
      <c r="L4032" s="563">
        <f t="shared" si="187"/>
        <v>0</v>
      </c>
      <c r="M4032" s="563">
        <f t="shared" si="188"/>
        <v>70.784999999999997</v>
      </c>
      <c r="N4032" s="580"/>
    </row>
    <row r="4033" spans="4:14" x14ac:dyDescent="0.25">
      <c r="D4033" s="559" t="s">
        <v>867</v>
      </c>
      <c r="E4033" s="558" t="s">
        <v>2507</v>
      </c>
      <c r="F4033" s="559">
        <v>702070</v>
      </c>
      <c r="G4033" s="558" t="s">
        <v>2503</v>
      </c>
      <c r="H4033" s="564">
        <v>40015</v>
      </c>
      <c r="I4033" s="563">
        <v>64.349999999999994</v>
      </c>
      <c r="J4033" s="563">
        <v>-64.349999999999994</v>
      </c>
      <c r="K4033" s="582">
        <f t="shared" si="186"/>
        <v>0</v>
      </c>
      <c r="L4033" s="563">
        <f t="shared" si="187"/>
        <v>0</v>
      </c>
      <c r="M4033" s="563">
        <f t="shared" si="188"/>
        <v>70.784999999999997</v>
      </c>
      <c r="N4033" s="580"/>
    </row>
    <row r="4034" spans="4:14" x14ac:dyDescent="0.25">
      <c r="D4034" s="559" t="s">
        <v>867</v>
      </c>
      <c r="E4034" s="558" t="s">
        <v>2508</v>
      </c>
      <c r="F4034" s="559">
        <v>702001</v>
      </c>
      <c r="G4034" s="558" t="s">
        <v>2509</v>
      </c>
      <c r="H4034" s="564">
        <v>40015</v>
      </c>
      <c r="I4034" s="563">
        <v>64.349999999999994</v>
      </c>
      <c r="J4034" s="563">
        <v>-64.349999999999994</v>
      </c>
      <c r="K4034" s="582">
        <f t="shared" si="186"/>
        <v>0</v>
      </c>
      <c r="L4034" s="563">
        <f t="shared" si="187"/>
        <v>0</v>
      </c>
      <c r="M4034" s="563">
        <f t="shared" si="188"/>
        <v>70.784999999999997</v>
      </c>
      <c r="N4034" s="580"/>
    </row>
    <row r="4035" spans="4:14" x14ac:dyDescent="0.25">
      <c r="D4035" s="559" t="s">
        <v>867</v>
      </c>
      <c r="E4035" s="558" t="s">
        <v>2510</v>
      </c>
      <c r="F4035" s="559">
        <v>702071</v>
      </c>
      <c r="G4035" s="558" t="s">
        <v>2509</v>
      </c>
      <c r="H4035" s="564">
        <v>40015</v>
      </c>
      <c r="I4035" s="563">
        <v>64.349999999999994</v>
      </c>
      <c r="J4035" s="563">
        <v>-64.349999999999994</v>
      </c>
      <c r="K4035" s="582">
        <f t="shared" si="186"/>
        <v>0</v>
      </c>
      <c r="L4035" s="563">
        <f t="shared" si="187"/>
        <v>0</v>
      </c>
      <c r="M4035" s="563">
        <f t="shared" si="188"/>
        <v>70.784999999999997</v>
      </c>
      <c r="N4035" s="580"/>
    </row>
    <row r="4036" spans="4:14" x14ac:dyDescent="0.25">
      <c r="D4036" s="559" t="s">
        <v>867</v>
      </c>
      <c r="E4036" s="558" t="s">
        <v>2511</v>
      </c>
      <c r="F4036" s="559">
        <v>702072</v>
      </c>
      <c r="G4036" s="558" t="s">
        <v>2509</v>
      </c>
      <c r="H4036" s="564">
        <v>40015</v>
      </c>
      <c r="I4036" s="563">
        <v>64.349999999999994</v>
      </c>
      <c r="J4036" s="563">
        <v>-64.349999999999994</v>
      </c>
      <c r="K4036" s="582">
        <f t="shared" si="186"/>
        <v>0</v>
      </c>
      <c r="L4036" s="563">
        <f t="shared" si="187"/>
        <v>0</v>
      </c>
      <c r="M4036" s="563">
        <f t="shared" si="188"/>
        <v>70.784999999999997</v>
      </c>
      <c r="N4036" s="580"/>
    </row>
    <row r="4037" spans="4:14" x14ac:dyDescent="0.25">
      <c r="D4037" s="559" t="s">
        <v>867</v>
      </c>
      <c r="E4037" s="558" t="s">
        <v>2512</v>
      </c>
      <c r="F4037" s="559">
        <v>702073</v>
      </c>
      <c r="G4037" s="558" t="s">
        <v>2509</v>
      </c>
      <c r="H4037" s="564">
        <v>40015</v>
      </c>
      <c r="I4037" s="563">
        <v>64.349999999999994</v>
      </c>
      <c r="J4037" s="563">
        <v>-64.349999999999994</v>
      </c>
      <c r="K4037" s="582">
        <f t="shared" si="186"/>
        <v>0</v>
      </c>
      <c r="L4037" s="563">
        <f t="shared" si="187"/>
        <v>0</v>
      </c>
      <c r="M4037" s="563">
        <f t="shared" si="188"/>
        <v>70.784999999999997</v>
      </c>
      <c r="N4037" s="580"/>
    </row>
    <row r="4038" spans="4:14" x14ac:dyDescent="0.25">
      <c r="D4038" s="559" t="s">
        <v>867</v>
      </c>
      <c r="E4038" s="558" t="s">
        <v>2513</v>
      </c>
      <c r="F4038" s="559">
        <v>702074</v>
      </c>
      <c r="G4038" s="558" t="s">
        <v>2509</v>
      </c>
      <c r="H4038" s="564">
        <v>40015</v>
      </c>
      <c r="I4038" s="563">
        <v>64.349999999999994</v>
      </c>
      <c r="J4038" s="563">
        <v>-64.349999999999994</v>
      </c>
      <c r="K4038" s="582">
        <f t="shared" si="186"/>
        <v>0</v>
      </c>
      <c r="L4038" s="563">
        <f t="shared" si="187"/>
        <v>0</v>
      </c>
      <c r="M4038" s="563">
        <f t="shared" si="188"/>
        <v>70.784999999999997</v>
      </c>
      <c r="N4038" s="580"/>
    </row>
    <row r="4039" spans="4:14" x14ac:dyDescent="0.25">
      <c r="D4039" s="559" t="s">
        <v>867</v>
      </c>
      <c r="E4039" s="558" t="s">
        <v>2514</v>
      </c>
      <c r="F4039" s="559">
        <v>701905</v>
      </c>
      <c r="G4039" s="558" t="s">
        <v>2515</v>
      </c>
      <c r="H4039" s="564">
        <v>40015</v>
      </c>
      <c r="I4039" s="563">
        <v>64.349999999999994</v>
      </c>
      <c r="J4039" s="563">
        <v>-64.349999999999994</v>
      </c>
      <c r="K4039" s="582">
        <f t="shared" si="186"/>
        <v>0</v>
      </c>
      <c r="L4039" s="563">
        <f t="shared" si="187"/>
        <v>0</v>
      </c>
      <c r="M4039" s="563">
        <f t="shared" si="188"/>
        <v>70.784999999999997</v>
      </c>
      <c r="N4039" s="580"/>
    </row>
    <row r="4040" spans="4:14" x14ac:dyDescent="0.25">
      <c r="D4040" s="559" t="s">
        <v>867</v>
      </c>
      <c r="E4040" s="558" t="s">
        <v>2516</v>
      </c>
      <c r="F4040" s="559">
        <v>702075</v>
      </c>
      <c r="G4040" s="558" t="s">
        <v>2515</v>
      </c>
      <c r="H4040" s="564">
        <v>40015</v>
      </c>
      <c r="I4040" s="563">
        <v>64.349999999999994</v>
      </c>
      <c r="J4040" s="563">
        <v>-64.349999999999994</v>
      </c>
      <c r="K4040" s="582">
        <f t="shared" si="186"/>
        <v>0</v>
      </c>
      <c r="L4040" s="563">
        <f t="shared" si="187"/>
        <v>0</v>
      </c>
      <c r="M4040" s="563">
        <f t="shared" si="188"/>
        <v>70.784999999999997</v>
      </c>
      <c r="N4040" s="580"/>
    </row>
    <row r="4041" spans="4:14" x14ac:dyDescent="0.25">
      <c r="D4041" s="559" t="s">
        <v>867</v>
      </c>
      <c r="E4041" s="558" t="s">
        <v>2517</v>
      </c>
      <c r="F4041" s="559">
        <v>702076</v>
      </c>
      <c r="G4041" s="558" t="s">
        <v>2515</v>
      </c>
      <c r="H4041" s="564">
        <v>40015</v>
      </c>
      <c r="I4041" s="563">
        <v>64.349999999999994</v>
      </c>
      <c r="J4041" s="563">
        <v>-64.349999999999994</v>
      </c>
      <c r="K4041" s="582">
        <f t="shared" si="186"/>
        <v>0</v>
      </c>
      <c r="L4041" s="563">
        <f t="shared" si="187"/>
        <v>0</v>
      </c>
      <c r="M4041" s="563">
        <f t="shared" si="188"/>
        <v>70.784999999999997</v>
      </c>
      <c r="N4041" s="580"/>
    </row>
    <row r="4042" spans="4:14" x14ac:dyDescent="0.25">
      <c r="D4042" s="559" t="s">
        <v>867</v>
      </c>
      <c r="E4042" s="558" t="s">
        <v>2518</v>
      </c>
      <c r="F4042" s="559">
        <v>702077</v>
      </c>
      <c r="G4042" s="558" t="s">
        <v>2515</v>
      </c>
      <c r="H4042" s="564">
        <v>40015</v>
      </c>
      <c r="I4042" s="563">
        <v>64.349999999999994</v>
      </c>
      <c r="J4042" s="563">
        <v>-64.349999999999994</v>
      </c>
      <c r="K4042" s="582">
        <f t="shared" si="186"/>
        <v>0</v>
      </c>
      <c r="L4042" s="563">
        <f t="shared" si="187"/>
        <v>0</v>
      </c>
      <c r="M4042" s="563">
        <f t="shared" si="188"/>
        <v>70.784999999999997</v>
      </c>
      <c r="N4042" s="580"/>
    </row>
    <row r="4043" spans="4:14" x14ac:dyDescent="0.25">
      <c r="D4043" s="559" t="s">
        <v>867</v>
      </c>
      <c r="E4043" s="558" t="s">
        <v>2519</v>
      </c>
      <c r="F4043" s="559">
        <v>702078</v>
      </c>
      <c r="G4043" s="558" t="s">
        <v>2515</v>
      </c>
      <c r="H4043" s="564">
        <v>40015</v>
      </c>
      <c r="I4043" s="563">
        <v>64.349999999999994</v>
      </c>
      <c r="J4043" s="563">
        <v>-64.349999999999994</v>
      </c>
      <c r="K4043" s="582">
        <f t="shared" si="186"/>
        <v>0</v>
      </c>
      <c r="L4043" s="563">
        <f t="shared" si="187"/>
        <v>0</v>
      </c>
      <c r="M4043" s="563">
        <f t="shared" si="188"/>
        <v>70.784999999999997</v>
      </c>
      <c r="N4043" s="580"/>
    </row>
    <row r="4044" spans="4:14" x14ac:dyDescent="0.25">
      <c r="D4044" s="559" t="s">
        <v>867</v>
      </c>
      <c r="E4044" s="558" t="s">
        <v>2520</v>
      </c>
      <c r="F4044" s="559">
        <v>702079</v>
      </c>
      <c r="G4044" s="558" t="s">
        <v>2521</v>
      </c>
      <c r="H4044" s="564">
        <v>40015</v>
      </c>
      <c r="I4044" s="563">
        <v>64.349999999999994</v>
      </c>
      <c r="J4044" s="563">
        <v>-64.349999999999994</v>
      </c>
      <c r="K4044" s="582">
        <f t="shared" si="186"/>
        <v>0</v>
      </c>
      <c r="L4044" s="563">
        <f t="shared" si="187"/>
        <v>0</v>
      </c>
      <c r="M4044" s="563">
        <f t="shared" si="188"/>
        <v>70.784999999999997</v>
      </c>
      <c r="N4044" s="580"/>
    </row>
    <row r="4045" spans="4:14" x14ac:dyDescent="0.25">
      <c r="D4045" s="559" t="s">
        <v>867</v>
      </c>
      <c r="E4045" s="558" t="s">
        <v>2522</v>
      </c>
      <c r="F4045" s="559">
        <v>702080</v>
      </c>
      <c r="G4045" s="558" t="s">
        <v>2521</v>
      </c>
      <c r="H4045" s="564">
        <v>40015</v>
      </c>
      <c r="I4045" s="563">
        <v>64.349999999999994</v>
      </c>
      <c r="J4045" s="563">
        <v>-64.349999999999994</v>
      </c>
      <c r="K4045" s="582">
        <f t="shared" si="186"/>
        <v>0</v>
      </c>
      <c r="L4045" s="563">
        <f t="shared" si="187"/>
        <v>0</v>
      </c>
      <c r="M4045" s="563">
        <f t="shared" si="188"/>
        <v>70.784999999999997</v>
      </c>
      <c r="N4045" s="580"/>
    </row>
    <row r="4046" spans="4:14" x14ac:dyDescent="0.25">
      <c r="D4046" s="559" t="s">
        <v>867</v>
      </c>
      <c r="E4046" s="558" t="s">
        <v>2523</v>
      </c>
      <c r="F4046" s="559">
        <v>702081</v>
      </c>
      <c r="G4046" s="558" t="s">
        <v>2521</v>
      </c>
      <c r="H4046" s="564">
        <v>40015</v>
      </c>
      <c r="I4046" s="563">
        <v>64.349999999999994</v>
      </c>
      <c r="J4046" s="563">
        <v>-64.349999999999994</v>
      </c>
      <c r="K4046" s="582">
        <f t="shared" si="186"/>
        <v>0</v>
      </c>
      <c r="L4046" s="563">
        <f t="shared" si="187"/>
        <v>0</v>
      </c>
      <c r="M4046" s="563">
        <f t="shared" si="188"/>
        <v>70.784999999999997</v>
      </c>
      <c r="N4046" s="580"/>
    </row>
    <row r="4047" spans="4:14" x14ac:dyDescent="0.25">
      <c r="D4047" s="559" t="s">
        <v>867</v>
      </c>
      <c r="E4047" s="558" t="s">
        <v>2524</v>
      </c>
      <c r="F4047" s="559">
        <v>701907</v>
      </c>
      <c r="G4047" s="558" t="s">
        <v>2521</v>
      </c>
      <c r="H4047" s="564">
        <v>40015</v>
      </c>
      <c r="I4047" s="563">
        <v>64.349999999999994</v>
      </c>
      <c r="J4047" s="563">
        <v>-64.349999999999994</v>
      </c>
      <c r="K4047" s="582">
        <f t="shared" si="186"/>
        <v>0</v>
      </c>
      <c r="L4047" s="563">
        <f t="shared" si="187"/>
        <v>0</v>
      </c>
      <c r="M4047" s="563">
        <f t="shared" si="188"/>
        <v>70.784999999999997</v>
      </c>
      <c r="N4047" s="580"/>
    </row>
    <row r="4048" spans="4:14" x14ac:dyDescent="0.25">
      <c r="D4048" s="559" t="s">
        <v>867</v>
      </c>
      <c r="E4048" s="558" t="s">
        <v>2525</v>
      </c>
      <c r="F4048" s="559">
        <v>702082</v>
      </c>
      <c r="G4048" s="558" t="s">
        <v>2521</v>
      </c>
      <c r="H4048" s="564">
        <v>40015</v>
      </c>
      <c r="I4048" s="563">
        <v>64.349999999999994</v>
      </c>
      <c r="J4048" s="563">
        <v>-64.349999999999994</v>
      </c>
      <c r="K4048" s="582">
        <f t="shared" si="186"/>
        <v>0</v>
      </c>
      <c r="L4048" s="563">
        <f t="shared" si="187"/>
        <v>0</v>
      </c>
      <c r="M4048" s="563">
        <f t="shared" si="188"/>
        <v>70.784999999999997</v>
      </c>
      <c r="N4048" s="580"/>
    </row>
    <row r="4049" spans="4:16" x14ac:dyDescent="0.25">
      <c r="D4049" s="559" t="s">
        <v>867</v>
      </c>
      <c r="E4049" s="558" t="s">
        <v>1969</v>
      </c>
      <c r="F4049" s="559">
        <v>702002</v>
      </c>
      <c r="G4049" s="558" t="s">
        <v>1970</v>
      </c>
      <c r="H4049" s="564">
        <v>40015</v>
      </c>
      <c r="I4049" s="563">
        <v>64.349999999999994</v>
      </c>
      <c r="J4049" s="563">
        <v>-64.349999999999994</v>
      </c>
      <c r="K4049" s="563">
        <f t="shared" si="186"/>
        <v>0</v>
      </c>
      <c r="L4049" s="563">
        <f t="shared" si="187"/>
        <v>0</v>
      </c>
      <c r="M4049" s="563">
        <f t="shared" si="188"/>
        <v>70.784999999999997</v>
      </c>
      <c r="N4049" s="580"/>
      <c r="O4049" s="558"/>
      <c r="P4049" s="564"/>
    </row>
    <row r="4050" spans="4:16" x14ac:dyDescent="0.25">
      <c r="D4050" s="559" t="s">
        <v>867</v>
      </c>
      <c r="E4050" s="558" t="s">
        <v>2526</v>
      </c>
      <c r="F4050" s="559">
        <v>702083</v>
      </c>
      <c r="G4050" s="558" t="s">
        <v>1970</v>
      </c>
      <c r="H4050" s="564">
        <v>40015</v>
      </c>
      <c r="I4050" s="563">
        <v>727.35</v>
      </c>
      <c r="J4050" s="563">
        <v>-585</v>
      </c>
      <c r="K4050" s="582">
        <f t="shared" si="186"/>
        <v>142.35000000000002</v>
      </c>
      <c r="L4050" s="563">
        <f t="shared" si="187"/>
        <v>156.58500000000004</v>
      </c>
      <c r="M4050" s="563">
        <f t="shared" si="188"/>
        <v>800.08500000000004</v>
      </c>
      <c r="N4050" s="580"/>
    </row>
    <row r="4051" spans="4:16" x14ac:dyDescent="0.25">
      <c r="D4051" s="559" t="s">
        <v>867</v>
      </c>
      <c r="E4051" s="558" t="s">
        <v>2527</v>
      </c>
      <c r="F4051" s="559">
        <v>702086</v>
      </c>
      <c r="G4051" s="558" t="s">
        <v>1970</v>
      </c>
      <c r="H4051" s="564">
        <v>40015</v>
      </c>
      <c r="I4051" s="563">
        <v>64.349999999999994</v>
      </c>
      <c r="J4051" s="563">
        <v>-64.349999999999994</v>
      </c>
      <c r="K4051" s="582">
        <f t="shared" si="186"/>
        <v>0</v>
      </c>
      <c r="L4051" s="563">
        <f t="shared" si="187"/>
        <v>0</v>
      </c>
      <c r="M4051" s="563">
        <f t="shared" si="188"/>
        <v>70.784999999999997</v>
      </c>
      <c r="N4051" s="580"/>
    </row>
    <row r="4052" spans="4:16" x14ac:dyDescent="0.25">
      <c r="D4052" s="559" t="s">
        <v>867</v>
      </c>
      <c r="E4052" s="558" t="s">
        <v>2528</v>
      </c>
      <c r="F4052" s="559">
        <v>702087</v>
      </c>
      <c r="G4052" s="558" t="s">
        <v>1970</v>
      </c>
      <c r="H4052" s="564">
        <v>40015</v>
      </c>
      <c r="I4052" s="563">
        <v>64.349999999999994</v>
      </c>
      <c r="J4052" s="563">
        <v>-64.349999999999994</v>
      </c>
      <c r="K4052" s="582">
        <f t="shared" si="186"/>
        <v>0</v>
      </c>
      <c r="L4052" s="563">
        <f t="shared" si="187"/>
        <v>0</v>
      </c>
      <c r="M4052" s="563">
        <f t="shared" si="188"/>
        <v>70.784999999999997</v>
      </c>
      <c r="N4052" s="580"/>
    </row>
    <row r="4053" spans="4:16" x14ac:dyDescent="0.25">
      <c r="D4053" s="559" t="s">
        <v>867</v>
      </c>
      <c r="E4053" s="558" t="s">
        <v>2529</v>
      </c>
      <c r="F4053" s="559">
        <v>701854</v>
      </c>
      <c r="G4053" s="558" t="s">
        <v>1970</v>
      </c>
      <c r="H4053" s="564">
        <v>40015</v>
      </c>
      <c r="I4053" s="563">
        <v>64.349999999999994</v>
      </c>
      <c r="J4053" s="563">
        <v>-64.349999999999994</v>
      </c>
      <c r="K4053" s="582">
        <f t="shared" si="186"/>
        <v>0</v>
      </c>
      <c r="L4053" s="563">
        <f t="shared" si="187"/>
        <v>0</v>
      </c>
      <c r="M4053" s="563">
        <f t="shared" si="188"/>
        <v>70.784999999999997</v>
      </c>
      <c r="N4053" s="580"/>
    </row>
    <row r="4054" spans="4:16" x14ac:dyDescent="0.25">
      <c r="D4054" s="559" t="s">
        <v>867</v>
      </c>
      <c r="E4054" s="558" t="s">
        <v>2530</v>
      </c>
      <c r="F4054" s="559">
        <v>701855</v>
      </c>
      <c r="G4054" s="558" t="s">
        <v>2531</v>
      </c>
      <c r="H4054" s="564">
        <v>40015</v>
      </c>
      <c r="I4054" s="563">
        <v>64.349999999999994</v>
      </c>
      <c r="J4054" s="563">
        <v>-64.349999999999994</v>
      </c>
      <c r="K4054" s="582">
        <f t="shared" si="186"/>
        <v>0</v>
      </c>
      <c r="L4054" s="563">
        <f t="shared" si="187"/>
        <v>0</v>
      </c>
      <c r="M4054" s="563">
        <f t="shared" si="188"/>
        <v>70.784999999999997</v>
      </c>
      <c r="N4054" s="580"/>
    </row>
    <row r="4055" spans="4:16" x14ac:dyDescent="0.25">
      <c r="D4055" s="559" t="s">
        <v>867</v>
      </c>
      <c r="E4055" s="558" t="s">
        <v>2532</v>
      </c>
      <c r="F4055" s="559">
        <v>701856</v>
      </c>
      <c r="G4055" s="558" t="s">
        <v>2531</v>
      </c>
      <c r="H4055" s="564">
        <v>40015</v>
      </c>
      <c r="I4055" s="563">
        <v>64.349999999999994</v>
      </c>
      <c r="J4055" s="563">
        <v>-64.349999999999994</v>
      </c>
      <c r="K4055" s="582">
        <f t="shared" si="186"/>
        <v>0</v>
      </c>
      <c r="L4055" s="563">
        <f t="shared" si="187"/>
        <v>0</v>
      </c>
      <c r="M4055" s="563">
        <f t="shared" si="188"/>
        <v>70.784999999999997</v>
      </c>
      <c r="N4055" s="580"/>
    </row>
    <row r="4056" spans="4:16" x14ac:dyDescent="0.25">
      <c r="D4056" s="559" t="s">
        <v>867</v>
      </c>
      <c r="E4056" s="558" t="s">
        <v>2533</v>
      </c>
      <c r="F4056" s="559">
        <v>701857</v>
      </c>
      <c r="G4056" s="558" t="s">
        <v>2531</v>
      </c>
      <c r="H4056" s="564">
        <v>40015</v>
      </c>
      <c r="I4056" s="563">
        <v>64.349999999999994</v>
      </c>
      <c r="J4056" s="563">
        <v>-64.349999999999994</v>
      </c>
      <c r="K4056" s="582">
        <f t="shared" si="186"/>
        <v>0</v>
      </c>
      <c r="L4056" s="563">
        <f t="shared" si="187"/>
        <v>0</v>
      </c>
      <c r="M4056" s="563">
        <f t="shared" si="188"/>
        <v>70.784999999999997</v>
      </c>
      <c r="N4056" s="580"/>
    </row>
    <row r="4057" spans="4:16" x14ac:dyDescent="0.25">
      <c r="D4057" s="559" t="s">
        <v>867</v>
      </c>
      <c r="E4057" s="558" t="s">
        <v>2534</v>
      </c>
      <c r="F4057" s="559">
        <v>701859</v>
      </c>
      <c r="G4057" s="558" t="s">
        <v>2531</v>
      </c>
      <c r="H4057" s="564">
        <v>40015</v>
      </c>
      <c r="I4057" s="563">
        <v>64.349999999999994</v>
      </c>
      <c r="J4057" s="563">
        <v>-64.349999999999994</v>
      </c>
      <c r="K4057" s="582">
        <f t="shared" si="186"/>
        <v>0</v>
      </c>
      <c r="L4057" s="563">
        <f t="shared" si="187"/>
        <v>0</v>
      </c>
      <c r="M4057" s="563">
        <f t="shared" si="188"/>
        <v>70.784999999999997</v>
      </c>
      <c r="N4057" s="580"/>
    </row>
    <row r="4058" spans="4:16" x14ac:dyDescent="0.25">
      <c r="D4058" s="559" t="s">
        <v>867</v>
      </c>
      <c r="E4058" s="558" t="s">
        <v>2535</v>
      </c>
      <c r="F4058" s="559">
        <v>701894</v>
      </c>
      <c r="G4058" s="558" t="s">
        <v>2531</v>
      </c>
      <c r="H4058" s="564">
        <v>40015</v>
      </c>
      <c r="I4058" s="563">
        <v>64.349999999999994</v>
      </c>
      <c r="J4058" s="563">
        <v>-64.349999999999994</v>
      </c>
      <c r="K4058" s="582">
        <f t="shared" si="186"/>
        <v>0</v>
      </c>
      <c r="L4058" s="563">
        <f t="shared" si="187"/>
        <v>0</v>
      </c>
      <c r="M4058" s="563">
        <f t="shared" si="188"/>
        <v>70.784999999999997</v>
      </c>
      <c r="N4058" s="580"/>
    </row>
    <row r="4059" spans="4:16" x14ac:dyDescent="0.25">
      <c r="D4059" s="559" t="s">
        <v>867</v>
      </c>
      <c r="E4059" s="558" t="s">
        <v>2536</v>
      </c>
      <c r="F4059" s="559">
        <v>701895</v>
      </c>
      <c r="G4059" s="558" t="s">
        <v>2537</v>
      </c>
      <c r="H4059" s="564">
        <v>40015</v>
      </c>
      <c r="I4059" s="563">
        <v>64.349999999999994</v>
      </c>
      <c r="J4059" s="563">
        <v>-64.349999999999994</v>
      </c>
      <c r="K4059" s="582">
        <f t="shared" si="186"/>
        <v>0</v>
      </c>
      <c r="L4059" s="563">
        <f t="shared" si="187"/>
        <v>0</v>
      </c>
      <c r="M4059" s="563">
        <f t="shared" si="188"/>
        <v>70.784999999999997</v>
      </c>
      <c r="N4059" s="580"/>
    </row>
    <row r="4060" spans="4:16" x14ac:dyDescent="0.25">
      <c r="D4060" s="559" t="s">
        <v>867</v>
      </c>
      <c r="E4060" s="558" t="s">
        <v>2538</v>
      </c>
      <c r="F4060" s="559">
        <v>702003</v>
      </c>
      <c r="G4060" s="558" t="s">
        <v>2537</v>
      </c>
      <c r="H4060" s="564">
        <v>40015</v>
      </c>
      <c r="I4060" s="563">
        <v>64.349999999999994</v>
      </c>
      <c r="J4060" s="563">
        <v>-64.349999999999994</v>
      </c>
      <c r="K4060" s="582">
        <f t="shared" si="186"/>
        <v>0</v>
      </c>
      <c r="L4060" s="563">
        <f t="shared" si="187"/>
        <v>0</v>
      </c>
      <c r="M4060" s="563">
        <f t="shared" si="188"/>
        <v>70.784999999999997</v>
      </c>
      <c r="N4060" s="580"/>
    </row>
    <row r="4061" spans="4:16" x14ac:dyDescent="0.25">
      <c r="D4061" s="559" t="s">
        <v>867</v>
      </c>
      <c r="E4061" s="558" t="s">
        <v>2539</v>
      </c>
      <c r="F4061" s="559">
        <v>701896</v>
      </c>
      <c r="G4061" s="558" t="s">
        <v>2537</v>
      </c>
      <c r="H4061" s="564">
        <v>40015</v>
      </c>
      <c r="I4061" s="563">
        <v>64.349999999999994</v>
      </c>
      <c r="J4061" s="563">
        <v>-64.349999999999994</v>
      </c>
      <c r="K4061" s="582">
        <f t="shared" si="186"/>
        <v>0</v>
      </c>
      <c r="L4061" s="563">
        <f t="shared" si="187"/>
        <v>0</v>
      </c>
      <c r="M4061" s="563">
        <f t="shared" si="188"/>
        <v>70.784999999999997</v>
      </c>
      <c r="N4061" s="580"/>
    </row>
    <row r="4062" spans="4:16" x14ac:dyDescent="0.25">
      <c r="D4062" s="559" t="s">
        <v>867</v>
      </c>
      <c r="E4062" s="558" t="s">
        <v>2540</v>
      </c>
      <c r="F4062" s="559">
        <v>701897</v>
      </c>
      <c r="G4062" s="558" t="s">
        <v>2537</v>
      </c>
      <c r="H4062" s="564">
        <v>40015</v>
      </c>
      <c r="I4062" s="563">
        <v>64.349999999999994</v>
      </c>
      <c r="J4062" s="563">
        <v>-64.349999999999994</v>
      </c>
      <c r="K4062" s="582">
        <f t="shared" si="186"/>
        <v>0</v>
      </c>
      <c r="L4062" s="563">
        <f t="shared" si="187"/>
        <v>0</v>
      </c>
      <c r="M4062" s="563">
        <f t="shared" si="188"/>
        <v>70.784999999999997</v>
      </c>
      <c r="N4062" s="580"/>
    </row>
    <row r="4063" spans="4:16" x14ac:dyDescent="0.25">
      <c r="D4063" s="559" t="s">
        <v>867</v>
      </c>
      <c r="E4063" s="558" t="s">
        <v>2541</v>
      </c>
      <c r="F4063" s="559">
        <v>702019</v>
      </c>
      <c r="G4063" s="558" t="s">
        <v>2537</v>
      </c>
      <c r="H4063" s="564">
        <v>40015</v>
      </c>
      <c r="I4063" s="563">
        <v>64.349999999999994</v>
      </c>
      <c r="J4063" s="563">
        <v>-64.349999999999994</v>
      </c>
      <c r="K4063" s="582">
        <f t="shared" si="186"/>
        <v>0</v>
      </c>
      <c r="L4063" s="563">
        <f t="shared" si="187"/>
        <v>0</v>
      </c>
      <c r="M4063" s="563">
        <f t="shared" si="188"/>
        <v>70.784999999999997</v>
      </c>
      <c r="N4063" s="580"/>
    </row>
    <row r="4064" spans="4:16" x14ac:dyDescent="0.25">
      <c r="D4064" s="559" t="s">
        <v>867</v>
      </c>
      <c r="E4064" s="558" t="s">
        <v>2542</v>
      </c>
      <c r="F4064" s="559">
        <v>702048</v>
      </c>
      <c r="G4064" s="558" t="s">
        <v>2543</v>
      </c>
      <c r="H4064" s="564">
        <v>40015</v>
      </c>
      <c r="I4064" s="563">
        <v>64.349999999999994</v>
      </c>
      <c r="J4064" s="563">
        <v>-64.349999999999994</v>
      </c>
      <c r="K4064" s="582">
        <f t="shared" si="186"/>
        <v>0</v>
      </c>
      <c r="L4064" s="563">
        <f t="shared" si="187"/>
        <v>0</v>
      </c>
      <c r="M4064" s="563">
        <f t="shared" si="188"/>
        <v>70.784999999999997</v>
      </c>
      <c r="N4064" s="580"/>
    </row>
    <row r="4065" spans="4:14" x14ac:dyDescent="0.25">
      <c r="D4065" s="559" t="s">
        <v>867</v>
      </c>
      <c r="E4065" s="558" t="s">
        <v>2544</v>
      </c>
      <c r="F4065" s="559">
        <v>702049</v>
      </c>
      <c r="G4065" s="558" t="s">
        <v>2543</v>
      </c>
      <c r="H4065" s="564">
        <v>40015</v>
      </c>
      <c r="I4065" s="563">
        <v>64.349999999999994</v>
      </c>
      <c r="J4065" s="563">
        <v>-64.349999999999994</v>
      </c>
      <c r="K4065" s="582">
        <f t="shared" si="186"/>
        <v>0</v>
      </c>
      <c r="L4065" s="563">
        <f t="shared" si="187"/>
        <v>0</v>
      </c>
      <c r="M4065" s="563">
        <f t="shared" si="188"/>
        <v>70.784999999999997</v>
      </c>
      <c r="N4065" s="580"/>
    </row>
    <row r="4066" spans="4:14" x14ac:dyDescent="0.25">
      <c r="D4066" s="559" t="s">
        <v>867</v>
      </c>
      <c r="E4066" s="558" t="s">
        <v>2545</v>
      </c>
      <c r="F4066" s="559">
        <v>702050</v>
      </c>
      <c r="G4066" s="558" t="s">
        <v>2543</v>
      </c>
      <c r="H4066" s="564">
        <v>40015</v>
      </c>
      <c r="I4066" s="563">
        <v>64.349999999999994</v>
      </c>
      <c r="J4066" s="563">
        <v>-64.349999999999994</v>
      </c>
      <c r="K4066" s="582">
        <f t="shared" si="186"/>
        <v>0</v>
      </c>
      <c r="L4066" s="563">
        <f t="shared" si="187"/>
        <v>0</v>
      </c>
      <c r="M4066" s="563">
        <f t="shared" si="188"/>
        <v>70.784999999999997</v>
      </c>
      <c r="N4066" s="580"/>
    </row>
    <row r="4067" spans="4:14" x14ac:dyDescent="0.25">
      <c r="D4067" s="559" t="s">
        <v>867</v>
      </c>
      <c r="E4067" s="558" t="s">
        <v>2546</v>
      </c>
      <c r="F4067" s="559">
        <v>702057</v>
      </c>
      <c r="G4067" s="558" t="s">
        <v>2543</v>
      </c>
      <c r="H4067" s="564">
        <v>40015</v>
      </c>
      <c r="I4067" s="563">
        <v>64.349999999999994</v>
      </c>
      <c r="J4067" s="563">
        <v>-64.349999999999994</v>
      </c>
      <c r="K4067" s="582">
        <f t="shared" si="186"/>
        <v>0</v>
      </c>
      <c r="L4067" s="563">
        <f t="shared" si="187"/>
        <v>0</v>
      </c>
      <c r="M4067" s="563">
        <f t="shared" si="188"/>
        <v>70.784999999999997</v>
      </c>
      <c r="N4067" s="580"/>
    </row>
    <row r="4068" spans="4:14" x14ac:dyDescent="0.25">
      <c r="D4068" s="559" t="s">
        <v>867</v>
      </c>
      <c r="E4068" s="558" t="s">
        <v>2547</v>
      </c>
      <c r="F4068" s="559">
        <v>702051</v>
      </c>
      <c r="G4068" s="558" t="s">
        <v>2543</v>
      </c>
      <c r="H4068" s="564">
        <v>40015</v>
      </c>
      <c r="I4068" s="563">
        <v>64.349999999999994</v>
      </c>
      <c r="J4068" s="563">
        <v>-64.349999999999994</v>
      </c>
      <c r="K4068" s="582">
        <f t="shared" si="186"/>
        <v>0</v>
      </c>
      <c r="L4068" s="563">
        <f t="shared" si="187"/>
        <v>0</v>
      </c>
      <c r="M4068" s="563">
        <f t="shared" si="188"/>
        <v>70.784999999999997</v>
      </c>
      <c r="N4068" s="580"/>
    </row>
    <row r="4069" spans="4:14" x14ac:dyDescent="0.25">
      <c r="D4069" s="559" t="s">
        <v>867</v>
      </c>
      <c r="E4069" s="558" t="s">
        <v>2548</v>
      </c>
      <c r="F4069" s="559">
        <v>702052</v>
      </c>
      <c r="G4069" s="558" t="s">
        <v>2549</v>
      </c>
      <c r="H4069" s="564">
        <v>40015</v>
      </c>
      <c r="I4069" s="563">
        <v>64.349999999999994</v>
      </c>
      <c r="J4069" s="563">
        <v>-64.349999999999994</v>
      </c>
      <c r="K4069" s="582">
        <f t="shared" si="186"/>
        <v>0</v>
      </c>
      <c r="L4069" s="563">
        <f t="shared" si="187"/>
        <v>0</v>
      </c>
      <c r="M4069" s="563">
        <f t="shared" si="188"/>
        <v>70.784999999999997</v>
      </c>
      <c r="N4069" s="580"/>
    </row>
    <row r="4070" spans="4:14" x14ac:dyDescent="0.25">
      <c r="D4070" s="559" t="s">
        <v>867</v>
      </c>
      <c r="E4070" s="558" t="s">
        <v>67</v>
      </c>
      <c r="F4070" s="559">
        <v>702053</v>
      </c>
      <c r="G4070" s="558" t="s">
        <v>2549</v>
      </c>
      <c r="H4070" s="564">
        <v>40015</v>
      </c>
      <c r="I4070" s="563">
        <v>64.349999999999994</v>
      </c>
      <c r="J4070" s="563">
        <v>-64.349999999999994</v>
      </c>
      <c r="K4070" s="582">
        <f t="shared" si="186"/>
        <v>0</v>
      </c>
      <c r="L4070" s="563">
        <f t="shared" si="187"/>
        <v>0</v>
      </c>
      <c r="M4070" s="563">
        <f t="shared" si="188"/>
        <v>70.784999999999997</v>
      </c>
      <c r="N4070" s="580"/>
    </row>
    <row r="4071" spans="4:14" x14ac:dyDescent="0.25">
      <c r="D4071" s="559" t="s">
        <v>867</v>
      </c>
      <c r="E4071" s="558" t="s">
        <v>68</v>
      </c>
      <c r="F4071" s="559">
        <v>702054</v>
      </c>
      <c r="G4071" s="558" t="s">
        <v>2549</v>
      </c>
      <c r="H4071" s="564">
        <v>40015</v>
      </c>
      <c r="I4071" s="563">
        <v>64.349999999999994</v>
      </c>
      <c r="J4071" s="563">
        <v>-64.349999999999994</v>
      </c>
      <c r="K4071" s="582">
        <f t="shared" si="186"/>
        <v>0</v>
      </c>
      <c r="L4071" s="563">
        <f t="shared" si="187"/>
        <v>0</v>
      </c>
      <c r="M4071" s="563">
        <f t="shared" si="188"/>
        <v>70.784999999999997</v>
      </c>
      <c r="N4071" s="580"/>
    </row>
    <row r="4072" spans="4:14" x14ac:dyDescent="0.25">
      <c r="D4072" s="559" t="s">
        <v>867</v>
      </c>
      <c r="E4072" s="558" t="s">
        <v>69</v>
      </c>
      <c r="F4072" s="559">
        <v>702055</v>
      </c>
      <c r="G4072" s="558" t="s">
        <v>2549</v>
      </c>
      <c r="H4072" s="564">
        <v>40015</v>
      </c>
      <c r="I4072" s="563">
        <v>64.349999999999994</v>
      </c>
      <c r="J4072" s="563">
        <v>-64.349999999999994</v>
      </c>
      <c r="K4072" s="582">
        <f t="shared" si="186"/>
        <v>0</v>
      </c>
      <c r="L4072" s="563">
        <f t="shared" si="187"/>
        <v>0</v>
      </c>
      <c r="M4072" s="563">
        <f t="shared" si="188"/>
        <v>70.784999999999997</v>
      </c>
      <c r="N4072" s="580"/>
    </row>
    <row r="4073" spans="4:14" x14ac:dyDescent="0.25">
      <c r="D4073" s="559" t="s">
        <v>867</v>
      </c>
      <c r="E4073" s="558" t="s">
        <v>70</v>
      </c>
      <c r="F4073" s="559">
        <v>702056</v>
      </c>
      <c r="G4073" s="558" t="s">
        <v>2549</v>
      </c>
      <c r="H4073" s="564">
        <v>40015</v>
      </c>
      <c r="I4073" s="563">
        <v>64.349999999999994</v>
      </c>
      <c r="J4073" s="563">
        <v>-64.349999999999994</v>
      </c>
      <c r="K4073" s="582">
        <f t="shared" ref="K4073:K4136" si="189">+I4073+J4073</f>
        <v>0</v>
      </c>
      <c r="L4073" s="563">
        <f t="shared" ref="L4073:L4136" si="190">+K4073*1.1</f>
        <v>0</v>
      </c>
      <c r="M4073" s="563">
        <f t="shared" ref="M4073:M4136" si="191">+I4073*1.1</f>
        <v>70.784999999999997</v>
      </c>
      <c r="N4073" s="580"/>
    </row>
    <row r="4074" spans="4:14" x14ac:dyDescent="0.25">
      <c r="D4074" s="559" t="s">
        <v>867</v>
      </c>
      <c r="E4074" s="558" t="s">
        <v>71</v>
      </c>
      <c r="F4074" s="559">
        <v>702058</v>
      </c>
      <c r="G4074" s="558" t="s">
        <v>72</v>
      </c>
      <c r="H4074" s="564">
        <v>40015</v>
      </c>
      <c r="I4074" s="563">
        <v>64.349999999999994</v>
      </c>
      <c r="J4074" s="563">
        <v>-64.349999999999994</v>
      </c>
      <c r="K4074" s="582">
        <f t="shared" si="189"/>
        <v>0</v>
      </c>
      <c r="L4074" s="563">
        <f t="shared" si="190"/>
        <v>0</v>
      </c>
      <c r="M4074" s="563">
        <f t="shared" si="191"/>
        <v>70.784999999999997</v>
      </c>
      <c r="N4074" s="580"/>
    </row>
    <row r="4075" spans="4:14" x14ac:dyDescent="0.25">
      <c r="D4075" s="559" t="s">
        <v>867</v>
      </c>
      <c r="E4075" s="558" t="s">
        <v>73</v>
      </c>
      <c r="F4075" s="559">
        <v>702059</v>
      </c>
      <c r="G4075" s="558" t="s">
        <v>72</v>
      </c>
      <c r="H4075" s="564">
        <v>40015</v>
      </c>
      <c r="I4075" s="563">
        <v>64.349999999999994</v>
      </c>
      <c r="J4075" s="563">
        <v>-64.349999999999994</v>
      </c>
      <c r="K4075" s="582">
        <f t="shared" si="189"/>
        <v>0</v>
      </c>
      <c r="L4075" s="563">
        <f t="shared" si="190"/>
        <v>0</v>
      </c>
      <c r="M4075" s="563">
        <f t="shared" si="191"/>
        <v>70.784999999999997</v>
      </c>
      <c r="N4075" s="580"/>
    </row>
    <row r="4076" spans="4:14" x14ac:dyDescent="0.25">
      <c r="D4076" s="559" t="s">
        <v>867</v>
      </c>
      <c r="E4076" s="558" t="s">
        <v>74</v>
      </c>
      <c r="F4076" s="559">
        <v>702060</v>
      </c>
      <c r="G4076" s="558" t="s">
        <v>72</v>
      </c>
      <c r="H4076" s="564">
        <v>40015</v>
      </c>
      <c r="I4076" s="563">
        <v>64.349999999999994</v>
      </c>
      <c r="J4076" s="563">
        <v>-64.349999999999994</v>
      </c>
      <c r="K4076" s="582">
        <f t="shared" si="189"/>
        <v>0</v>
      </c>
      <c r="L4076" s="563">
        <f t="shared" si="190"/>
        <v>0</v>
      </c>
      <c r="M4076" s="563">
        <f t="shared" si="191"/>
        <v>70.784999999999997</v>
      </c>
      <c r="N4076" s="580"/>
    </row>
    <row r="4077" spans="4:14" x14ac:dyDescent="0.25">
      <c r="D4077" s="559" t="s">
        <v>867</v>
      </c>
      <c r="E4077" s="558" t="s">
        <v>75</v>
      </c>
      <c r="F4077" s="559">
        <v>702061</v>
      </c>
      <c r="G4077" s="558" t="s">
        <v>72</v>
      </c>
      <c r="H4077" s="564">
        <v>40015</v>
      </c>
      <c r="I4077" s="563">
        <v>727.35</v>
      </c>
      <c r="J4077" s="563">
        <v>-585</v>
      </c>
      <c r="K4077" s="582">
        <f t="shared" si="189"/>
        <v>142.35000000000002</v>
      </c>
      <c r="L4077" s="563">
        <f t="shared" si="190"/>
        <v>156.58500000000004</v>
      </c>
      <c r="M4077" s="563">
        <f t="shared" si="191"/>
        <v>800.08500000000004</v>
      </c>
      <c r="N4077" s="580"/>
    </row>
    <row r="4078" spans="4:14" x14ac:dyDescent="0.25">
      <c r="D4078" s="559" t="s">
        <v>867</v>
      </c>
      <c r="E4078" s="558" t="s">
        <v>76</v>
      </c>
      <c r="F4078" s="559">
        <v>702062</v>
      </c>
      <c r="G4078" s="558" t="s">
        <v>72</v>
      </c>
      <c r="H4078" s="564">
        <v>40015</v>
      </c>
      <c r="I4078" s="563">
        <v>64.349999999999994</v>
      </c>
      <c r="J4078" s="563">
        <v>-64.349999999999994</v>
      </c>
      <c r="K4078" s="582">
        <f t="shared" si="189"/>
        <v>0</v>
      </c>
      <c r="L4078" s="563">
        <f t="shared" si="190"/>
        <v>0</v>
      </c>
      <c r="M4078" s="563">
        <f t="shared" si="191"/>
        <v>70.784999999999997</v>
      </c>
      <c r="N4078" s="580"/>
    </row>
    <row r="4079" spans="4:14" x14ac:dyDescent="0.25">
      <c r="D4079" s="559" t="s">
        <v>867</v>
      </c>
      <c r="E4079" s="558" t="s">
        <v>77</v>
      </c>
      <c r="F4079" s="559">
        <v>702063</v>
      </c>
      <c r="G4079" s="558" t="s">
        <v>78</v>
      </c>
      <c r="H4079" s="564">
        <v>40015</v>
      </c>
      <c r="I4079" s="563">
        <v>727.35</v>
      </c>
      <c r="J4079" s="563">
        <v>-585</v>
      </c>
      <c r="K4079" s="582">
        <f t="shared" si="189"/>
        <v>142.35000000000002</v>
      </c>
      <c r="L4079" s="563">
        <f t="shared" si="190"/>
        <v>156.58500000000004</v>
      </c>
      <c r="M4079" s="563">
        <f t="shared" si="191"/>
        <v>800.08500000000004</v>
      </c>
      <c r="N4079" s="580"/>
    </row>
    <row r="4080" spans="4:14" x14ac:dyDescent="0.25">
      <c r="D4080" s="559" t="s">
        <v>867</v>
      </c>
      <c r="E4080" s="558" t="s">
        <v>79</v>
      </c>
      <c r="F4080" s="559">
        <v>702064</v>
      </c>
      <c r="G4080" s="558" t="s">
        <v>78</v>
      </c>
      <c r="H4080" s="564">
        <v>40015</v>
      </c>
      <c r="I4080" s="563">
        <v>64.349999999999994</v>
      </c>
      <c r="J4080" s="563">
        <v>-64.349999999999994</v>
      </c>
      <c r="K4080" s="582">
        <f t="shared" si="189"/>
        <v>0</v>
      </c>
      <c r="L4080" s="563">
        <f t="shared" si="190"/>
        <v>0</v>
      </c>
      <c r="M4080" s="563">
        <f t="shared" si="191"/>
        <v>70.784999999999997</v>
      </c>
      <c r="N4080" s="580"/>
    </row>
    <row r="4081" spans="4:14" x14ac:dyDescent="0.25">
      <c r="D4081" s="559" t="s">
        <v>867</v>
      </c>
      <c r="E4081" s="558" t="s">
        <v>80</v>
      </c>
      <c r="F4081" s="559">
        <v>702065</v>
      </c>
      <c r="G4081" s="558" t="s">
        <v>78</v>
      </c>
      <c r="H4081" s="564">
        <v>40015</v>
      </c>
      <c r="I4081" s="563">
        <v>64.349999999999994</v>
      </c>
      <c r="J4081" s="563">
        <v>-64.349999999999994</v>
      </c>
      <c r="K4081" s="582">
        <f t="shared" si="189"/>
        <v>0</v>
      </c>
      <c r="L4081" s="563">
        <f t="shared" si="190"/>
        <v>0</v>
      </c>
      <c r="M4081" s="563">
        <f t="shared" si="191"/>
        <v>70.784999999999997</v>
      </c>
      <c r="N4081" s="580"/>
    </row>
    <row r="4082" spans="4:14" x14ac:dyDescent="0.25">
      <c r="D4082" s="559" t="s">
        <v>867</v>
      </c>
      <c r="E4082" s="558" t="s">
        <v>81</v>
      </c>
      <c r="F4082" s="559">
        <v>702066</v>
      </c>
      <c r="G4082" s="558" t="s">
        <v>78</v>
      </c>
      <c r="H4082" s="564">
        <v>40015</v>
      </c>
      <c r="I4082" s="563">
        <v>64.349999999999994</v>
      </c>
      <c r="J4082" s="563">
        <v>-64.349999999999994</v>
      </c>
      <c r="K4082" s="582">
        <f t="shared" si="189"/>
        <v>0</v>
      </c>
      <c r="L4082" s="563">
        <f t="shared" si="190"/>
        <v>0</v>
      </c>
      <c r="M4082" s="563">
        <f t="shared" si="191"/>
        <v>70.784999999999997</v>
      </c>
      <c r="N4082" s="580"/>
    </row>
    <row r="4083" spans="4:14" x14ac:dyDescent="0.25">
      <c r="D4083" s="559" t="s">
        <v>867</v>
      </c>
      <c r="E4083" s="558" t="s">
        <v>82</v>
      </c>
      <c r="F4083" s="559">
        <v>702067</v>
      </c>
      <c r="G4083" s="558" t="s">
        <v>78</v>
      </c>
      <c r="H4083" s="564">
        <v>40015</v>
      </c>
      <c r="I4083" s="563">
        <v>64.349999999999994</v>
      </c>
      <c r="J4083" s="563">
        <v>-64.349999999999994</v>
      </c>
      <c r="K4083" s="582">
        <f t="shared" si="189"/>
        <v>0</v>
      </c>
      <c r="L4083" s="563">
        <f t="shared" si="190"/>
        <v>0</v>
      </c>
      <c r="M4083" s="563">
        <f t="shared" si="191"/>
        <v>70.784999999999997</v>
      </c>
      <c r="N4083" s="580"/>
    </row>
    <row r="4084" spans="4:14" x14ac:dyDescent="0.25">
      <c r="D4084" s="559" t="s">
        <v>867</v>
      </c>
      <c r="E4084" s="558" t="s">
        <v>83</v>
      </c>
      <c r="F4084" s="559">
        <v>701924</v>
      </c>
      <c r="G4084" s="558" t="s">
        <v>84</v>
      </c>
      <c r="H4084" s="564">
        <v>40015</v>
      </c>
      <c r="I4084" s="563">
        <v>64.349999999999994</v>
      </c>
      <c r="J4084" s="563">
        <v>-64.349999999999994</v>
      </c>
      <c r="K4084" s="582">
        <f t="shared" si="189"/>
        <v>0</v>
      </c>
      <c r="L4084" s="563">
        <f t="shared" si="190"/>
        <v>0</v>
      </c>
      <c r="M4084" s="563">
        <f t="shared" si="191"/>
        <v>70.784999999999997</v>
      </c>
      <c r="N4084" s="580"/>
    </row>
    <row r="4085" spans="4:14" x14ac:dyDescent="0.25">
      <c r="D4085" s="559" t="s">
        <v>867</v>
      </c>
      <c r="E4085" s="558" t="s">
        <v>85</v>
      </c>
      <c r="F4085" s="559">
        <v>702004</v>
      </c>
      <c r="G4085" s="558" t="s">
        <v>84</v>
      </c>
      <c r="H4085" s="564">
        <v>40015</v>
      </c>
      <c r="I4085" s="563">
        <v>64.349999999999994</v>
      </c>
      <c r="J4085" s="563">
        <v>-64.349999999999994</v>
      </c>
      <c r="K4085" s="582">
        <f t="shared" si="189"/>
        <v>0</v>
      </c>
      <c r="L4085" s="563">
        <f t="shared" si="190"/>
        <v>0</v>
      </c>
      <c r="M4085" s="563">
        <f t="shared" si="191"/>
        <v>70.784999999999997</v>
      </c>
      <c r="N4085" s="580"/>
    </row>
    <row r="4086" spans="4:14" x14ac:dyDescent="0.25">
      <c r="D4086" s="559" t="s">
        <v>867</v>
      </c>
      <c r="E4086" s="558" t="s">
        <v>86</v>
      </c>
      <c r="F4086" s="559">
        <v>701925</v>
      </c>
      <c r="G4086" s="558" t="s">
        <v>84</v>
      </c>
      <c r="H4086" s="564">
        <v>40015</v>
      </c>
      <c r="I4086" s="563">
        <v>727.35</v>
      </c>
      <c r="J4086" s="563">
        <v>-585</v>
      </c>
      <c r="K4086" s="582">
        <f t="shared" si="189"/>
        <v>142.35000000000002</v>
      </c>
      <c r="L4086" s="563">
        <f t="shared" si="190"/>
        <v>156.58500000000004</v>
      </c>
      <c r="M4086" s="563">
        <f t="shared" si="191"/>
        <v>800.08500000000004</v>
      </c>
      <c r="N4086" s="580"/>
    </row>
    <row r="4087" spans="4:14" x14ac:dyDescent="0.25">
      <c r="D4087" s="559" t="s">
        <v>867</v>
      </c>
      <c r="E4087" s="558" t="s">
        <v>87</v>
      </c>
      <c r="F4087" s="559">
        <v>701926</v>
      </c>
      <c r="G4087" s="558" t="s">
        <v>84</v>
      </c>
      <c r="H4087" s="564">
        <v>40015</v>
      </c>
      <c r="I4087" s="563">
        <v>64.349999999999994</v>
      </c>
      <c r="J4087" s="563">
        <v>-64.349999999999994</v>
      </c>
      <c r="K4087" s="582">
        <f t="shared" si="189"/>
        <v>0</v>
      </c>
      <c r="L4087" s="563">
        <f t="shared" si="190"/>
        <v>0</v>
      </c>
      <c r="M4087" s="563">
        <f t="shared" si="191"/>
        <v>70.784999999999997</v>
      </c>
      <c r="N4087" s="580"/>
    </row>
    <row r="4088" spans="4:14" x14ac:dyDescent="0.25">
      <c r="D4088" s="559" t="s">
        <v>867</v>
      </c>
      <c r="E4088" s="558" t="s">
        <v>88</v>
      </c>
      <c r="F4088" s="559">
        <v>701927</v>
      </c>
      <c r="G4088" s="558" t="s">
        <v>84</v>
      </c>
      <c r="H4088" s="564">
        <v>40015</v>
      </c>
      <c r="I4088" s="563">
        <v>64.349999999999994</v>
      </c>
      <c r="J4088" s="563">
        <v>-64.349999999999994</v>
      </c>
      <c r="K4088" s="582">
        <f t="shared" si="189"/>
        <v>0</v>
      </c>
      <c r="L4088" s="563">
        <f t="shared" si="190"/>
        <v>0</v>
      </c>
      <c r="M4088" s="563">
        <f t="shared" si="191"/>
        <v>70.784999999999997</v>
      </c>
      <c r="N4088" s="580"/>
    </row>
    <row r="4089" spans="4:14" x14ac:dyDescent="0.25">
      <c r="D4089" s="559" t="s">
        <v>867</v>
      </c>
      <c r="E4089" s="558" t="s">
        <v>89</v>
      </c>
      <c r="F4089" s="559">
        <v>702303</v>
      </c>
      <c r="G4089" s="558" t="s">
        <v>90</v>
      </c>
      <c r="H4089" s="564">
        <v>40015</v>
      </c>
      <c r="I4089" s="563">
        <v>64.349999999999994</v>
      </c>
      <c r="J4089" s="563">
        <v>-64.349999999999994</v>
      </c>
      <c r="K4089" s="582">
        <f t="shared" si="189"/>
        <v>0</v>
      </c>
      <c r="L4089" s="563">
        <f t="shared" si="190"/>
        <v>0</v>
      </c>
      <c r="M4089" s="563">
        <f t="shared" si="191"/>
        <v>70.784999999999997</v>
      </c>
      <c r="N4089" s="580"/>
    </row>
    <row r="4090" spans="4:14" x14ac:dyDescent="0.25">
      <c r="D4090" s="559" t="s">
        <v>867</v>
      </c>
      <c r="E4090" s="558" t="s">
        <v>91</v>
      </c>
      <c r="F4090" s="559">
        <v>701929</v>
      </c>
      <c r="G4090" s="558" t="s">
        <v>90</v>
      </c>
      <c r="H4090" s="564">
        <v>40015</v>
      </c>
      <c r="I4090" s="563">
        <v>64.349999999999994</v>
      </c>
      <c r="J4090" s="563">
        <v>-64.349999999999994</v>
      </c>
      <c r="K4090" s="582">
        <f t="shared" si="189"/>
        <v>0</v>
      </c>
      <c r="L4090" s="563">
        <f t="shared" si="190"/>
        <v>0</v>
      </c>
      <c r="M4090" s="563">
        <f t="shared" si="191"/>
        <v>70.784999999999997</v>
      </c>
      <c r="N4090" s="580"/>
    </row>
    <row r="4091" spans="4:14" x14ac:dyDescent="0.25">
      <c r="D4091" s="559" t="s">
        <v>867</v>
      </c>
      <c r="E4091" s="558" t="s">
        <v>92</v>
      </c>
      <c r="F4091" s="559">
        <v>701930</v>
      </c>
      <c r="G4091" s="558" t="s">
        <v>90</v>
      </c>
      <c r="H4091" s="564">
        <v>40015</v>
      </c>
      <c r="I4091" s="563">
        <v>64.349999999999994</v>
      </c>
      <c r="J4091" s="563">
        <v>-64.349999999999994</v>
      </c>
      <c r="K4091" s="582">
        <f t="shared" si="189"/>
        <v>0</v>
      </c>
      <c r="L4091" s="563">
        <f t="shared" si="190"/>
        <v>0</v>
      </c>
      <c r="M4091" s="563">
        <f t="shared" si="191"/>
        <v>70.784999999999997</v>
      </c>
      <c r="N4091" s="580"/>
    </row>
    <row r="4092" spans="4:14" x14ac:dyDescent="0.25">
      <c r="D4092" s="559" t="s">
        <v>867</v>
      </c>
      <c r="E4092" s="558" t="s">
        <v>93</v>
      </c>
      <c r="F4092" s="559">
        <v>702005</v>
      </c>
      <c r="G4092" s="558" t="s">
        <v>90</v>
      </c>
      <c r="H4092" s="564">
        <v>40015</v>
      </c>
      <c r="I4092" s="563">
        <v>727.35</v>
      </c>
      <c r="J4092" s="563">
        <v>-585</v>
      </c>
      <c r="K4092" s="582">
        <f t="shared" si="189"/>
        <v>142.35000000000002</v>
      </c>
      <c r="L4092" s="563">
        <f t="shared" si="190"/>
        <v>156.58500000000004</v>
      </c>
      <c r="M4092" s="563">
        <f t="shared" si="191"/>
        <v>800.08500000000004</v>
      </c>
      <c r="N4092" s="580"/>
    </row>
    <row r="4093" spans="4:14" x14ac:dyDescent="0.25">
      <c r="D4093" s="559" t="s">
        <v>867</v>
      </c>
      <c r="E4093" s="558" t="s">
        <v>94</v>
      </c>
      <c r="F4093" s="559">
        <v>702006</v>
      </c>
      <c r="G4093" s="558" t="s">
        <v>90</v>
      </c>
      <c r="H4093" s="564">
        <v>40015</v>
      </c>
      <c r="I4093" s="563">
        <v>64.349999999999994</v>
      </c>
      <c r="J4093" s="563">
        <v>-64.349999999999994</v>
      </c>
      <c r="K4093" s="582">
        <f t="shared" si="189"/>
        <v>0</v>
      </c>
      <c r="L4093" s="563">
        <f t="shared" si="190"/>
        <v>0</v>
      </c>
      <c r="M4093" s="563">
        <f t="shared" si="191"/>
        <v>70.784999999999997</v>
      </c>
      <c r="N4093" s="580"/>
    </row>
    <row r="4094" spans="4:14" x14ac:dyDescent="0.25">
      <c r="D4094" s="559" t="s">
        <v>867</v>
      </c>
      <c r="E4094" s="558" t="s">
        <v>95</v>
      </c>
      <c r="F4094" s="559">
        <v>701931</v>
      </c>
      <c r="G4094" s="558" t="s">
        <v>96</v>
      </c>
      <c r="H4094" s="564">
        <v>40015</v>
      </c>
      <c r="I4094" s="563">
        <v>64.349999999999994</v>
      </c>
      <c r="J4094" s="563">
        <v>-64.349999999999994</v>
      </c>
      <c r="K4094" s="582">
        <f t="shared" si="189"/>
        <v>0</v>
      </c>
      <c r="L4094" s="563">
        <f t="shared" si="190"/>
        <v>0</v>
      </c>
      <c r="M4094" s="563">
        <f t="shared" si="191"/>
        <v>70.784999999999997</v>
      </c>
      <c r="N4094" s="580"/>
    </row>
    <row r="4095" spans="4:14" x14ac:dyDescent="0.25">
      <c r="D4095" s="559" t="s">
        <v>867</v>
      </c>
      <c r="E4095" s="558" t="s">
        <v>97</v>
      </c>
      <c r="F4095" s="559">
        <v>701932</v>
      </c>
      <c r="G4095" s="558" t="s">
        <v>96</v>
      </c>
      <c r="H4095" s="564">
        <v>40015</v>
      </c>
      <c r="I4095" s="563">
        <v>64.349999999999994</v>
      </c>
      <c r="J4095" s="563">
        <v>-64.349999999999994</v>
      </c>
      <c r="K4095" s="582">
        <f t="shared" si="189"/>
        <v>0</v>
      </c>
      <c r="L4095" s="563">
        <f t="shared" si="190"/>
        <v>0</v>
      </c>
      <c r="M4095" s="563">
        <f t="shared" si="191"/>
        <v>70.784999999999997</v>
      </c>
      <c r="N4095" s="580"/>
    </row>
    <row r="4096" spans="4:14" x14ac:dyDescent="0.25">
      <c r="D4096" s="559" t="s">
        <v>867</v>
      </c>
      <c r="E4096" s="558" t="s">
        <v>98</v>
      </c>
      <c r="F4096" s="559">
        <v>702038</v>
      </c>
      <c r="G4096" s="558" t="s">
        <v>96</v>
      </c>
      <c r="H4096" s="564">
        <v>40015</v>
      </c>
      <c r="I4096" s="563">
        <v>64.349999999999994</v>
      </c>
      <c r="J4096" s="563">
        <v>-64.349999999999994</v>
      </c>
      <c r="K4096" s="582">
        <f t="shared" si="189"/>
        <v>0</v>
      </c>
      <c r="L4096" s="563">
        <f t="shared" si="190"/>
        <v>0</v>
      </c>
      <c r="M4096" s="563">
        <f t="shared" si="191"/>
        <v>70.784999999999997</v>
      </c>
      <c r="N4096" s="580"/>
    </row>
    <row r="4097" spans="4:14" x14ac:dyDescent="0.25">
      <c r="D4097" s="559" t="s">
        <v>867</v>
      </c>
      <c r="E4097" s="558" t="s">
        <v>99</v>
      </c>
      <c r="F4097" s="559">
        <v>702039</v>
      </c>
      <c r="G4097" s="558" t="s">
        <v>96</v>
      </c>
      <c r="H4097" s="564">
        <v>40015</v>
      </c>
      <c r="I4097" s="563">
        <v>64.349999999999994</v>
      </c>
      <c r="J4097" s="563">
        <v>-64.349999999999994</v>
      </c>
      <c r="K4097" s="582">
        <f t="shared" si="189"/>
        <v>0</v>
      </c>
      <c r="L4097" s="563">
        <f t="shared" si="190"/>
        <v>0</v>
      </c>
      <c r="M4097" s="563">
        <f t="shared" si="191"/>
        <v>70.784999999999997</v>
      </c>
      <c r="N4097" s="580"/>
    </row>
    <row r="4098" spans="4:14" x14ac:dyDescent="0.25">
      <c r="D4098" s="559" t="s">
        <v>867</v>
      </c>
      <c r="E4098" s="558" t="s">
        <v>100</v>
      </c>
      <c r="F4098" s="559">
        <v>702040</v>
      </c>
      <c r="G4098" s="558" t="s">
        <v>96</v>
      </c>
      <c r="H4098" s="564">
        <v>40015</v>
      </c>
      <c r="I4098" s="563">
        <v>727.35</v>
      </c>
      <c r="J4098" s="563">
        <v>-585</v>
      </c>
      <c r="K4098" s="582">
        <f t="shared" si="189"/>
        <v>142.35000000000002</v>
      </c>
      <c r="L4098" s="563">
        <f t="shared" si="190"/>
        <v>156.58500000000004</v>
      </c>
      <c r="M4098" s="563">
        <f t="shared" si="191"/>
        <v>800.08500000000004</v>
      </c>
      <c r="N4098" s="580"/>
    </row>
    <row r="4099" spans="4:14" x14ac:dyDescent="0.25">
      <c r="D4099" s="559" t="s">
        <v>867</v>
      </c>
      <c r="E4099" s="558" t="s">
        <v>101</v>
      </c>
      <c r="F4099" s="559">
        <v>702041</v>
      </c>
      <c r="G4099" s="558" t="s">
        <v>102</v>
      </c>
      <c r="H4099" s="564">
        <v>40015</v>
      </c>
      <c r="I4099" s="563">
        <v>64.349999999999994</v>
      </c>
      <c r="J4099" s="563">
        <v>-64.349999999999994</v>
      </c>
      <c r="K4099" s="582">
        <f t="shared" si="189"/>
        <v>0</v>
      </c>
      <c r="L4099" s="563">
        <f t="shared" si="190"/>
        <v>0</v>
      </c>
      <c r="M4099" s="563">
        <f t="shared" si="191"/>
        <v>70.784999999999997</v>
      </c>
      <c r="N4099" s="580"/>
    </row>
    <row r="4100" spans="4:14" x14ac:dyDescent="0.25">
      <c r="D4100" s="559" t="s">
        <v>867</v>
      </c>
      <c r="E4100" s="558" t="s">
        <v>103</v>
      </c>
      <c r="F4100" s="559">
        <v>702042</v>
      </c>
      <c r="G4100" s="558" t="s">
        <v>102</v>
      </c>
      <c r="H4100" s="564">
        <v>40015</v>
      </c>
      <c r="I4100" s="563">
        <v>64.349999999999994</v>
      </c>
      <c r="J4100" s="563">
        <v>-64.349999999999994</v>
      </c>
      <c r="K4100" s="582">
        <f t="shared" si="189"/>
        <v>0</v>
      </c>
      <c r="L4100" s="563">
        <f t="shared" si="190"/>
        <v>0</v>
      </c>
      <c r="M4100" s="563">
        <f t="shared" si="191"/>
        <v>70.784999999999997</v>
      </c>
      <c r="N4100" s="580"/>
    </row>
    <row r="4101" spans="4:14" x14ac:dyDescent="0.25">
      <c r="D4101" s="559" t="s">
        <v>867</v>
      </c>
      <c r="E4101" s="558" t="s">
        <v>104</v>
      </c>
      <c r="F4101" s="559">
        <v>702043</v>
      </c>
      <c r="G4101" s="558" t="s">
        <v>102</v>
      </c>
      <c r="H4101" s="564">
        <v>40015</v>
      </c>
      <c r="I4101" s="563">
        <v>64.349999999999994</v>
      </c>
      <c r="J4101" s="563">
        <v>-64.349999999999994</v>
      </c>
      <c r="K4101" s="582">
        <f t="shared" si="189"/>
        <v>0</v>
      </c>
      <c r="L4101" s="563">
        <f t="shared" si="190"/>
        <v>0</v>
      </c>
      <c r="M4101" s="563">
        <f t="shared" si="191"/>
        <v>70.784999999999997</v>
      </c>
      <c r="N4101" s="580"/>
    </row>
    <row r="4102" spans="4:14" x14ac:dyDescent="0.25">
      <c r="D4102" s="559" t="s">
        <v>867</v>
      </c>
      <c r="E4102" s="558" t="s">
        <v>105</v>
      </c>
      <c r="F4102" s="559">
        <v>702044</v>
      </c>
      <c r="G4102" s="558" t="s">
        <v>102</v>
      </c>
      <c r="H4102" s="564">
        <v>40015</v>
      </c>
      <c r="I4102" s="563">
        <v>64.349999999999994</v>
      </c>
      <c r="J4102" s="563">
        <v>-64.349999999999994</v>
      </c>
      <c r="K4102" s="582">
        <f t="shared" si="189"/>
        <v>0</v>
      </c>
      <c r="L4102" s="563">
        <f t="shared" si="190"/>
        <v>0</v>
      </c>
      <c r="M4102" s="563">
        <f t="shared" si="191"/>
        <v>70.784999999999997</v>
      </c>
      <c r="N4102" s="580"/>
    </row>
    <row r="4103" spans="4:14" x14ac:dyDescent="0.25">
      <c r="D4103" s="559" t="s">
        <v>867</v>
      </c>
      <c r="E4103" s="558" t="s">
        <v>106</v>
      </c>
      <c r="F4103" s="559">
        <v>702045</v>
      </c>
      <c r="G4103" s="558" t="s">
        <v>102</v>
      </c>
      <c r="H4103" s="564">
        <v>40015</v>
      </c>
      <c r="I4103" s="563">
        <v>64.349999999999994</v>
      </c>
      <c r="J4103" s="563">
        <v>-64.349999999999994</v>
      </c>
      <c r="K4103" s="582">
        <f t="shared" si="189"/>
        <v>0</v>
      </c>
      <c r="L4103" s="563">
        <f t="shared" si="190"/>
        <v>0</v>
      </c>
      <c r="M4103" s="563">
        <f t="shared" si="191"/>
        <v>70.784999999999997</v>
      </c>
      <c r="N4103" s="580"/>
    </row>
    <row r="4104" spans="4:14" x14ac:dyDescent="0.25">
      <c r="D4104" s="559" t="s">
        <v>867</v>
      </c>
      <c r="E4104" s="558" t="s">
        <v>107</v>
      </c>
      <c r="F4104" s="559">
        <v>702046</v>
      </c>
      <c r="G4104" s="558" t="s">
        <v>108</v>
      </c>
      <c r="H4104" s="564">
        <v>40015</v>
      </c>
      <c r="I4104" s="563">
        <v>64.349999999999994</v>
      </c>
      <c r="J4104" s="563">
        <v>-64.349999999999994</v>
      </c>
      <c r="K4104" s="582">
        <f t="shared" si="189"/>
        <v>0</v>
      </c>
      <c r="L4104" s="563">
        <f t="shared" si="190"/>
        <v>0</v>
      </c>
      <c r="M4104" s="563">
        <f t="shared" si="191"/>
        <v>70.784999999999997</v>
      </c>
      <c r="N4104" s="580"/>
    </row>
    <row r="4105" spans="4:14" x14ac:dyDescent="0.25">
      <c r="D4105" s="559" t="s">
        <v>867</v>
      </c>
      <c r="E4105" s="558" t="s">
        <v>109</v>
      </c>
      <c r="F4105" s="559">
        <v>702047</v>
      </c>
      <c r="G4105" s="558" t="s">
        <v>108</v>
      </c>
      <c r="H4105" s="564">
        <v>40015</v>
      </c>
      <c r="I4105" s="563">
        <v>64.349999999999994</v>
      </c>
      <c r="J4105" s="563">
        <v>-64.349999999999994</v>
      </c>
      <c r="K4105" s="582">
        <f t="shared" si="189"/>
        <v>0</v>
      </c>
      <c r="L4105" s="563">
        <f t="shared" si="190"/>
        <v>0</v>
      </c>
      <c r="M4105" s="563">
        <f t="shared" si="191"/>
        <v>70.784999999999997</v>
      </c>
      <c r="N4105" s="580"/>
    </row>
    <row r="4106" spans="4:14" x14ac:dyDescent="0.25">
      <c r="D4106" s="559" t="s">
        <v>867</v>
      </c>
      <c r="E4106" s="558" t="s">
        <v>110</v>
      </c>
      <c r="F4106" s="559">
        <v>701915</v>
      </c>
      <c r="G4106" s="558" t="s">
        <v>108</v>
      </c>
      <c r="H4106" s="564">
        <v>40015</v>
      </c>
      <c r="I4106" s="563">
        <v>64.349999999999994</v>
      </c>
      <c r="J4106" s="563">
        <v>-64.349999999999994</v>
      </c>
      <c r="K4106" s="582">
        <f t="shared" si="189"/>
        <v>0</v>
      </c>
      <c r="L4106" s="563">
        <f t="shared" si="190"/>
        <v>0</v>
      </c>
      <c r="M4106" s="563">
        <f t="shared" si="191"/>
        <v>70.784999999999997</v>
      </c>
      <c r="N4106" s="580"/>
    </row>
    <row r="4107" spans="4:14" x14ac:dyDescent="0.25">
      <c r="D4107" s="559" t="s">
        <v>867</v>
      </c>
      <c r="E4107" s="558" t="s">
        <v>111</v>
      </c>
      <c r="F4107" s="559">
        <v>701914</v>
      </c>
      <c r="G4107" s="558" t="s">
        <v>108</v>
      </c>
      <c r="H4107" s="564">
        <v>40015</v>
      </c>
      <c r="I4107" s="563">
        <v>64.349999999999994</v>
      </c>
      <c r="J4107" s="563">
        <v>-64.349999999999994</v>
      </c>
      <c r="K4107" s="582">
        <f t="shared" si="189"/>
        <v>0</v>
      </c>
      <c r="L4107" s="563">
        <f t="shared" si="190"/>
        <v>0</v>
      </c>
      <c r="M4107" s="563">
        <f t="shared" si="191"/>
        <v>70.784999999999997</v>
      </c>
      <c r="N4107" s="580"/>
    </row>
    <row r="4108" spans="4:14" x14ac:dyDescent="0.25">
      <c r="D4108" s="559" t="s">
        <v>867</v>
      </c>
      <c r="E4108" s="558" t="s">
        <v>112</v>
      </c>
      <c r="F4108" s="559">
        <v>701913</v>
      </c>
      <c r="G4108" s="558" t="s">
        <v>108</v>
      </c>
      <c r="H4108" s="564">
        <v>40015</v>
      </c>
      <c r="I4108" s="563">
        <v>64.349999999999994</v>
      </c>
      <c r="J4108" s="563">
        <v>-64.349999999999994</v>
      </c>
      <c r="K4108" s="582">
        <f t="shared" si="189"/>
        <v>0</v>
      </c>
      <c r="L4108" s="563">
        <f t="shared" si="190"/>
        <v>0</v>
      </c>
      <c r="M4108" s="563">
        <f t="shared" si="191"/>
        <v>70.784999999999997</v>
      </c>
      <c r="N4108" s="580"/>
    </row>
    <row r="4109" spans="4:14" x14ac:dyDescent="0.25">
      <c r="D4109" s="559" t="s">
        <v>867</v>
      </c>
      <c r="E4109" s="558" t="s">
        <v>113</v>
      </c>
      <c r="F4109" s="559">
        <v>701916</v>
      </c>
      <c r="G4109" s="558" t="s">
        <v>114</v>
      </c>
      <c r="H4109" s="564">
        <v>40015</v>
      </c>
      <c r="I4109" s="563">
        <v>64.349999999999994</v>
      </c>
      <c r="J4109" s="563">
        <v>-64.349999999999994</v>
      </c>
      <c r="K4109" s="582">
        <f t="shared" si="189"/>
        <v>0</v>
      </c>
      <c r="L4109" s="563">
        <f t="shared" si="190"/>
        <v>0</v>
      </c>
      <c r="M4109" s="563">
        <f t="shared" si="191"/>
        <v>70.784999999999997</v>
      </c>
      <c r="N4109" s="580"/>
    </row>
    <row r="4110" spans="4:14" x14ac:dyDescent="0.25">
      <c r="D4110" s="559" t="s">
        <v>867</v>
      </c>
      <c r="E4110" s="558" t="s">
        <v>115</v>
      </c>
      <c r="F4110" s="559">
        <v>701917</v>
      </c>
      <c r="G4110" s="558" t="s">
        <v>114</v>
      </c>
      <c r="H4110" s="564">
        <v>40015</v>
      </c>
      <c r="I4110" s="563">
        <v>64.349999999999994</v>
      </c>
      <c r="J4110" s="563">
        <v>-64.349999999999994</v>
      </c>
      <c r="K4110" s="582">
        <f t="shared" si="189"/>
        <v>0</v>
      </c>
      <c r="L4110" s="563">
        <f t="shared" si="190"/>
        <v>0</v>
      </c>
      <c r="M4110" s="563">
        <f t="shared" si="191"/>
        <v>70.784999999999997</v>
      </c>
      <c r="N4110" s="580"/>
    </row>
    <row r="4111" spans="4:14" x14ac:dyDescent="0.25">
      <c r="D4111" s="559" t="s">
        <v>867</v>
      </c>
      <c r="E4111" s="558" t="s">
        <v>116</v>
      </c>
      <c r="F4111" s="559">
        <v>701918</v>
      </c>
      <c r="G4111" s="558" t="s">
        <v>114</v>
      </c>
      <c r="H4111" s="564">
        <v>40015</v>
      </c>
      <c r="I4111" s="563">
        <v>64.349999999999994</v>
      </c>
      <c r="J4111" s="563">
        <v>-64.349999999999994</v>
      </c>
      <c r="K4111" s="582">
        <f t="shared" si="189"/>
        <v>0</v>
      </c>
      <c r="L4111" s="563">
        <f t="shared" si="190"/>
        <v>0</v>
      </c>
      <c r="M4111" s="563">
        <f t="shared" si="191"/>
        <v>70.784999999999997</v>
      </c>
      <c r="N4111" s="580"/>
    </row>
    <row r="4112" spans="4:14" x14ac:dyDescent="0.25">
      <c r="D4112" s="559" t="s">
        <v>867</v>
      </c>
      <c r="E4112" s="558" t="s">
        <v>117</v>
      </c>
      <c r="F4112" s="559">
        <v>701919</v>
      </c>
      <c r="G4112" s="558" t="s">
        <v>114</v>
      </c>
      <c r="H4112" s="564">
        <v>40015</v>
      </c>
      <c r="I4112" s="563">
        <v>64.349999999999994</v>
      </c>
      <c r="J4112" s="563">
        <v>-64.349999999999994</v>
      </c>
      <c r="K4112" s="582">
        <f t="shared" si="189"/>
        <v>0</v>
      </c>
      <c r="L4112" s="563">
        <f t="shared" si="190"/>
        <v>0</v>
      </c>
      <c r="M4112" s="563">
        <f t="shared" si="191"/>
        <v>70.784999999999997</v>
      </c>
      <c r="N4112" s="580"/>
    </row>
    <row r="4113" spans="4:14" x14ac:dyDescent="0.25">
      <c r="D4113" s="559" t="s">
        <v>867</v>
      </c>
      <c r="E4113" s="558" t="s">
        <v>118</v>
      </c>
      <c r="F4113" s="559">
        <v>701920</v>
      </c>
      <c r="G4113" s="558" t="s">
        <v>114</v>
      </c>
      <c r="H4113" s="564">
        <v>40015</v>
      </c>
      <c r="I4113" s="563">
        <v>64.349999999999994</v>
      </c>
      <c r="J4113" s="563">
        <v>-64.349999999999994</v>
      </c>
      <c r="K4113" s="582">
        <f t="shared" si="189"/>
        <v>0</v>
      </c>
      <c r="L4113" s="563">
        <f t="shared" si="190"/>
        <v>0</v>
      </c>
      <c r="M4113" s="563">
        <f t="shared" si="191"/>
        <v>70.784999999999997</v>
      </c>
      <c r="N4113" s="580"/>
    </row>
    <row r="4114" spans="4:14" x14ac:dyDescent="0.25">
      <c r="D4114" s="559" t="s">
        <v>867</v>
      </c>
      <c r="E4114" s="558" t="s">
        <v>119</v>
      </c>
      <c r="F4114" s="559">
        <v>701863</v>
      </c>
      <c r="G4114" s="558" t="s">
        <v>120</v>
      </c>
      <c r="H4114" s="564">
        <v>40015</v>
      </c>
      <c r="I4114" s="563">
        <v>64.349999999999994</v>
      </c>
      <c r="J4114" s="563">
        <v>-64.349999999999994</v>
      </c>
      <c r="K4114" s="582">
        <f t="shared" si="189"/>
        <v>0</v>
      </c>
      <c r="L4114" s="563">
        <f t="shared" si="190"/>
        <v>0</v>
      </c>
      <c r="M4114" s="563">
        <f t="shared" si="191"/>
        <v>70.784999999999997</v>
      </c>
      <c r="N4114" s="580"/>
    </row>
    <row r="4115" spans="4:14" x14ac:dyDescent="0.25">
      <c r="D4115" s="559" t="s">
        <v>867</v>
      </c>
      <c r="E4115" s="558" t="s">
        <v>121</v>
      </c>
      <c r="F4115" s="559">
        <v>701921</v>
      </c>
      <c r="G4115" s="558" t="s">
        <v>120</v>
      </c>
      <c r="H4115" s="564">
        <v>40015</v>
      </c>
      <c r="I4115" s="563">
        <v>64.349999999999994</v>
      </c>
      <c r="J4115" s="563">
        <v>-64.349999999999994</v>
      </c>
      <c r="K4115" s="582">
        <f t="shared" si="189"/>
        <v>0</v>
      </c>
      <c r="L4115" s="563">
        <f t="shared" si="190"/>
        <v>0</v>
      </c>
      <c r="M4115" s="563">
        <f t="shared" si="191"/>
        <v>70.784999999999997</v>
      </c>
      <c r="N4115" s="580"/>
    </row>
    <row r="4116" spans="4:14" x14ac:dyDescent="0.25">
      <c r="D4116" s="559" t="s">
        <v>867</v>
      </c>
      <c r="E4116" s="558" t="s">
        <v>122</v>
      </c>
      <c r="F4116" s="559">
        <v>702020</v>
      </c>
      <c r="G4116" s="558" t="s">
        <v>120</v>
      </c>
      <c r="H4116" s="564">
        <v>40015</v>
      </c>
      <c r="I4116" s="563">
        <v>64.349999999999994</v>
      </c>
      <c r="J4116" s="563">
        <v>-64.349999999999994</v>
      </c>
      <c r="K4116" s="582">
        <f t="shared" si="189"/>
        <v>0</v>
      </c>
      <c r="L4116" s="563">
        <f t="shared" si="190"/>
        <v>0</v>
      </c>
      <c r="M4116" s="563">
        <f t="shared" si="191"/>
        <v>70.784999999999997</v>
      </c>
      <c r="N4116" s="580"/>
    </row>
    <row r="4117" spans="4:14" x14ac:dyDescent="0.25">
      <c r="D4117" s="559" t="s">
        <v>867</v>
      </c>
      <c r="E4117" s="558" t="s">
        <v>123</v>
      </c>
      <c r="F4117" s="559">
        <v>702021</v>
      </c>
      <c r="G4117" s="558" t="s">
        <v>120</v>
      </c>
      <c r="H4117" s="564">
        <v>40015</v>
      </c>
      <c r="I4117" s="563">
        <v>64.349999999999994</v>
      </c>
      <c r="J4117" s="563">
        <v>-64.349999999999994</v>
      </c>
      <c r="K4117" s="582">
        <f t="shared" si="189"/>
        <v>0</v>
      </c>
      <c r="L4117" s="563">
        <f t="shared" si="190"/>
        <v>0</v>
      </c>
      <c r="M4117" s="563">
        <f t="shared" si="191"/>
        <v>70.784999999999997</v>
      </c>
      <c r="N4117" s="580"/>
    </row>
    <row r="4118" spans="4:14" x14ac:dyDescent="0.25">
      <c r="D4118" s="559" t="s">
        <v>867</v>
      </c>
      <c r="E4118" s="558" t="s">
        <v>124</v>
      </c>
      <c r="F4118" s="559">
        <v>702022</v>
      </c>
      <c r="G4118" s="558" t="s">
        <v>120</v>
      </c>
      <c r="H4118" s="564">
        <v>40015</v>
      </c>
      <c r="I4118" s="563">
        <v>64.349999999999994</v>
      </c>
      <c r="J4118" s="563">
        <v>-64.349999999999994</v>
      </c>
      <c r="K4118" s="582">
        <f t="shared" si="189"/>
        <v>0</v>
      </c>
      <c r="L4118" s="563">
        <f t="shared" si="190"/>
        <v>0</v>
      </c>
      <c r="M4118" s="563">
        <f t="shared" si="191"/>
        <v>70.784999999999997</v>
      </c>
      <c r="N4118" s="580"/>
    </row>
    <row r="4119" spans="4:14" x14ac:dyDescent="0.25">
      <c r="D4119" s="559" t="s">
        <v>867</v>
      </c>
      <c r="E4119" s="558" t="s">
        <v>125</v>
      </c>
      <c r="F4119" s="559">
        <v>701909</v>
      </c>
      <c r="G4119" s="558" t="s">
        <v>126</v>
      </c>
      <c r="H4119" s="564">
        <v>40015</v>
      </c>
      <c r="I4119" s="563">
        <v>64.349999999999994</v>
      </c>
      <c r="J4119" s="563">
        <v>-64.349999999999994</v>
      </c>
      <c r="K4119" s="582">
        <f t="shared" si="189"/>
        <v>0</v>
      </c>
      <c r="L4119" s="563">
        <f t="shared" si="190"/>
        <v>0</v>
      </c>
      <c r="M4119" s="563">
        <f t="shared" si="191"/>
        <v>70.784999999999997</v>
      </c>
      <c r="N4119" s="580"/>
    </row>
    <row r="4120" spans="4:14" x14ac:dyDescent="0.25">
      <c r="D4120" s="559" t="s">
        <v>867</v>
      </c>
      <c r="E4120" s="558" t="s">
        <v>127</v>
      </c>
      <c r="F4120" s="559">
        <v>702007</v>
      </c>
      <c r="G4120" s="558" t="s">
        <v>126</v>
      </c>
      <c r="H4120" s="564">
        <v>40015</v>
      </c>
      <c r="I4120" s="563">
        <v>64.349999999999994</v>
      </c>
      <c r="J4120" s="563">
        <v>-64.349999999999994</v>
      </c>
      <c r="K4120" s="582">
        <f t="shared" si="189"/>
        <v>0</v>
      </c>
      <c r="L4120" s="563">
        <f t="shared" si="190"/>
        <v>0</v>
      </c>
      <c r="M4120" s="563">
        <f t="shared" si="191"/>
        <v>70.784999999999997</v>
      </c>
      <c r="N4120" s="580"/>
    </row>
    <row r="4121" spans="4:14" x14ac:dyDescent="0.25">
      <c r="D4121" s="559" t="s">
        <v>867</v>
      </c>
      <c r="E4121" s="558" t="s">
        <v>128</v>
      </c>
      <c r="F4121" s="559">
        <v>702008</v>
      </c>
      <c r="G4121" s="558" t="s">
        <v>126</v>
      </c>
      <c r="H4121" s="564">
        <v>40015</v>
      </c>
      <c r="I4121" s="563">
        <v>64.349999999999994</v>
      </c>
      <c r="J4121" s="563">
        <v>-64.349999999999994</v>
      </c>
      <c r="K4121" s="582">
        <f t="shared" si="189"/>
        <v>0</v>
      </c>
      <c r="L4121" s="563">
        <f t="shared" si="190"/>
        <v>0</v>
      </c>
      <c r="M4121" s="563">
        <f t="shared" si="191"/>
        <v>70.784999999999997</v>
      </c>
      <c r="N4121" s="580"/>
    </row>
    <row r="4122" spans="4:14" x14ac:dyDescent="0.25">
      <c r="D4122" s="559" t="s">
        <v>867</v>
      </c>
      <c r="E4122" s="558" t="s">
        <v>129</v>
      </c>
      <c r="F4122" s="559">
        <v>702009</v>
      </c>
      <c r="G4122" s="558" t="s">
        <v>126</v>
      </c>
      <c r="H4122" s="564">
        <v>40015</v>
      </c>
      <c r="I4122" s="563">
        <v>64.349999999999994</v>
      </c>
      <c r="J4122" s="563">
        <v>-64.349999999999994</v>
      </c>
      <c r="K4122" s="582">
        <f t="shared" si="189"/>
        <v>0</v>
      </c>
      <c r="L4122" s="563">
        <f t="shared" si="190"/>
        <v>0</v>
      </c>
      <c r="M4122" s="563">
        <f t="shared" si="191"/>
        <v>70.784999999999997</v>
      </c>
      <c r="N4122" s="580"/>
    </row>
    <row r="4123" spans="4:14" x14ac:dyDescent="0.25">
      <c r="D4123" s="559" t="s">
        <v>867</v>
      </c>
      <c r="E4123" s="558" t="s">
        <v>130</v>
      </c>
      <c r="F4123" s="559">
        <v>702010</v>
      </c>
      <c r="G4123" s="558" t="s">
        <v>126</v>
      </c>
      <c r="H4123" s="564">
        <v>40015</v>
      </c>
      <c r="I4123" s="563">
        <v>64.349999999999994</v>
      </c>
      <c r="J4123" s="563">
        <v>-64.349999999999994</v>
      </c>
      <c r="K4123" s="582">
        <f t="shared" si="189"/>
        <v>0</v>
      </c>
      <c r="L4123" s="563">
        <f t="shared" si="190"/>
        <v>0</v>
      </c>
      <c r="M4123" s="563">
        <f t="shared" si="191"/>
        <v>70.784999999999997</v>
      </c>
      <c r="N4123" s="580"/>
    </row>
    <row r="4124" spans="4:14" x14ac:dyDescent="0.25">
      <c r="D4124" s="559" t="s">
        <v>867</v>
      </c>
      <c r="E4124" s="558" t="s">
        <v>131</v>
      </c>
      <c r="F4124" s="559">
        <v>702011</v>
      </c>
      <c r="G4124" s="558" t="s">
        <v>132</v>
      </c>
      <c r="H4124" s="564">
        <v>40015</v>
      </c>
      <c r="I4124" s="563">
        <v>64.349999999999994</v>
      </c>
      <c r="J4124" s="563">
        <v>-64.349999999999994</v>
      </c>
      <c r="K4124" s="582">
        <f t="shared" si="189"/>
        <v>0</v>
      </c>
      <c r="L4124" s="563">
        <f t="shared" si="190"/>
        <v>0</v>
      </c>
      <c r="M4124" s="563">
        <f t="shared" si="191"/>
        <v>70.784999999999997</v>
      </c>
      <c r="N4124" s="580"/>
    </row>
    <row r="4125" spans="4:14" x14ac:dyDescent="0.25">
      <c r="D4125" s="559" t="s">
        <v>867</v>
      </c>
      <c r="E4125" s="558" t="s">
        <v>133</v>
      </c>
      <c r="F4125" s="559">
        <v>702012</v>
      </c>
      <c r="G4125" s="558" t="s">
        <v>132</v>
      </c>
      <c r="H4125" s="564">
        <v>40015</v>
      </c>
      <c r="I4125" s="563">
        <v>64.349999999999994</v>
      </c>
      <c r="J4125" s="563">
        <v>-64.349999999999994</v>
      </c>
      <c r="K4125" s="582">
        <f t="shared" si="189"/>
        <v>0</v>
      </c>
      <c r="L4125" s="563">
        <f t="shared" si="190"/>
        <v>0</v>
      </c>
      <c r="M4125" s="563">
        <f t="shared" si="191"/>
        <v>70.784999999999997</v>
      </c>
      <c r="N4125" s="580"/>
    </row>
    <row r="4126" spans="4:14" x14ac:dyDescent="0.25">
      <c r="D4126" s="559" t="s">
        <v>867</v>
      </c>
      <c r="E4126" s="558" t="s">
        <v>134</v>
      </c>
      <c r="F4126" s="559">
        <v>702014</v>
      </c>
      <c r="G4126" s="558" t="s">
        <v>132</v>
      </c>
      <c r="H4126" s="564">
        <v>40015</v>
      </c>
      <c r="I4126" s="563">
        <v>64.349999999999994</v>
      </c>
      <c r="J4126" s="563">
        <v>-64.349999999999994</v>
      </c>
      <c r="K4126" s="582">
        <f t="shared" si="189"/>
        <v>0</v>
      </c>
      <c r="L4126" s="563">
        <f t="shared" si="190"/>
        <v>0</v>
      </c>
      <c r="M4126" s="563">
        <f t="shared" si="191"/>
        <v>70.784999999999997</v>
      </c>
      <c r="N4126" s="580"/>
    </row>
    <row r="4127" spans="4:14" x14ac:dyDescent="0.25">
      <c r="D4127" s="559" t="s">
        <v>867</v>
      </c>
      <c r="E4127" s="558" t="s">
        <v>135</v>
      </c>
      <c r="F4127" s="559">
        <v>702015</v>
      </c>
      <c r="G4127" s="558" t="s">
        <v>132</v>
      </c>
      <c r="H4127" s="564">
        <v>40015</v>
      </c>
      <c r="I4127" s="563">
        <v>64.349999999999994</v>
      </c>
      <c r="J4127" s="563">
        <v>-64.349999999999994</v>
      </c>
      <c r="K4127" s="582">
        <f t="shared" si="189"/>
        <v>0</v>
      </c>
      <c r="L4127" s="563">
        <f t="shared" si="190"/>
        <v>0</v>
      </c>
      <c r="M4127" s="563">
        <f t="shared" si="191"/>
        <v>70.784999999999997</v>
      </c>
      <c r="N4127" s="580"/>
    </row>
    <row r="4128" spans="4:14" x14ac:dyDescent="0.25">
      <c r="D4128" s="559" t="s">
        <v>867</v>
      </c>
      <c r="E4128" s="558" t="s">
        <v>136</v>
      </c>
      <c r="F4128" s="559">
        <v>702016</v>
      </c>
      <c r="G4128" s="558" t="s">
        <v>132</v>
      </c>
      <c r="H4128" s="564">
        <v>40015</v>
      </c>
      <c r="I4128" s="563">
        <v>64.349999999999994</v>
      </c>
      <c r="J4128" s="563">
        <v>-64.349999999999994</v>
      </c>
      <c r="K4128" s="582">
        <f t="shared" si="189"/>
        <v>0</v>
      </c>
      <c r="L4128" s="563">
        <f t="shared" si="190"/>
        <v>0</v>
      </c>
      <c r="M4128" s="563">
        <f t="shared" si="191"/>
        <v>70.784999999999997</v>
      </c>
      <c r="N4128" s="580"/>
    </row>
    <row r="4129" spans="4:14" x14ac:dyDescent="0.25">
      <c r="D4129" s="559" t="s">
        <v>867</v>
      </c>
      <c r="E4129" s="558" t="s">
        <v>137</v>
      </c>
      <c r="F4129" s="559">
        <v>702017</v>
      </c>
      <c r="G4129" s="558" t="s">
        <v>138</v>
      </c>
      <c r="H4129" s="564">
        <v>40015</v>
      </c>
      <c r="I4129" s="563">
        <v>64.349999999999994</v>
      </c>
      <c r="J4129" s="563">
        <v>-64.349999999999994</v>
      </c>
      <c r="K4129" s="582">
        <f t="shared" si="189"/>
        <v>0</v>
      </c>
      <c r="L4129" s="563">
        <f t="shared" si="190"/>
        <v>0</v>
      </c>
      <c r="M4129" s="563">
        <f t="shared" si="191"/>
        <v>70.784999999999997</v>
      </c>
      <c r="N4129" s="580"/>
    </row>
    <row r="4130" spans="4:14" x14ac:dyDescent="0.25">
      <c r="D4130" s="559" t="s">
        <v>867</v>
      </c>
      <c r="E4130" s="558" t="s">
        <v>139</v>
      </c>
      <c r="F4130" s="559">
        <v>701954</v>
      </c>
      <c r="G4130" s="558" t="s">
        <v>138</v>
      </c>
      <c r="H4130" s="564">
        <v>40015</v>
      </c>
      <c r="I4130" s="563">
        <v>64.349999999999994</v>
      </c>
      <c r="J4130" s="563">
        <v>-64.349999999999994</v>
      </c>
      <c r="K4130" s="582">
        <f t="shared" si="189"/>
        <v>0</v>
      </c>
      <c r="L4130" s="563">
        <f t="shared" si="190"/>
        <v>0</v>
      </c>
      <c r="M4130" s="563">
        <f t="shared" si="191"/>
        <v>70.784999999999997</v>
      </c>
      <c r="N4130" s="580"/>
    </row>
    <row r="4131" spans="4:14" x14ac:dyDescent="0.25">
      <c r="D4131" s="559" t="s">
        <v>867</v>
      </c>
      <c r="E4131" s="558" t="s">
        <v>140</v>
      </c>
      <c r="F4131" s="559">
        <v>701955</v>
      </c>
      <c r="G4131" s="558" t="s">
        <v>138</v>
      </c>
      <c r="H4131" s="564">
        <v>40015</v>
      </c>
      <c r="I4131" s="563">
        <v>727.35</v>
      </c>
      <c r="J4131" s="563">
        <v>-585</v>
      </c>
      <c r="K4131" s="582">
        <f t="shared" si="189"/>
        <v>142.35000000000002</v>
      </c>
      <c r="L4131" s="563">
        <f t="shared" si="190"/>
        <v>156.58500000000004</v>
      </c>
      <c r="M4131" s="563">
        <f t="shared" si="191"/>
        <v>800.08500000000004</v>
      </c>
      <c r="N4131" s="580"/>
    </row>
    <row r="4132" spans="4:14" x14ac:dyDescent="0.25">
      <c r="D4132" s="559" t="s">
        <v>867</v>
      </c>
      <c r="E4132" s="558" t="s">
        <v>141</v>
      </c>
      <c r="F4132" s="559">
        <v>701957</v>
      </c>
      <c r="G4132" s="558" t="s">
        <v>138</v>
      </c>
      <c r="H4132" s="564">
        <v>40015</v>
      </c>
      <c r="I4132" s="563">
        <v>727.35</v>
      </c>
      <c r="J4132" s="563">
        <v>-585</v>
      </c>
      <c r="K4132" s="582">
        <f t="shared" si="189"/>
        <v>142.35000000000002</v>
      </c>
      <c r="L4132" s="563">
        <f t="shared" si="190"/>
        <v>156.58500000000004</v>
      </c>
      <c r="M4132" s="563">
        <f t="shared" si="191"/>
        <v>800.08500000000004</v>
      </c>
      <c r="N4132" s="580"/>
    </row>
    <row r="4133" spans="4:14" x14ac:dyDescent="0.25">
      <c r="D4133" s="559" t="s">
        <v>867</v>
      </c>
      <c r="E4133" s="558" t="s">
        <v>142</v>
      </c>
      <c r="F4133" s="559">
        <v>701958</v>
      </c>
      <c r="G4133" s="558" t="s">
        <v>138</v>
      </c>
      <c r="H4133" s="564">
        <v>40015</v>
      </c>
      <c r="I4133" s="563">
        <v>64.349999999999994</v>
      </c>
      <c r="J4133" s="563">
        <v>-64.349999999999994</v>
      </c>
      <c r="K4133" s="582">
        <f t="shared" si="189"/>
        <v>0</v>
      </c>
      <c r="L4133" s="563">
        <f t="shared" si="190"/>
        <v>0</v>
      </c>
      <c r="M4133" s="563">
        <f t="shared" si="191"/>
        <v>70.784999999999997</v>
      </c>
      <c r="N4133" s="580"/>
    </row>
    <row r="4134" spans="4:14" x14ac:dyDescent="0.25">
      <c r="D4134" s="559" t="s">
        <v>867</v>
      </c>
      <c r="E4134" s="558" t="s">
        <v>143</v>
      </c>
      <c r="F4134" s="559">
        <v>701959</v>
      </c>
      <c r="G4134" s="558" t="s">
        <v>144</v>
      </c>
      <c r="H4134" s="564">
        <v>40015</v>
      </c>
      <c r="I4134" s="563">
        <v>64.349999999999994</v>
      </c>
      <c r="J4134" s="563">
        <v>-64.349999999999994</v>
      </c>
      <c r="K4134" s="582">
        <f t="shared" si="189"/>
        <v>0</v>
      </c>
      <c r="L4134" s="563">
        <f t="shared" si="190"/>
        <v>0</v>
      </c>
      <c r="M4134" s="563">
        <f t="shared" si="191"/>
        <v>70.784999999999997</v>
      </c>
      <c r="N4134" s="580"/>
    </row>
    <row r="4135" spans="4:14" x14ac:dyDescent="0.25">
      <c r="D4135" s="559" t="s">
        <v>867</v>
      </c>
      <c r="E4135" s="558" t="s">
        <v>145</v>
      </c>
      <c r="F4135" s="559">
        <v>701960</v>
      </c>
      <c r="G4135" s="558" t="s">
        <v>144</v>
      </c>
      <c r="H4135" s="564">
        <v>40015</v>
      </c>
      <c r="I4135" s="563">
        <v>64.349999999999994</v>
      </c>
      <c r="J4135" s="563">
        <v>-64.349999999999994</v>
      </c>
      <c r="K4135" s="582">
        <f t="shared" si="189"/>
        <v>0</v>
      </c>
      <c r="L4135" s="563">
        <f t="shared" si="190"/>
        <v>0</v>
      </c>
      <c r="M4135" s="563">
        <f t="shared" si="191"/>
        <v>70.784999999999997</v>
      </c>
      <c r="N4135" s="580"/>
    </row>
    <row r="4136" spans="4:14" x14ac:dyDescent="0.25">
      <c r="D4136" s="559" t="s">
        <v>867</v>
      </c>
      <c r="E4136" s="558" t="s">
        <v>146</v>
      </c>
      <c r="F4136" s="559">
        <v>701961</v>
      </c>
      <c r="G4136" s="558" t="s">
        <v>144</v>
      </c>
      <c r="H4136" s="564">
        <v>40015</v>
      </c>
      <c r="I4136" s="563">
        <v>64.349999999999994</v>
      </c>
      <c r="J4136" s="563">
        <v>-64.349999999999994</v>
      </c>
      <c r="K4136" s="582">
        <f t="shared" si="189"/>
        <v>0</v>
      </c>
      <c r="L4136" s="563">
        <f t="shared" si="190"/>
        <v>0</v>
      </c>
      <c r="M4136" s="563">
        <f t="shared" si="191"/>
        <v>70.784999999999997</v>
      </c>
      <c r="N4136" s="580"/>
    </row>
    <row r="4137" spans="4:14" x14ac:dyDescent="0.25">
      <c r="D4137" s="559" t="s">
        <v>867</v>
      </c>
      <c r="E4137" s="558" t="s">
        <v>147</v>
      </c>
      <c r="F4137" s="559">
        <v>701962</v>
      </c>
      <c r="G4137" s="558" t="s">
        <v>144</v>
      </c>
      <c r="H4137" s="564">
        <v>40015</v>
      </c>
      <c r="I4137" s="563">
        <v>727.35</v>
      </c>
      <c r="J4137" s="563">
        <v>-585</v>
      </c>
      <c r="K4137" s="582">
        <f t="shared" ref="K4137:K4200" si="192">+I4137+J4137</f>
        <v>142.35000000000002</v>
      </c>
      <c r="L4137" s="563">
        <f t="shared" ref="L4137:L4200" si="193">+K4137*1.1</f>
        <v>156.58500000000004</v>
      </c>
      <c r="M4137" s="563">
        <f t="shared" ref="M4137:M4200" si="194">+I4137*1.1</f>
        <v>800.08500000000004</v>
      </c>
      <c r="N4137" s="580"/>
    </row>
    <row r="4138" spans="4:14" x14ac:dyDescent="0.25">
      <c r="D4138" s="559" t="s">
        <v>867</v>
      </c>
      <c r="E4138" s="558" t="s">
        <v>148</v>
      </c>
      <c r="F4138" s="559">
        <v>701963</v>
      </c>
      <c r="G4138" s="558" t="s">
        <v>144</v>
      </c>
      <c r="H4138" s="564">
        <v>40015</v>
      </c>
      <c r="I4138" s="563">
        <v>64.349999999999994</v>
      </c>
      <c r="J4138" s="563">
        <v>-64.349999999999994</v>
      </c>
      <c r="K4138" s="582">
        <f t="shared" si="192"/>
        <v>0</v>
      </c>
      <c r="L4138" s="563">
        <f t="shared" si="193"/>
        <v>0</v>
      </c>
      <c r="M4138" s="563">
        <f t="shared" si="194"/>
        <v>70.784999999999997</v>
      </c>
      <c r="N4138" s="580"/>
    </row>
    <row r="4139" spans="4:14" x14ac:dyDescent="0.25">
      <c r="D4139" s="559" t="s">
        <v>867</v>
      </c>
      <c r="E4139" s="558" t="s">
        <v>149</v>
      </c>
      <c r="F4139" s="559">
        <v>701964</v>
      </c>
      <c r="G4139" s="558" t="s">
        <v>150</v>
      </c>
      <c r="H4139" s="564">
        <v>40015</v>
      </c>
      <c r="I4139" s="563">
        <v>64.349999999999994</v>
      </c>
      <c r="J4139" s="563">
        <v>-64.349999999999994</v>
      </c>
      <c r="K4139" s="582">
        <f t="shared" si="192"/>
        <v>0</v>
      </c>
      <c r="L4139" s="563">
        <f t="shared" si="193"/>
        <v>0</v>
      </c>
      <c r="M4139" s="563">
        <f t="shared" si="194"/>
        <v>70.784999999999997</v>
      </c>
      <c r="N4139" s="580"/>
    </row>
    <row r="4140" spans="4:14" x14ac:dyDescent="0.25">
      <c r="D4140" s="559" t="s">
        <v>867</v>
      </c>
      <c r="E4140" s="558" t="s">
        <v>151</v>
      </c>
      <c r="F4140" s="559">
        <v>701965</v>
      </c>
      <c r="G4140" s="558" t="s">
        <v>150</v>
      </c>
      <c r="H4140" s="564">
        <v>40015</v>
      </c>
      <c r="I4140" s="563">
        <v>64.349999999999994</v>
      </c>
      <c r="J4140" s="563">
        <v>-64.349999999999994</v>
      </c>
      <c r="K4140" s="582">
        <f t="shared" si="192"/>
        <v>0</v>
      </c>
      <c r="L4140" s="563">
        <f t="shared" si="193"/>
        <v>0</v>
      </c>
      <c r="M4140" s="563">
        <f t="shared" si="194"/>
        <v>70.784999999999997</v>
      </c>
      <c r="N4140" s="580"/>
    </row>
    <row r="4141" spans="4:14" x14ac:dyDescent="0.25">
      <c r="D4141" s="559" t="s">
        <v>867</v>
      </c>
      <c r="E4141" s="558" t="s">
        <v>152</v>
      </c>
      <c r="F4141" s="559">
        <v>701908</v>
      </c>
      <c r="G4141" s="558" t="s">
        <v>150</v>
      </c>
      <c r="H4141" s="564">
        <v>40015</v>
      </c>
      <c r="I4141" s="563">
        <v>64.349999999999994</v>
      </c>
      <c r="J4141" s="563">
        <v>-64.349999999999994</v>
      </c>
      <c r="K4141" s="582">
        <f t="shared" si="192"/>
        <v>0</v>
      </c>
      <c r="L4141" s="563">
        <f t="shared" si="193"/>
        <v>0</v>
      </c>
      <c r="M4141" s="563">
        <f t="shared" si="194"/>
        <v>70.784999999999997</v>
      </c>
      <c r="N4141" s="580"/>
    </row>
    <row r="4142" spans="4:14" x14ac:dyDescent="0.25">
      <c r="D4142" s="559" t="s">
        <v>867</v>
      </c>
      <c r="E4142" s="558" t="s">
        <v>153</v>
      </c>
      <c r="F4142" s="559">
        <v>701910</v>
      </c>
      <c r="G4142" s="558" t="s">
        <v>150</v>
      </c>
      <c r="H4142" s="564">
        <v>40015</v>
      </c>
      <c r="I4142" s="563">
        <v>64.349999999999994</v>
      </c>
      <c r="J4142" s="563">
        <v>-64.349999999999994</v>
      </c>
      <c r="K4142" s="582">
        <f t="shared" si="192"/>
        <v>0</v>
      </c>
      <c r="L4142" s="563">
        <f t="shared" si="193"/>
        <v>0</v>
      </c>
      <c r="M4142" s="563">
        <f t="shared" si="194"/>
        <v>70.784999999999997</v>
      </c>
      <c r="N4142" s="580"/>
    </row>
    <row r="4143" spans="4:14" x14ac:dyDescent="0.25">
      <c r="D4143" s="559" t="s">
        <v>867</v>
      </c>
      <c r="E4143" s="558" t="s">
        <v>154</v>
      </c>
      <c r="F4143" s="559">
        <v>701966</v>
      </c>
      <c r="G4143" s="558" t="s">
        <v>150</v>
      </c>
      <c r="H4143" s="564">
        <v>40015</v>
      </c>
      <c r="I4143" s="563">
        <v>64.349999999999994</v>
      </c>
      <c r="J4143" s="563">
        <v>-64.349999999999994</v>
      </c>
      <c r="K4143" s="582">
        <f t="shared" si="192"/>
        <v>0</v>
      </c>
      <c r="L4143" s="563">
        <f t="shared" si="193"/>
        <v>0</v>
      </c>
      <c r="M4143" s="563">
        <f t="shared" si="194"/>
        <v>70.784999999999997</v>
      </c>
      <c r="N4143" s="580"/>
    </row>
    <row r="4144" spans="4:14" x14ac:dyDescent="0.25">
      <c r="D4144" s="559" t="s">
        <v>867</v>
      </c>
      <c r="E4144" s="558" t="s">
        <v>155</v>
      </c>
      <c r="F4144" s="559">
        <v>701967</v>
      </c>
      <c r="G4144" s="558" t="s">
        <v>156</v>
      </c>
      <c r="H4144" s="564">
        <v>40015</v>
      </c>
      <c r="I4144" s="563">
        <v>64.349999999999994</v>
      </c>
      <c r="J4144" s="563">
        <v>-64.349999999999994</v>
      </c>
      <c r="K4144" s="582">
        <f t="shared" si="192"/>
        <v>0</v>
      </c>
      <c r="L4144" s="563">
        <f t="shared" si="193"/>
        <v>0</v>
      </c>
      <c r="M4144" s="563">
        <f t="shared" si="194"/>
        <v>70.784999999999997</v>
      </c>
      <c r="N4144" s="580"/>
    </row>
    <row r="4145" spans="4:14" x14ac:dyDescent="0.25">
      <c r="D4145" s="559" t="s">
        <v>867</v>
      </c>
      <c r="E4145" s="558" t="s">
        <v>157</v>
      </c>
      <c r="F4145" s="559">
        <v>701968</v>
      </c>
      <c r="G4145" s="558" t="s">
        <v>156</v>
      </c>
      <c r="H4145" s="564">
        <v>40015</v>
      </c>
      <c r="I4145" s="563">
        <v>64.349999999999994</v>
      </c>
      <c r="J4145" s="563">
        <v>-64.349999999999994</v>
      </c>
      <c r="K4145" s="582">
        <f t="shared" si="192"/>
        <v>0</v>
      </c>
      <c r="L4145" s="563">
        <f t="shared" si="193"/>
        <v>0</v>
      </c>
      <c r="M4145" s="563">
        <f t="shared" si="194"/>
        <v>70.784999999999997</v>
      </c>
      <c r="N4145" s="580"/>
    </row>
    <row r="4146" spans="4:14" x14ac:dyDescent="0.25">
      <c r="D4146" s="559" t="s">
        <v>867</v>
      </c>
      <c r="E4146" s="558" t="s">
        <v>158</v>
      </c>
      <c r="F4146" s="559">
        <v>701969</v>
      </c>
      <c r="G4146" s="558" t="s">
        <v>156</v>
      </c>
      <c r="H4146" s="564">
        <v>40015</v>
      </c>
      <c r="I4146" s="563">
        <v>64.349999999999994</v>
      </c>
      <c r="J4146" s="563">
        <v>-64.349999999999994</v>
      </c>
      <c r="K4146" s="582">
        <f t="shared" si="192"/>
        <v>0</v>
      </c>
      <c r="L4146" s="563">
        <f t="shared" si="193"/>
        <v>0</v>
      </c>
      <c r="M4146" s="563">
        <f t="shared" si="194"/>
        <v>70.784999999999997</v>
      </c>
      <c r="N4146" s="580"/>
    </row>
    <row r="4147" spans="4:14" x14ac:dyDescent="0.25">
      <c r="D4147" s="559" t="s">
        <v>867</v>
      </c>
      <c r="E4147" s="558" t="s">
        <v>159</v>
      </c>
      <c r="F4147" s="559">
        <v>701970</v>
      </c>
      <c r="G4147" s="558" t="s">
        <v>156</v>
      </c>
      <c r="H4147" s="564">
        <v>40015</v>
      </c>
      <c r="I4147" s="563">
        <v>64.349999999999994</v>
      </c>
      <c r="J4147" s="563">
        <v>-64.349999999999994</v>
      </c>
      <c r="K4147" s="582">
        <f t="shared" si="192"/>
        <v>0</v>
      </c>
      <c r="L4147" s="563">
        <f t="shared" si="193"/>
        <v>0</v>
      </c>
      <c r="M4147" s="563">
        <f t="shared" si="194"/>
        <v>70.784999999999997</v>
      </c>
      <c r="N4147" s="580"/>
    </row>
    <row r="4148" spans="4:14" x14ac:dyDescent="0.25">
      <c r="D4148" s="559" t="s">
        <v>867</v>
      </c>
      <c r="E4148" s="558" t="s">
        <v>160</v>
      </c>
      <c r="F4148" s="559">
        <v>701971</v>
      </c>
      <c r="G4148" s="558" t="s">
        <v>156</v>
      </c>
      <c r="H4148" s="564">
        <v>40015</v>
      </c>
      <c r="I4148" s="563">
        <v>64.349999999999994</v>
      </c>
      <c r="J4148" s="563">
        <v>-64.349999999999994</v>
      </c>
      <c r="K4148" s="582">
        <f t="shared" si="192"/>
        <v>0</v>
      </c>
      <c r="L4148" s="563">
        <f t="shared" si="193"/>
        <v>0</v>
      </c>
      <c r="M4148" s="563">
        <f t="shared" si="194"/>
        <v>70.784999999999997</v>
      </c>
      <c r="N4148" s="580"/>
    </row>
    <row r="4149" spans="4:14" x14ac:dyDescent="0.25">
      <c r="D4149" s="559" t="s">
        <v>867</v>
      </c>
      <c r="E4149" s="558" t="s">
        <v>161</v>
      </c>
      <c r="F4149" s="559">
        <v>701972</v>
      </c>
      <c r="G4149" s="558" t="s">
        <v>162</v>
      </c>
      <c r="H4149" s="564">
        <v>40015</v>
      </c>
      <c r="I4149" s="563">
        <v>64.349999999999994</v>
      </c>
      <c r="J4149" s="563">
        <v>-64.349999999999994</v>
      </c>
      <c r="K4149" s="582">
        <f t="shared" si="192"/>
        <v>0</v>
      </c>
      <c r="L4149" s="563">
        <f t="shared" si="193"/>
        <v>0</v>
      </c>
      <c r="M4149" s="563">
        <f t="shared" si="194"/>
        <v>70.784999999999997</v>
      </c>
      <c r="N4149" s="580"/>
    </row>
    <row r="4150" spans="4:14" x14ac:dyDescent="0.25">
      <c r="D4150" s="559" t="s">
        <v>867</v>
      </c>
      <c r="E4150" s="558" t="s">
        <v>163</v>
      </c>
      <c r="F4150" s="559">
        <v>701973</v>
      </c>
      <c r="G4150" s="558" t="s">
        <v>162</v>
      </c>
      <c r="H4150" s="564">
        <v>40015</v>
      </c>
      <c r="I4150" s="563">
        <v>64.349999999999994</v>
      </c>
      <c r="J4150" s="563">
        <v>-64.349999999999994</v>
      </c>
      <c r="K4150" s="582">
        <f t="shared" si="192"/>
        <v>0</v>
      </c>
      <c r="L4150" s="563">
        <f t="shared" si="193"/>
        <v>0</v>
      </c>
      <c r="M4150" s="563">
        <f t="shared" si="194"/>
        <v>70.784999999999997</v>
      </c>
      <c r="N4150" s="580"/>
    </row>
    <row r="4151" spans="4:14" x14ac:dyDescent="0.25">
      <c r="D4151" s="559" t="s">
        <v>867</v>
      </c>
      <c r="E4151" s="558" t="s">
        <v>164</v>
      </c>
      <c r="F4151" s="559">
        <v>701974</v>
      </c>
      <c r="G4151" s="558" t="s">
        <v>162</v>
      </c>
      <c r="H4151" s="564">
        <v>40015</v>
      </c>
      <c r="I4151" s="563">
        <v>64.349999999999994</v>
      </c>
      <c r="J4151" s="563">
        <v>-64.349999999999994</v>
      </c>
      <c r="K4151" s="582">
        <f t="shared" si="192"/>
        <v>0</v>
      </c>
      <c r="L4151" s="563">
        <f t="shared" si="193"/>
        <v>0</v>
      </c>
      <c r="M4151" s="563">
        <f t="shared" si="194"/>
        <v>70.784999999999997</v>
      </c>
      <c r="N4151" s="580"/>
    </row>
    <row r="4152" spans="4:14" x14ac:dyDescent="0.25">
      <c r="D4152" s="559" t="s">
        <v>867</v>
      </c>
      <c r="E4152" s="558" t="s">
        <v>165</v>
      </c>
      <c r="F4152" s="559">
        <v>701975</v>
      </c>
      <c r="G4152" s="558" t="s">
        <v>162</v>
      </c>
      <c r="H4152" s="564">
        <v>40015</v>
      </c>
      <c r="I4152" s="563">
        <v>64.349999999999994</v>
      </c>
      <c r="J4152" s="563">
        <v>-64.349999999999994</v>
      </c>
      <c r="K4152" s="582">
        <f t="shared" si="192"/>
        <v>0</v>
      </c>
      <c r="L4152" s="563">
        <f t="shared" si="193"/>
        <v>0</v>
      </c>
      <c r="M4152" s="563">
        <f t="shared" si="194"/>
        <v>70.784999999999997</v>
      </c>
      <c r="N4152" s="580"/>
    </row>
    <row r="4153" spans="4:14" x14ac:dyDescent="0.25">
      <c r="D4153" s="559" t="s">
        <v>867</v>
      </c>
      <c r="E4153" s="558" t="s">
        <v>166</v>
      </c>
      <c r="F4153" s="559">
        <v>701911</v>
      </c>
      <c r="G4153" s="558" t="s">
        <v>162</v>
      </c>
      <c r="H4153" s="564">
        <v>40015</v>
      </c>
      <c r="I4153" s="563">
        <v>64.349999999999994</v>
      </c>
      <c r="J4153" s="563">
        <v>-64.349999999999994</v>
      </c>
      <c r="K4153" s="582">
        <f t="shared" si="192"/>
        <v>0</v>
      </c>
      <c r="L4153" s="563">
        <f t="shared" si="193"/>
        <v>0</v>
      </c>
      <c r="M4153" s="563">
        <f t="shared" si="194"/>
        <v>70.784999999999997</v>
      </c>
      <c r="N4153" s="580"/>
    </row>
    <row r="4154" spans="4:14" x14ac:dyDescent="0.25">
      <c r="D4154" s="559" t="s">
        <v>867</v>
      </c>
      <c r="E4154" s="558" t="s">
        <v>167</v>
      </c>
      <c r="F4154" s="559">
        <v>701976</v>
      </c>
      <c r="G4154" s="558" t="s">
        <v>168</v>
      </c>
      <c r="H4154" s="564">
        <v>40015</v>
      </c>
      <c r="I4154" s="563">
        <v>64.349999999999994</v>
      </c>
      <c r="J4154" s="563">
        <v>-64.349999999999994</v>
      </c>
      <c r="K4154" s="582">
        <f t="shared" si="192"/>
        <v>0</v>
      </c>
      <c r="L4154" s="563">
        <f t="shared" si="193"/>
        <v>0</v>
      </c>
      <c r="M4154" s="563">
        <f t="shared" si="194"/>
        <v>70.784999999999997</v>
      </c>
      <c r="N4154" s="580"/>
    </row>
    <row r="4155" spans="4:14" x14ac:dyDescent="0.25">
      <c r="D4155" s="559" t="s">
        <v>867</v>
      </c>
      <c r="E4155" s="558" t="s">
        <v>169</v>
      </c>
      <c r="F4155" s="559">
        <v>701977</v>
      </c>
      <c r="G4155" s="558" t="s">
        <v>168</v>
      </c>
      <c r="H4155" s="564">
        <v>40015</v>
      </c>
      <c r="I4155" s="563">
        <v>64.349999999999994</v>
      </c>
      <c r="J4155" s="563">
        <v>-64.349999999999994</v>
      </c>
      <c r="K4155" s="582">
        <f t="shared" si="192"/>
        <v>0</v>
      </c>
      <c r="L4155" s="563">
        <f t="shared" si="193"/>
        <v>0</v>
      </c>
      <c r="M4155" s="563">
        <f t="shared" si="194"/>
        <v>70.784999999999997</v>
      </c>
      <c r="N4155" s="580"/>
    </row>
    <row r="4156" spans="4:14" x14ac:dyDescent="0.25">
      <c r="D4156" s="559" t="s">
        <v>867</v>
      </c>
      <c r="E4156" s="558" t="s">
        <v>170</v>
      </c>
      <c r="F4156" s="559">
        <v>701978</v>
      </c>
      <c r="G4156" s="558" t="s">
        <v>168</v>
      </c>
      <c r="H4156" s="564">
        <v>40015</v>
      </c>
      <c r="I4156" s="563">
        <v>64.349999999999994</v>
      </c>
      <c r="J4156" s="563">
        <v>-64.349999999999994</v>
      </c>
      <c r="K4156" s="582">
        <f t="shared" si="192"/>
        <v>0</v>
      </c>
      <c r="L4156" s="563">
        <f t="shared" si="193"/>
        <v>0</v>
      </c>
      <c r="M4156" s="563">
        <f t="shared" si="194"/>
        <v>70.784999999999997</v>
      </c>
      <c r="N4156" s="580"/>
    </row>
    <row r="4157" spans="4:14" x14ac:dyDescent="0.25">
      <c r="D4157" s="559" t="s">
        <v>867</v>
      </c>
      <c r="E4157" s="558" t="s">
        <v>171</v>
      </c>
      <c r="F4157" s="559">
        <v>701979</v>
      </c>
      <c r="G4157" s="558" t="s">
        <v>168</v>
      </c>
      <c r="H4157" s="564">
        <v>40015</v>
      </c>
      <c r="I4157" s="563">
        <v>64.349999999999994</v>
      </c>
      <c r="J4157" s="563">
        <v>-64.349999999999994</v>
      </c>
      <c r="K4157" s="582">
        <f t="shared" si="192"/>
        <v>0</v>
      </c>
      <c r="L4157" s="563">
        <f t="shared" si="193"/>
        <v>0</v>
      </c>
      <c r="M4157" s="563">
        <f t="shared" si="194"/>
        <v>70.784999999999997</v>
      </c>
      <c r="N4157" s="580"/>
    </row>
    <row r="4158" spans="4:14" x14ac:dyDescent="0.25">
      <c r="D4158" s="559" t="s">
        <v>867</v>
      </c>
      <c r="E4158" s="558" t="s">
        <v>172</v>
      </c>
      <c r="F4158" s="559">
        <v>701980</v>
      </c>
      <c r="G4158" s="558" t="s">
        <v>168</v>
      </c>
      <c r="H4158" s="564">
        <v>40015</v>
      </c>
      <c r="I4158" s="563">
        <v>64.349999999999994</v>
      </c>
      <c r="J4158" s="563">
        <v>-64.349999999999994</v>
      </c>
      <c r="K4158" s="582">
        <f t="shared" si="192"/>
        <v>0</v>
      </c>
      <c r="L4158" s="563">
        <f t="shared" si="193"/>
        <v>0</v>
      </c>
      <c r="M4158" s="563">
        <f t="shared" si="194"/>
        <v>70.784999999999997</v>
      </c>
      <c r="N4158" s="580"/>
    </row>
    <row r="4159" spans="4:14" x14ac:dyDescent="0.25">
      <c r="D4159" s="559" t="s">
        <v>867</v>
      </c>
      <c r="E4159" s="558" t="s">
        <v>173</v>
      </c>
      <c r="F4159" s="559">
        <v>701981</v>
      </c>
      <c r="G4159" s="558" t="s">
        <v>174</v>
      </c>
      <c r="H4159" s="564">
        <v>40015</v>
      </c>
      <c r="I4159" s="563">
        <v>64.349999999999994</v>
      </c>
      <c r="J4159" s="563">
        <v>-64.349999999999994</v>
      </c>
      <c r="K4159" s="582">
        <f t="shared" si="192"/>
        <v>0</v>
      </c>
      <c r="L4159" s="563">
        <f t="shared" si="193"/>
        <v>0</v>
      </c>
      <c r="M4159" s="563">
        <f t="shared" si="194"/>
        <v>70.784999999999997</v>
      </c>
      <c r="N4159" s="580"/>
    </row>
    <row r="4160" spans="4:14" x14ac:dyDescent="0.25">
      <c r="D4160" s="559" t="s">
        <v>867</v>
      </c>
      <c r="E4160" s="558" t="s">
        <v>175</v>
      </c>
      <c r="F4160" s="559">
        <v>702495</v>
      </c>
      <c r="G4160" s="558" t="s">
        <v>174</v>
      </c>
      <c r="H4160" s="564">
        <v>40015</v>
      </c>
      <c r="I4160" s="563">
        <v>64.349999999999994</v>
      </c>
      <c r="J4160" s="563">
        <v>-64.349999999999994</v>
      </c>
      <c r="K4160" s="582">
        <f t="shared" si="192"/>
        <v>0</v>
      </c>
      <c r="L4160" s="563">
        <f t="shared" si="193"/>
        <v>0</v>
      </c>
      <c r="M4160" s="563">
        <f t="shared" si="194"/>
        <v>70.784999999999997</v>
      </c>
      <c r="N4160" s="580"/>
    </row>
    <row r="4161" spans="4:16" x14ac:dyDescent="0.25">
      <c r="D4161" s="559" t="s">
        <v>867</v>
      </c>
      <c r="E4161" s="558" t="s">
        <v>176</v>
      </c>
      <c r="F4161" s="559">
        <v>701883</v>
      </c>
      <c r="G4161" s="558" t="s">
        <v>174</v>
      </c>
      <c r="H4161" s="564">
        <v>40015</v>
      </c>
      <c r="I4161" s="563">
        <v>727.35</v>
      </c>
      <c r="J4161" s="563">
        <v>-585</v>
      </c>
      <c r="K4161" s="582">
        <f t="shared" si="192"/>
        <v>142.35000000000002</v>
      </c>
      <c r="L4161" s="563">
        <f t="shared" si="193"/>
        <v>156.58500000000004</v>
      </c>
      <c r="M4161" s="563">
        <f t="shared" si="194"/>
        <v>800.08500000000004</v>
      </c>
      <c r="N4161" s="580"/>
    </row>
    <row r="4162" spans="4:16" x14ac:dyDescent="0.25">
      <c r="D4162" s="559" t="s">
        <v>867</v>
      </c>
      <c r="E4162" s="558" t="s">
        <v>177</v>
      </c>
      <c r="F4162" s="559">
        <v>701884</v>
      </c>
      <c r="G4162" s="558" t="s">
        <v>174</v>
      </c>
      <c r="H4162" s="564">
        <v>40015</v>
      </c>
      <c r="I4162" s="563">
        <v>64.349999999999994</v>
      </c>
      <c r="J4162" s="563">
        <v>-64.349999999999994</v>
      </c>
      <c r="K4162" s="582">
        <f t="shared" si="192"/>
        <v>0</v>
      </c>
      <c r="L4162" s="563">
        <f t="shared" si="193"/>
        <v>0</v>
      </c>
      <c r="M4162" s="563">
        <f t="shared" si="194"/>
        <v>70.784999999999997</v>
      </c>
      <c r="N4162" s="580"/>
    </row>
    <row r="4163" spans="4:16" x14ac:dyDescent="0.25">
      <c r="D4163" s="559" t="s">
        <v>867</v>
      </c>
      <c r="E4163" s="558" t="s">
        <v>178</v>
      </c>
      <c r="F4163" s="559">
        <v>701983</v>
      </c>
      <c r="G4163" s="558" t="s">
        <v>174</v>
      </c>
      <c r="H4163" s="564">
        <v>40015</v>
      </c>
      <c r="I4163" s="563">
        <v>64.349999999999994</v>
      </c>
      <c r="J4163" s="563">
        <v>-64.349999999999994</v>
      </c>
      <c r="K4163" s="582">
        <f t="shared" si="192"/>
        <v>0</v>
      </c>
      <c r="L4163" s="563">
        <f t="shared" si="193"/>
        <v>0</v>
      </c>
      <c r="M4163" s="563">
        <f t="shared" si="194"/>
        <v>70.784999999999997</v>
      </c>
      <c r="N4163" s="580"/>
    </row>
    <row r="4164" spans="4:16" x14ac:dyDescent="0.25">
      <c r="D4164" s="559" t="s">
        <v>867</v>
      </c>
      <c r="E4164" s="558" t="s">
        <v>1971</v>
      </c>
      <c r="F4164" s="559">
        <v>701885</v>
      </c>
      <c r="G4164" s="558" t="s">
        <v>1972</v>
      </c>
      <c r="H4164" s="564">
        <v>40015</v>
      </c>
      <c r="I4164" s="563">
        <v>64.349999999999994</v>
      </c>
      <c r="J4164" s="563">
        <v>-64.349999999999994</v>
      </c>
      <c r="K4164" s="563">
        <f t="shared" si="192"/>
        <v>0</v>
      </c>
      <c r="L4164" s="563">
        <f t="shared" si="193"/>
        <v>0</v>
      </c>
      <c r="M4164" s="563">
        <f t="shared" si="194"/>
        <v>70.784999999999997</v>
      </c>
      <c r="N4164" s="580"/>
      <c r="O4164" s="558"/>
      <c r="P4164" s="564"/>
    </row>
    <row r="4165" spans="4:16" x14ac:dyDescent="0.25">
      <c r="D4165" s="559" t="s">
        <v>867</v>
      </c>
      <c r="E4165" s="558" t="s">
        <v>179</v>
      </c>
      <c r="F4165" s="559">
        <v>701864</v>
      </c>
      <c r="G4165" s="558" t="s">
        <v>1972</v>
      </c>
      <c r="H4165" s="564">
        <v>40015</v>
      </c>
      <c r="I4165" s="563">
        <v>64.349999999999994</v>
      </c>
      <c r="J4165" s="563">
        <v>-64.349999999999994</v>
      </c>
      <c r="K4165" s="582">
        <f t="shared" si="192"/>
        <v>0</v>
      </c>
      <c r="L4165" s="563">
        <f t="shared" si="193"/>
        <v>0</v>
      </c>
      <c r="M4165" s="563">
        <f t="shared" si="194"/>
        <v>70.784999999999997</v>
      </c>
      <c r="N4165" s="580"/>
    </row>
    <row r="4166" spans="4:16" x14ac:dyDescent="0.25">
      <c r="D4166" s="559" t="s">
        <v>867</v>
      </c>
      <c r="E4166" s="558" t="s">
        <v>180</v>
      </c>
      <c r="F4166" s="559">
        <v>701865</v>
      </c>
      <c r="G4166" s="558" t="s">
        <v>1972</v>
      </c>
      <c r="H4166" s="564">
        <v>40015</v>
      </c>
      <c r="I4166" s="563">
        <v>64.349999999999994</v>
      </c>
      <c r="J4166" s="563">
        <v>-64.349999999999994</v>
      </c>
      <c r="K4166" s="582">
        <f t="shared" si="192"/>
        <v>0</v>
      </c>
      <c r="L4166" s="563">
        <f t="shared" si="193"/>
        <v>0</v>
      </c>
      <c r="M4166" s="563">
        <f t="shared" si="194"/>
        <v>70.784999999999997</v>
      </c>
      <c r="N4166" s="580"/>
    </row>
    <row r="4167" spans="4:16" x14ac:dyDescent="0.25">
      <c r="D4167" s="559" t="s">
        <v>867</v>
      </c>
      <c r="E4167" s="558" t="s">
        <v>181</v>
      </c>
      <c r="F4167" s="559">
        <v>701984</v>
      </c>
      <c r="G4167" s="558" t="s">
        <v>1972</v>
      </c>
      <c r="H4167" s="564">
        <v>40015</v>
      </c>
      <c r="I4167" s="563">
        <v>64.349999999999994</v>
      </c>
      <c r="J4167" s="563">
        <v>-64.349999999999994</v>
      </c>
      <c r="K4167" s="582">
        <f t="shared" si="192"/>
        <v>0</v>
      </c>
      <c r="L4167" s="563">
        <f t="shared" si="193"/>
        <v>0</v>
      </c>
      <c r="M4167" s="563">
        <f t="shared" si="194"/>
        <v>70.784999999999997</v>
      </c>
      <c r="N4167" s="580"/>
    </row>
    <row r="4168" spans="4:16" x14ac:dyDescent="0.25">
      <c r="D4168" s="559" t="s">
        <v>867</v>
      </c>
      <c r="E4168" s="558" t="s">
        <v>182</v>
      </c>
      <c r="F4168" s="559">
        <v>701886</v>
      </c>
      <c r="G4168" s="558" t="s">
        <v>1972</v>
      </c>
      <c r="H4168" s="564">
        <v>40015</v>
      </c>
      <c r="I4168" s="563">
        <v>64.349999999999994</v>
      </c>
      <c r="J4168" s="563">
        <v>-64.349999999999994</v>
      </c>
      <c r="K4168" s="582">
        <f t="shared" si="192"/>
        <v>0</v>
      </c>
      <c r="L4168" s="563">
        <f t="shared" si="193"/>
        <v>0</v>
      </c>
      <c r="M4168" s="563">
        <f t="shared" si="194"/>
        <v>70.784999999999997</v>
      </c>
      <c r="N4168" s="580"/>
    </row>
    <row r="4169" spans="4:16" x14ac:dyDescent="0.25">
      <c r="D4169" s="559" t="s">
        <v>867</v>
      </c>
      <c r="E4169" s="558" t="s">
        <v>183</v>
      </c>
      <c r="F4169" s="559">
        <v>701985</v>
      </c>
      <c r="G4169" s="558" t="s">
        <v>184</v>
      </c>
      <c r="H4169" s="564">
        <v>40015</v>
      </c>
      <c r="I4169" s="563">
        <v>64.349999999999994</v>
      </c>
      <c r="J4169" s="563">
        <v>-64.349999999999994</v>
      </c>
      <c r="K4169" s="582">
        <f t="shared" si="192"/>
        <v>0</v>
      </c>
      <c r="L4169" s="563">
        <f t="shared" si="193"/>
        <v>0</v>
      </c>
      <c r="M4169" s="563">
        <f t="shared" si="194"/>
        <v>70.784999999999997</v>
      </c>
      <c r="N4169" s="580"/>
    </row>
    <row r="4170" spans="4:16" x14ac:dyDescent="0.25">
      <c r="D4170" s="559" t="s">
        <v>867</v>
      </c>
      <c r="E4170" s="558" t="s">
        <v>185</v>
      </c>
      <c r="F4170" s="559">
        <v>701986</v>
      </c>
      <c r="G4170" s="558" t="s">
        <v>184</v>
      </c>
      <c r="H4170" s="564">
        <v>40015</v>
      </c>
      <c r="I4170" s="563">
        <v>64.349999999999994</v>
      </c>
      <c r="J4170" s="563">
        <v>-64.349999999999994</v>
      </c>
      <c r="K4170" s="582">
        <f t="shared" si="192"/>
        <v>0</v>
      </c>
      <c r="L4170" s="563">
        <f t="shared" si="193"/>
        <v>0</v>
      </c>
      <c r="M4170" s="563">
        <f t="shared" si="194"/>
        <v>70.784999999999997</v>
      </c>
      <c r="N4170" s="580"/>
    </row>
    <row r="4171" spans="4:16" x14ac:dyDescent="0.25">
      <c r="D4171" s="559" t="s">
        <v>867</v>
      </c>
      <c r="E4171" s="558" t="s">
        <v>186</v>
      </c>
      <c r="F4171" s="559">
        <v>701987</v>
      </c>
      <c r="G4171" s="558" t="s">
        <v>184</v>
      </c>
      <c r="H4171" s="564">
        <v>40015</v>
      </c>
      <c r="I4171" s="563">
        <v>64.349999999999994</v>
      </c>
      <c r="J4171" s="563">
        <v>-64.349999999999994</v>
      </c>
      <c r="K4171" s="582">
        <f t="shared" si="192"/>
        <v>0</v>
      </c>
      <c r="L4171" s="563">
        <f t="shared" si="193"/>
        <v>0</v>
      </c>
      <c r="M4171" s="563">
        <f t="shared" si="194"/>
        <v>70.784999999999997</v>
      </c>
      <c r="N4171" s="580"/>
    </row>
    <row r="4172" spans="4:16" x14ac:dyDescent="0.25">
      <c r="D4172" s="559" t="s">
        <v>867</v>
      </c>
      <c r="E4172" s="558" t="s">
        <v>187</v>
      </c>
      <c r="F4172" s="559">
        <v>701988</v>
      </c>
      <c r="G4172" s="558" t="s">
        <v>184</v>
      </c>
      <c r="H4172" s="564">
        <v>40015</v>
      </c>
      <c r="I4172" s="563">
        <v>64.349999999999994</v>
      </c>
      <c r="J4172" s="563">
        <v>-64.349999999999994</v>
      </c>
      <c r="K4172" s="582">
        <f t="shared" si="192"/>
        <v>0</v>
      </c>
      <c r="L4172" s="563">
        <f t="shared" si="193"/>
        <v>0</v>
      </c>
      <c r="M4172" s="563">
        <f t="shared" si="194"/>
        <v>70.784999999999997</v>
      </c>
      <c r="N4172" s="580"/>
    </row>
    <row r="4173" spans="4:16" x14ac:dyDescent="0.25">
      <c r="D4173" s="559" t="s">
        <v>867</v>
      </c>
      <c r="E4173" s="558" t="s">
        <v>188</v>
      </c>
      <c r="F4173" s="559">
        <v>701989</v>
      </c>
      <c r="G4173" s="558" t="s">
        <v>184</v>
      </c>
      <c r="H4173" s="564">
        <v>40015</v>
      </c>
      <c r="I4173" s="563">
        <v>727.35</v>
      </c>
      <c r="J4173" s="563">
        <v>-585</v>
      </c>
      <c r="K4173" s="582">
        <f t="shared" si="192"/>
        <v>142.35000000000002</v>
      </c>
      <c r="L4173" s="563">
        <f t="shared" si="193"/>
        <v>156.58500000000004</v>
      </c>
      <c r="M4173" s="563">
        <f t="shared" si="194"/>
        <v>800.08500000000004</v>
      </c>
      <c r="N4173" s="580"/>
    </row>
    <row r="4174" spans="4:16" x14ac:dyDescent="0.25">
      <c r="D4174" s="559" t="s">
        <v>867</v>
      </c>
      <c r="E4174" s="558" t="s">
        <v>189</v>
      </c>
      <c r="F4174" s="559">
        <v>701990</v>
      </c>
      <c r="G4174" s="558" t="s">
        <v>190</v>
      </c>
      <c r="H4174" s="564">
        <v>40015</v>
      </c>
      <c r="I4174" s="563">
        <v>64.349999999999994</v>
      </c>
      <c r="J4174" s="563">
        <v>-64.349999999999994</v>
      </c>
      <c r="K4174" s="582">
        <f t="shared" si="192"/>
        <v>0</v>
      </c>
      <c r="L4174" s="563">
        <f t="shared" si="193"/>
        <v>0</v>
      </c>
      <c r="M4174" s="563">
        <f t="shared" si="194"/>
        <v>70.784999999999997</v>
      </c>
      <c r="N4174" s="580"/>
    </row>
    <row r="4175" spans="4:16" x14ac:dyDescent="0.25">
      <c r="D4175" s="559" t="s">
        <v>867</v>
      </c>
      <c r="E4175" s="558" t="s">
        <v>191</v>
      </c>
      <c r="F4175" s="559">
        <v>701991</v>
      </c>
      <c r="G4175" s="558" t="s">
        <v>190</v>
      </c>
      <c r="H4175" s="564">
        <v>40015</v>
      </c>
      <c r="I4175" s="563">
        <v>727.35</v>
      </c>
      <c r="J4175" s="563">
        <v>-585</v>
      </c>
      <c r="K4175" s="582">
        <f t="shared" si="192"/>
        <v>142.35000000000002</v>
      </c>
      <c r="L4175" s="563">
        <f t="shared" si="193"/>
        <v>156.58500000000004</v>
      </c>
      <c r="M4175" s="563">
        <f t="shared" si="194"/>
        <v>800.08500000000004</v>
      </c>
      <c r="N4175" s="580"/>
    </row>
    <row r="4176" spans="4:16" x14ac:dyDescent="0.25">
      <c r="D4176" s="559" t="s">
        <v>867</v>
      </c>
      <c r="E4176" s="558" t="s">
        <v>192</v>
      </c>
      <c r="F4176" s="559">
        <v>701992</v>
      </c>
      <c r="G4176" s="558" t="s">
        <v>190</v>
      </c>
      <c r="H4176" s="564">
        <v>40015</v>
      </c>
      <c r="I4176" s="563">
        <v>64.349999999999994</v>
      </c>
      <c r="J4176" s="563">
        <v>-64.349999999999994</v>
      </c>
      <c r="K4176" s="582">
        <f t="shared" si="192"/>
        <v>0</v>
      </c>
      <c r="L4176" s="563">
        <f t="shared" si="193"/>
        <v>0</v>
      </c>
      <c r="M4176" s="563">
        <f t="shared" si="194"/>
        <v>70.784999999999997</v>
      </c>
      <c r="N4176" s="580"/>
    </row>
    <row r="4177" spans="4:16" x14ac:dyDescent="0.25">
      <c r="D4177" s="559" t="s">
        <v>867</v>
      </c>
      <c r="E4177" s="558" t="s">
        <v>193</v>
      </c>
      <c r="F4177" s="559">
        <v>701993</v>
      </c>
      <c r="G4177" s="558" t="s">
        <v>190</v>
      </c>
      <c r="H4177" s="564">
        <v>40015</v>
      </c>
      <c r="I4177" s="563">
        <v>64.349999999999994</v>
      </c>
      <c r="J4177" s="563">
        <v>-64.349999999999994</v>
      </c>
      <c r="K4177" s="582">
        <f t="shared" si="192"/>
        <v>0</v>
      </c>
      <c r="L4177" s="563">
        <f t="shared" si="193"/>
        <v>0</v>
      </c>
      <c r="M4177" s="563">
        <f t="shared" si="194"/>
        <v>70.784999999999997</v>
      </c>
      <c r="N4177" s="580"/>
    </row>
    <row r="4178" spans="4:16" x14ac:dyDescent="0.25">
      <c r="D4178" s="559" t="s">
        <v>867</v>
      </c>
      <c r="E4178" s="558" t="s">
        <v>194</v>
      </c>
      <c r="F4178" s="559">
        <v>701994</v>
      </c>
      <c r="G4178" s="558" t="s">
        <v>190</v>
      </c>
      <c r="H4178" s="564">
        <v>40015</v>
      </c>
      <c r="I4178" s="563">
        <v>64.349999999999994</v>
      </c>
      <c r="J4178" s="563">
        <v>-64.349999999999994</v>
      </c>
      <c r="K4178" s="582">
        <f t="shared" si="192"/>
        <v>0</v>
      </c>
      <c r="L4178" s="563">
        <f t="shared" si="193"/>
        <v>0</v>
      </c>
      <c r="M4178" s="563">
        <f t="shared" si="194"/>
        <v>70.784999999999997</v>
      </c>
      <c r="N4178" s="580"/>
    </row>
    <row r="4179" spans="4:16" x14ac:dyDescent="0.25">
      <c r="D4179" s="559" t="s">
        <v>867</v>
      </c>
      <c r="E4179" s="558" t="s">
        <v>195</v>
      </c>
      <c r="F4179" s="559">
        <v>701995</v>
      </c>
      <c r="G4179" s="558" t="s">
        <v>196</v>
      </c>
      <c r="H4179" s="564">
        <v>40015</v>
      </c>
      <c r="I4179" s="563">
        <v>64.349999999999994</v>
      </c>
      <c r="J4179" s="563">
        <v>-64.349999999999994</v>
      </c>
      <c r="K4179" s="582">
        <f t="shared" si="192"/>
        <v>0</v>
      </c>
      <c r="L4179" s="563">
        <f t="shared" si="193"/>
        <v>0</v>
      </c>
      <c r="M4179" s="563">
        <f t="shared" si="194"/>
        <v>70.784999999999997</v>
      </c>
      <c r="N4179" s="580"/>
    </row>
    <row r="4180" spans="4:16" x14ac:dyDescent="0.25">
      <c r="D4180" s="559" t="s">
        <v>867</v>
      </c>
      <c r="E4180" s="558" t="s">
        <v>197</v>
      </c>
      <c r="F4180" s="559">
        <v>701996</v>
      </c>
      <c r="G4180" s="558" t="s">
        <v>196</v>
      </c>
      <c r="H4180" s="564">
        <v>40015</v>
      </c>
      <c r="I4180" s="563">
        <v>64.349999999999994</v>
      </c>
      <c r="J4180" s="563">
        <v>-64.349999999999994</v>
      </c>
      <c r="K4180" s="582">
        <f t="shared" si="192"/>
        <v>0</v>
      </c>
      <c r="L4180" s="563">
        <f t="shared" si="193"/>
        <v>0</v>
      </c>
      <c r="M4180" s="563">
        <f t="shared" si="194"/>
        <v>70.784999999999997</v>
      </c>
      <c r="N4180" s="580"/>
    </row>
    <row r="4181" spans="4:16" x14ac:dyDescent="0.25">
      <c r="D4181" s="559" t="s">
        <v>867</v>
      </c>
      <c r="E4181" s="558" t="s">
        <v>3163</v>
      </c>
      <c r="F4181" s="559">
        <v>701997</v>
      </c>
      <c r="G4181" s="558" t="s">
        <v>196</v>
      </c>
      <c r="H4181" s="564">
        <v>40015</v>
      </c>
      <c r="I4181" s="563">
        <v>64.349999999999994</v>
      </c>
      <c r="J4181" s="563">
        <v>-64.349999999999994</v>
      </c>
      <c r="K4181" s="582">
        <f t="shared" si="192"/>
        <v>0</v>
      </c>
      <c r="L4181" s="563">
        <f t="shared" si="193"/>
        <v>0</v>
      </c>
      <c r="M4181" s="563">
        <f t="shared" si="194"/>
        <v>70.784999999999997</v>
      </c>
      <c r="N4181" s="580"/>
    </row>
    <row r="4182" spans="4:16" x14ac:dyDescent="0.25">
      <c r="D4182" s="559" t="s">
        <v>867</v>
      </c>
      <c r="E4182" s="558" t="s">
        <v>3164</v>
      </c>
      <c r="F4182" s="559">
        <v>701934</v>
      </c>
      <c r="G4182" s="558" t="s">
        <v>196</v>
      </c>
      <c r="H4182" s="564">
        <v>40015</v>
      </c>
      <c r="I4182" s="563">
        <v>64.349999999999994</v>
      </c>
      <c r="J4182" s="563">
        <v>-64.349999999999994</v>
      </c>
      <c r="K4182" s="582">
        <f t="shared" si="192"/>
        <v>0</v>
      </c>
      <c r="L4182" s="563">
        <f t="shared" si="193"/>
        <v>0</v>
      </c>
      <c r="M4182" s="563">
        <f t="shared" si="194"/>
        <v>70.784999999999997</v>
      </c>
      <c r="N4182" s="580"/>
    </row>
    <row r="4183" spans="4:16" x14ac:dyDescent="0.25">
      <c r="D4183" s="559" t="s">
        <v>867</v>
      </c>
      <c r="E4183" s="558" t="s">
        <v>3165</v>
      </c>
      <c r="F4183" s="559">
        <v>701935</v>
      </c>
      <c r="G4183" s="558" t="s">
        <v>196</v>
      </c>
      <c r="H4183" s="564">
        <v>40015</v>
      </c>
      <c r="I4183" s="563">
        <v>64.349999999999994</v>
      </c>
      <c r="J4183" s="563">
        <v>-64.349999999999994</v>
      </c>
      <c r="K4183" s="582">
        <f t="shared" si="192"/>
        <v>0</v>
      </c>
      <c r="L4183" s="563">
        <f t="shared" si="193"/>
        <v>0</v>
      </c>
      <c r="M4183" s="563">
        <f t="shared" si="194"/>
        <v>70.784999999999997</v>
      </c>
      <c r="N4183" s="580"/>
    </row>
    <row r="4184" spans="4:16" x14ac:dyDescent="0.25">
      <c r="D4184" s="559" t="s">
        <v>867</v>
      </c>
      <c r="E4184" s="558" t="s">
        <v>3166</v>
      </c>
      <c r="F4184" s="559">
        <v>701936</v>
      </c>
      <c r="G4184" s="558" t="s">
        <v>1974</v>
      </c>
      <c r="H4184" s="564">
        <v>40015</v>
      </c>
      <c r="I4184" s="563">
        <v>64.349999999999994</v>
      </c>
      <c r="J4184" s="563">
        <v>-64.349999999999994</v>
      </c>
      <c r="K4184" s="582">
        <f t="shared" si="192"/>
        <v>0</v>
      </c>
      <c r="L4184" s="563">
        <f t="shared" si="193"/>
        <v>0</v>
      </c>
      <c r="M4184" s="563">
        <f t="shared" si="194"/>
        <v>70.784999999999997</v>
      </c>
      <c r="N4184" s="580"/>
    </row>
    <row r="4185" spans="4:16" x14ac:dyDescent="0.25">
      <c r="D4185" s="559" t="s">
        <v>867</v>
      </c>
      <c r="E4185" s="558" t="s">
        <v>1973</v>
      </c>
      <c r="F4185" s="559">
        <v>701937</v>
      </c>
      <c r="G4185" s="558" t="s">
        <v>1974</v>
      </c>
      <c r="H4185" s="564">
        <v>40015</v>
      </c>
      <c r="I4185" s="563">
        <v>64.349999999999994</v>
      </c>
      <c r="J4185" s="563">
        <v>-64.349999999999994</v>
      </c>
      <c r="K4185" s="563">
        <f t="shared" si="192"/>
        <v>0</v>
      </c>
      <c r="L4185" s="563">
        <f t="shared" si="193"/>
        <v>0</v>
      </c>
      <c r="M4185" s="563">
        <f t="shared" si="194"/>
        <v>70.784999999999997</v>
      </c>
      <c r="N4185" s="580"/>
      <c r="O4185" s="558"/>
      <c r="P4185" s="564"/>
    </row>
    <row r="4186" spans="4:16" x14ac:dyDescent="0.25">
      <c r="D4186" s="559" t="s">
        <v>867</v>
      </c>
      <c r="E4186" s="558" t="s">
        <v>3167</v>
      </c>
      <c r="F4186" s="559">
        <v>701938</v>
      </c>
      <c r="G4186" s="558" t="s">
        <v>1974</v>
      </c>
      <c r="H4186" s="564">
        <v>40015</v>
      </c>
      <c r="I4186" s="563">
        <v>64.349999999999994</v>
      </c>
      <c r="J4186" s="563">
        <v>-64.349999999999994</v>
      </c>
      <c r="K4186" s="582">
        <f t="shared" si="192"/>
        <v>0</v>
      </c>
      <c r="L4186" s="563">
        <f t="shared" si="193"/>
        <v>0</v>
      </c>
      <c r="M4186" s="563">
        <f t="shared" si="194"/>
        <v>70.784999999999997</v>
      </c>
      <c r="N4186" s="580"/>
    </row>
    <row r="4187" spans="4:16" x14ac:dyDescent="0.25">
      <c r="D4187" s="559" t="s">
        <v>867</v>
      </c>
      <c r="E4187" s="558" t="s">
        <v>3168</v>
      </c>
      <c r="F4187" s="559">
        <v>701940</v>
      </c>
      <c r="G4187" s="558" t="s">
        <v>1974</v>
      </c>
      <c r="H4187" s="564">
        <v>40015</v>
      </c>
      <c r="I4187" s="563">
        <v>64.349999999999994</v>
      </c>
      <c r="J4187" s="563">
        <v>-64.349999999999994</v>
      </c>
      <c r="K4187" s="582">
        <f t="shared" si="192"/>
        <v>0</v>
      </c>
      <c r="L4187" s="563">
        <f t="shared" si="193"/>
        <v>0</v>
      </c>
      <c r="M4187" s="563">
        <f t="shared" si="194"/>
        <v>70.784999999999997</v>
      </c>
      <c r="N4187" s="580"/>
    </row>
    <row r="4188" spans="4:16" x14ac:dyDescent="0.25">
      <c r="D4188" s="559" t="s">
        <v>867</v>
      </c>
      <c r="E4188" s="558" t="s">
        <v>3169</v>
      </c>
      <c r="F4188" s="559">
        <v>701942</v>
      </c>
      <c r="G4188" s="558" t="s">
        <v>1974</v>
      </c>
      <c r="H4188" s="564">
        <v>40015</v>
      </c>
      <c r="I4188" s="563">
        <v>64.349999999999994</v>
      </c>
      <c r="J4188" s="563">
        <v>-64.349999999999994</v>
      </c>
      <c r="K4188" s="582">
        <f t="shared" si="192"/>
        <v>0</v>
      </c>
      <c r="L4188" s="563">
        <f t="shared" si="193"/>
        <v>0</v>
      </c>
      <c r="M4188" s="563">
        <f t="shared" si="194"/>
        <v>70.784999999999997</v>
      </c>
      <c r="N4188" s="580"/>
    </row>
    <row r="4189" spans="4:16" x14ac:dyDescent="0.25">
      <c r="D4189" s="559" t="s">
        <v>867</v>
      </c>
      <c r="E4189" s="558" t="s">
        <v>3170</v>
      </c>
      <c r="F4189" s="559">
        <v>701943</v>
      </c>
      <c r="G4189" s="558" t="s">
        <v>3171</v>
      </c>
      <c r="H4189" s="564">
        <v>40015</v>
      </c>
      <c r="I4189" s="563">
        <v>64.349999999999994</v>
      </c>
      <c r="J4189" s="563">
        <v>-64.349999999999994</v>
      </c>
      <c r="K4189" s="582">
        <f t="shared" si="192"/>
        <v>0</v>
      </c>
      <c r="L4189" s="563">
        <f t="shared" si="193"/>
        <v>0</v>
      </c>
      <c r="M4189" s="563">
        <f t="shared" si="194"/>
        <v>70.784999999999997</v>
      </c>
      <c r="N4189" s="580"/>
    </row>
    <row r="4190" spans="4:16" x14ac:dyDescent="0.25">
      <c r="D4190" s="559" t="s">
        <v>867</v>
      </c>
      <c r="E4190" s="558" t="s">
        <v>3172</v>
      </c>
      <c r="F4190" s="559">
        <v>701944</v>
      </c>
      <c r="G4190" s="558" t="s">
        <v>3171</v>
      </c>
      <c r="H4190" s="564">
        <v>40015</v>
      </c>
      <c r="I4190" s="563">
        <v>64.349999999999994</v>
      </c>
      <c r="J4190" s="563">
        <v>-64.349999999999994</v>
      </c>
      <c r="K4190" s="582">
        <f t="shared" si="192"/>
        <v>0</v>
      </c>
      <c r="L4190" s="563">
        <f t="shared" si="193"/>
        <v>0</v>
      </c>
      <c r="M4190" s="563">
        <f t="shared" si="194"/>
        <v>70.784999999999997</v>
      </c>
      <c r="N4190" s="580"/>
    </row>
    <row r="4191" spans="4:16" x14ac:dyDescent="0.25">
      <c r="D4191" s="559" t="s">
        <v>867</v>
      </c>
      <c r="E4191" s="558" t="s">
        <v>3173</v>
      </c>
      <c r="F4191" s="559">
        <v>701933</v>
      </c>
      <c r="G4191" s="558" t="s">
        <v>3171</v>
      </c>
      <c r="H4191" s="564">
        <v>40015</v>
      </c>
      <c r="I4191" s="563">
        <v>64.349999999999994</v>
      </c>
      <c r="J4191" s="563">
        <v>-64.349999999999994</v>
      </c>
      <c r="K4191" s="582">
        <f t="shared" si="192"/>
        <v>0</v>
      </c>
      <c r="L4191" s="563">
        <f t="shared" si="193"/>
        <v>0</v>
      </c>
      <c r="M4191" s="563">
        <f t="shared" si="194"/>
        <v>70.784999999999997</v>
      </c>
      <c r="N4191" s="580"/>
    </row>
    <row r="4192" spans="4:16" x14ac:dyDescent="0.25">
      <c r="D4192" s="559" t="s">
        <v>867</v>
      </c>
      <c r="E4192" s="558" t="s">
        <v>3174</v>
      </c>
      <c r="F4192" s="559">
        <v>701945</v>
      </c>
      <c r="G4192" s="558" t="s">
        <v>3171</v>
      </c>
      <c r="H4192" s="564">
        <v>40015</v>
      </c>
      <c r="I4192" s="563">
        <v>64.349999999999994</v>
      </c>
      <c r="J4192" s="563">
        <v>-64.349999999999994</v>
      </c>
      <c r="K4192" s="582">
        <f t="shared" si="192"/>
        <v>0</v>
      </c>
      <c r="L4192" s="563">
        <f t="shared" si="193"/>
        <v>0</v>
      </c>
      <c r="M4192" s="563">
        <f t="shared" si="194"/>
        <v>70.784999999999997</v>
      </c>
      <c r="N4192" s="580"/>
    </row>
    <row r="4193" spans="4:14" x14ac:dyDescent="0.25">
      <c r="D4193" s="559" t="s">
        <v>867</v>
      </c>
      <c r="E4193" s="558" t="s">
        <v>3175</v>
      </c>
      <c r="F4193" s="559">
        <v>701946</v>
      </c>
      <c r="G4193" s="558" t="s">
        <v>3171</v>
      </c>
      <c r="H4193" s="564">
        <v>40015</v>
      </c>
      <c r="I4193" s="563">
        <v>64.349999999999994</v>
      </c>
      <c r="J4193" s="563">
        <v>-64.349999999999994</v>
      </c>
      <c r="K4193" s="582">
        <f t="shared" si="192"/>
        <v>0</v>
      </c>
      <c r="L4193" s="563">
        <f t="shared" si="193"/>
        <v>0</v>
      </c>
      <c r="M4193" s="563">
        <f t="shared" si="194"/>
        <v>70.784999999999997</v>
      </c>
      <c r="N4193" s="580"/>
    </row>
    <row r="4194" spans="4:14" x14ac:dyDescent="0.25">
      <c r="D4194" s="559" t="s">
        <v>867</v>
      </c>
      <c r="E4194" s="558" t="s">
        <v>3176</v>
      </c>
      <c r="F4194" s="559">
        <v>701947</v>
      </c>
      <c r="G4194" s="558" t="s">
        <v>3177</v>
      </c>
      <c r="H4194" s="564">
        <v>40015</v>
      </c>
      <c r="I4194" s="563">
        <v>64.349999999999994</v>
      </c>
      <c r="J4194" s="563">
        <v>-64.349999999999994</v>
      </c>
      <c r="K4194" s="582">
        <f t="shared" si="192"/>
        <v>0</v>
      </c>
      <c r="L4194" s="563">
        <f t="shared" si="193"/>
        <v>0</v>
      </c>
      <c r="M4194" s="563">
        <f t="shared" si="194"/>
        <v>70.784999999999997</v>
      </c>
      <c r="N4194" s="580"/>
    </row>
    <row r="4195" spans="4:14" x14ac:dyDescent="0.25">
      <c r="D4195" s="559" t="s">
        <v>867</v>
      </c>
      <c r="E4195" s="558" t="s">
        <v>3178</v>
      </c>
      <c r="F4195" s="559">
        <v>701948</v>
      </c>
      <c r="G4195" s="558" t="s">
        <v>3177</v>
      </c>
      <c r="H4195" s="564">
        <v>40015</v>
      </c>
      <c r="I4195" s="563">
        <v>727.35</v>
      </c>
      <c r="J4195" s="563">
        <v>-585</v>
      </c>
      <c r="K4195" s="582">
        <f t="shared" si="192"/>
        <v>142.35000000000002</v>
      </c>
      <c r="L4195" s="563">
        <f t="shared" si="193"/>
        <v>156.58500000000004</v>
      </c>
      <c r="M4195" s="563">
        <f t="shared" si="194"/>
        <v>800.08500000000004</v>
      </c>
      <c r="N4195" s="580"/>
    </row>
    <row r="4196" spans="4:14" x14ac:dyDescent="0.25">
      <c r="D4196" s="559" t="s">
        <v>867</v>
      </c>
      <c r="E4196" s="558" t="s">
        <v>3179</v>
      </c>
      <c r="F4196" s="559">
        <v>700249</v>
      </c>
      <c r="G4196" s="558" t="s">
        <v>3180</v>
      </c>
      <c r="H4196" s="564">
        <v>40015</v>
      </c>
      <c r="I4196" s="563">
        <v>688.35</v>
      </c>
      <c r="J4196" s="563">
        <v>-585</v>
      </c>
      <c r="K4196" s="582">
        <f t="shared" si="192"/>
        <v>103.35000000000002</v>
      </c>
      <c r="L4196" s="563">
        <f t="shared" si="193"/>
        <v>113.68500000000003</v>
      </c>
      <c r="M4196" s="563">
        <f t="shared" si="194"/>
        <v>757.18500000000006</v>
      </c>
      <c r="N4196" s="580"/>
    </row>
    <row r="4197" spans="4:14" x14ac:dyDescent="0.25">
      <c r="D4197" s="559" t="s">
        <v>867</v>
      </c>
      <c r="E4197" s="558" t="s">
        <v>3181</v>
      </c>
      <c r="F4197" s="559">
        <v>700251</v>
      </c>
      <c r="G4197" s="558" t="s">
        <v>3182</v>
      </c>
      <c r="H4197" s="564">
        <v>40015</v>
      </c>
      <c r="I4197" s="563">
        <v>688.35</v>
      </c>
      <c r="J4197" s="563">
        <v>-585</v>
      </c>
      <c r="K4197" s="582">
        <f t="shared" si="192"/>
        <v>103.35000000000002</v>
      </c>
      <c r="L4197" s="563">
        <f t="shared" si="193"/>
        <v>113.68500000000003</v>
      </c>
      <c r="M4197" s="563">
        <f t="shared" si="194"/>
        <v>757.18500000000006</v>
      </c>
      <c r="N4197" s="580"/>
    </row>
    <row r="4198" spans="4:14" x14ac:dyDescent="0.25">
      <c r="D4198" s="559" t="s">
        <v>867</v>
      </c>
      <c r="E4198" s="558" t="s">
        <v>3183</v>
      </c>
      <c r="F4198" s="559">
        <v>700252</v>
      </c>
      <c r="G4198" s="558" t="s">
        <v>3182</v>
      </c>
      <c r="H4198" s="564">
        <v>40015</v>
      </c>
      <c r="I4198" s="563">
        <v>727.35</v>
      </c>
      <c r="J4198" s="563">
        <v>-585</v>
      </c>
      <c r="K4198" s="582">
        <f t="shared" si="192"/>
        <v>142.35000000000002</v>
      </c>
      <c r="L4198" s="563">
        <f t="shared" si="193"/>
        <v>156.58500000000004</v>
      </c>
      <c r="M4198" s="563">
        <f t="shared" si="194"/>
        <v>800.08500000000004</v>
      </c>
      <c r="N4198" s="580"/>
    </row>
    <row r="4199" spans="4:14" x14ac:dyDescent="0.25">
      <c r="D4199" s="559" t="s">
        <v>867</v>
      </c>
      <c r="E4199" s="558" t="s">
        <v>3184</v>
      </c>
      <c r="F4199" s="559">
        <v>700253</v>
      </c>
      <c r="G4199" s="558" t="s">
        <v>3182</v>
      </c>
      <c r="H4199" s="564">
        <v>40015</v>
      </c>
      <c r="I4199" s="563">
        <v>610.35</v>
      </c>
      <c r="J4199" s="563">
        <v>-585</v>
      </c>
      <c r="K4199" s="582">
        <f t="shared" si="192"/>
        <v>25.350000000000023</v>
      </c>
      <c r="L4199" s="563">
        <f t="shared" si="193"/>
        <v>27.885000000000026</v>
      </c>
      <c r="M4199" s="563">
        <f t="shared" si="194"/>
        <v>671.3850000000001</v>
      </c>
      <c r="N4199" s="580"/>
    </row>
    <row r="4200" spans="4:14" x14ac:dyDescent="0.25">
      <c r="D4200" s="559" t="s">
        <v>867</v>
      </c>
      <c r="E4200" s="558" t="s">
        <v>3185</v>
      </c>
      <c r="F4200" s="559">
        <v>700254</v>
      </c>
      <c r="G4200" s="558" t="s">
        <v>3182</v>
      </c>
      <c r="H4200" s="564">
        <v>40015</v>
      </c>
      <c r="I4200" s="563">
        <v>493.35</v>
      </c>
      <c r="J4200" s="563">
        <v>-493.35</v>
      </c>
      <c r="K4200" s="582">
        <f t="shared" si="192"/>
        <v>0</v>
      </c>
      <c r="L4200" s="563">
        <f t="shared" si="193"/>
        <v>0</v>
      </c>
      <c r="M4200" s="563">
        <f t="shared" si="194"/>
        <v>542.68500000000006</v>
      </c>
      <c r="N4200" s="580"/>
    </row>
    <row r="4201" spans="4:14" x14ac:dyDescent="0.25">
      <c r="D4201" s="559" t="s">
        <v>867</v>
      </c>
      <c r="E4201" s="558" t="s">
        <v>3186</v>
      </c>
      <c r="F4201" s="559">
        <v>700255</v>
      </c>
      <c r="G4201" s="558" t="s">
        <v>3182</v>
      </c>
      <c r="H4201" s="564">
        <v>40015</v>
      </c>
      <c r="I4201" s="563">
        <v>493.35</v>
      </c>
      <c r="J4201" s="563">
        <v>-493.35</v>
      </c>
      <c r="K4201" s="582">
        <f t="shared" ref="K4201:K4264" si="195">+I4201+J4201</f>
        <v>0</v>
      </c>
      <c r="L4201" s="563">
        <f t="shared" ref="L4201:L4264" si="196">+K4201*1.1</f>
        <v>0</v>
      </c>
      <c r="M4201" s="563">
        <f t="shared" ref="M4201:M4264" si="197">+I4201*1.1</f>
        <v>542.68500000000006</v>
      </c>
      <c r="N4201" s="580"/>
    </row>
    <row r="4202" spans="4:14" x14ac:dyDescent="0.25">
      <c r="D4202" s="559" t="s">
        <v>867</v>
      </c>
      <c r="E4202" s="558" t="s">
        <v>3187</v>
      </c>
      <c r="F4202" s="559">
        <v>700256</v>
      </c>
      <c r="G4202" s="558" t="s">
        <v>3188</v>
      </c>
      <c r="H4202" s="564">
        <v>40015</v>
      </c>
      <c r="I4202" s="563">
        <v>493.35</v>
      </c>
      <c r="J4202" s="563">
        <v>-493.35</v>
      </c>
      <c r="K4202" s="582">
        <f t="shared" si="195"/>
        <v>0</v>
      </c>
      <c r="L4202" s="563">
        <f t="shared" si="196"/>
        <v>0</v>
      </c>
      <c r="M4202" s="563">
        <f t="shared" si="197"/>
        <v>542.68500000000006</v>
      </c>
      <c r="N4202" s="580"/>
    </row>
    <row r="4203" spans="4:14" x14ac:dyDescent="0.25">
      <c r="D4203" s="559" t="s">
        <v>867</v>
      </c>
      <c r="E4203" s="558" t="s">
        <v>3189</v>
      </c>
      <c r="F4203" s="559">
        <v>700257</v>
      </c>
      <c r="G4203" s="558" t="s">
        <v>3188</v>
      </c>
      <c r="H4203" s="564">
        <v>40015</v>
      </c>
      <c r="I4203" s="563">
        <v>493.35</v>
      </c>
      <c r="J4203" s="563">
        <v>-493.35</v>
      </c>
      <c r="K4203" s="582">
        <f t="shared" si="195"/>
        <v>0</v>
      </c>
      <c r="L4203" s="563">
        <f t="shared" si="196"/>
        <v>0</v>
      </c>
      <c r="M4203" s="563">
        <f t="shared" si="197"/>
        <v>542.68500000000006</v>
      </c>
      <c r="N4203" s="580"/>
    </row>
    <row r="4204" spans="4:14" x14ac:dyDescent="0.25">
      <c r="D4204" s="559" t="s">
        <v>867</v>
      </c>
      <c r="E4204" s="558" t="s">
        <v>3190</v>
      </c>
      <c r="F4204" s="559">
        <v>701600</v>
      </c>
      <c r="G4204" s="558" t="s">
        <v>3188</v>
      </c>
      <c r="H4204" s="564">
        <v>40015</v>
      </c>
      <c r="I4204" s="563">
        <v>493.35</v>
      </c>
      <c r="J4204" s="563">
        <v>-493.35</v>
      </c>
      <c r="K4204" s="582">
        <f t="shared" si="195"/>
        <v>0</v>
      </c>
      <c r="L4204" s="563">
        <f t="shared" si="196"/>
        <v>0</v>
      </c>
      <c r="M4204" s="563">
        <f t="shared" si="197"/>
        <v>542.68500000000006</v>
      </c>
      <c r="N4204" s="580"/>
    </row>
    <row r="4205" spans="4:14" x14ac:dyDescent="0.25">
      <c r="D4205" s="559" t="s">
        <v>867</v>
      </c>
      <c r="E4205" s="558" t="s">
        <v>3191</v>
      </c>
      <c r="F4205" s="559">
        <v>700259</v>
      </c>
      <c r="G4205" s="558" t="s">
        <v>3188</v>
      </c>
      <c r="H4205" s="564">
        <v>40015</v>
      </c>
      <c r="I4205" s="563">
        <v>337.35</v>
      </c>
      <c r="J4205" s="563">
        <v>-337.35</v>
      </c>
      <c r="K4205" s="582">
        <f t="shared" si="195"/>
        <v>0</v>
      </c>
      <c r="L4205" s="563">
        <f t="shared" si="196"/>
        <v>0</v>
      </c>
      <c r="M4205" s="563">
        <f t="shared" si="197"/>
        <v>371.08500000000004</v>
      </c>
      <c r="N4205" s="580"/>
    </row>
    <row r="4206" spans="4:14" x14ac:dyDescent="0.25">
      <c r="D4206" s="559" t="s">
        <v>867</v>
      </c>
      <c r="E4206" s="558" t="s">
        <v>3192</v>
      </c>
      <c r="F4206" s="559">
        <v>700260</v>
      </c>
      <c r="G4206" s="558" t="s">
        <v>3188</v>
      </c>
      <c r="H4206" s="564">
        <v>40015</v>
      </c>
      <c r="I4206" s="563">
        <v>493.35</v>
      </c>
      <c r="J4206" s="563">
        <v>-493.35</v>
      </c>
      <c r="K4206" s="582">
        <f t="shared" si="195"/>
        <v>0</v>
      </c>
      <c r="L4206" s="563">
        <f t="shared" si="196"/>
        <v>0</v>
      </c>
      <c r="M4206" s="563">
        <f t="shared" si="197"/>
        <v>542.68500000000006</v>
      </c>
      <c r="N4206" s="580"/>
    </row>
    <row r="4207" spans="4:14" x14ac:dyDescent="0.25">
      <c r="D4207" s="559" t="s">
        <v>867</v>
      </c>
      <c r="E4207" s="558" t="s">
        <v>3193</v>
      </c>
      <c r="F4207" s="559">
        <v>700261</v>
      </c>
      <c r="G4207" s="558" t="s">
        <v>3194</v>
      </c>
      <c r="H4207" s="564">
        <v>40015</v>
      </c>
      <c r="I4207" s="563">
        <v>493.35</v>
      </c>
      <c r="J4207" s="563">
        <v>-493.35</v>
      </c>
      <c r="K4207" s="582">
        <f t="shared" si="195"/>
        <v>0</v>
      </c>
      <c r="L4207" s="563">
        <f t="shared" si="196"/>
        <v>0</v>
      </c>
      <c r="M4207" s="563">
        <f t="shared" si="197"/>
        <v>542.68500000000006</v>
      </c>
      <c r="N4207" s="580"/>
    </row>
    <row r="4208" spans="4:14" x14ac:dyDescent="0.25">
      <c r="D4208" s="559" t="s">
        <v>867</v>
      </c>
      <c r="E4208" s="558" t="s">
        <v>3195</v>
      </c>
      <c r="F4208" s="559">
        <v>700262</v>
      </c>
      <c r="G4208" s="558" t="s">
        <v>3194</v>
      </c>
      <c r="H4208" s="564">
        <v>40015</v>
      </c>
      <c r="I4208" s="563">
        <v>493.35</v>
      </c>
      <c r="J4208" s="563">
        <v>-493.35</v>
      </c>
      <c r="K4208" s="582">
        <f t="shared" si="195"/>
        <v>0</v>
      </c>
      <c r="L4208" s="563">
        <f t="shared" si="196"/>
        <v>0</v>
      </c>
      <c r="M4208" s="563">
        <f t="shared" si="197"/>
        <v>542.68500000000006</v>
      </c>
      <c r="N4208" s="580"/>
    </row>
    <row r="4209" spans="4:14" x14ac:dyDescent="0.25">
      <c r="D4209" s="559" t="s">
        <v>867</v>
      </c>
      <c r="E4209" s="558" t="s">
        <v>3196</v>
      </c>
      <c r="F4209" s="559">
        <v>700263</v>
      </c>
      <c r="G4209" s="558" t="s">
        <v>3194</v>
      </c>
      <c r="H4209" s="564">
        <v>40015</v>
      </c>
      <c r="I4209" s="563">
        <v>493.35</v>
      </c>
      <c r="J4209" s="563">
        <v>-493.35</v>
      </c>
      <c r="K4209" s="582">
        <f t="shared" si="195"/>
        <v>0</v>
      </c>
      <c r="L4209" s="563">
        <f t="shared" si="196"/>
        <v>0</v>
      </c>
      <c r="M4209" s="563">
        <f t="shared" si="197"/>
        <v>542.68500000000006</v>
      </c>
      <c r="N4209" s="580"/>
    </row>
    <row r="4210" spans="4:14" x14ac:dyDescent="0.25">
      <c r="D4210" s="559" t="s">
        <v>867</v>
      </c>
      <c r="E4210" s="558" t="s">
        <v>3197</v>
      </c>
      <c r="F4210" s="559">
        <v>700264</v>
      </c>
      <c r="G4210" s="558" t="s">
        <v>3194</v>
      </c>
      <c r="H4210" s="564">
        <v>40015</v>
      </c>
      <c r="I4210" s="563">
        <v>493.35</v>
      </c>
      <c r="J4210" s="563">
        <v>-493.35</v>
      </c>
      <c r="K4210" s="582">
        <f t="shared" si="195"/>
        <v>0</v>
      </c>
      <c r="L4210" s="563">
        <f t="shared" si="196"/>
        <v>0</v>
      </c>
      <c r="M4210" s="563">
        <f t="shared" si="197"/>
        <v>542.68500000000006</v>
      </c>
      <c r="N4210" s="580"/>
    </row>
    <row r="4211" spans="4:14" x14ac:dyDescent="0.25">
      <c r="D4211" s="559" t="s">
        <v>867</v>
      </c>
      <c r="E4211" s="558" t="s">
        <v>3198</v>
      </c>
      <c r="F4211" s="559">
        <v>700265</v>
      </c>
      <c r="G4211" s="558" t="s">
        <v>3194</v>
      </c>
      <c r="H4211" s="564">
        <v>40015</v>
      </c>
      <c r="I4211" s="563">
        <v>493.35</v>
      </c>
      <c r="J4211" s="563">
        <v>-493.35</v>
      </c>
      <c r="K4211" s="582">
        <f t="shared" si="195"/>
        <v>0</v>
      </c>
      <c r="L4211" s="563">
        <f t="shared" si="196"/>
        <v>0</v>
      </c>
      <c r="M4211" s="563">
        <f t="shared" si="197"/>
        <v>542.68500000000006</v>
      </c>
      <c r="N4211" s="580"/>
    </row>
    <row r="4212" spans="4:14" x14ac:dyDescent="0.25">
      <c r="D4212" s="559" t="s">
        <v>867</v>
      </c>
      <c r="E4212" s="558" t="s">
        <v>3199</v>
      </c>
      <c r="F4212" s="559">
        <v>700266</v>
      </c>
      <c r="G4212" s="558" t="s">
        <v>3200</v>
      </c>
      <c r="H4212" s="564">
        <v>40015</v>
      </c>
      <c r="I4212" s="563">
        <v>493.35</v>
      </c>
      <c r="J4212" s="563">
        <v>-493.35</v>
      </c>
      <c r="K4212" s="582">
        <f t="shared" si="195"/>
        <v>0</v>
      </c>
      <c r="L4212" s="563">
        <f t="shared" si="196"/>
        <v>0</v>
      </c>
      <c r="M4212" s="563">
        <f t="shared" si="197"/>
        <v>542.68500000000006</v>
      </c>
      <c r="N4212" s="580"/>
    </row>
    <row r="4213" spans="4:14" x14ac:dyDescent="0.25">
      <c r="D4213" s="559" t="s">
        <v>867</v>
      </c>
      <c r="E4213" s="558" t="s">
        <v>3201</v>
      </c>
      <c r="F4213" s="559">
        <v>701288</v>
      </c>
      <c r="G4213" s="558" t="s">
        <v>3200</v>
      </c>
      <c r="H4213" s="564">
        <v>40015</v>
      </c>
      <c r="I4213" s="563">
        <v>493.35</v>
      </c>
      <c r="J4213" s="563">
        <v>-493.35</v>
      </c>
      <c r="K4213" s="582">
        <f t="shared" si="195"/>
        <v>0</v>
      </c>
      <c r="L4213" s="563">
        <f t="shared" si="196"/>
        <v>0</v>
      </c>
      <c r="M4213" s="563">
        <f t="shared" si="197"/>
        <v>542.68500000000006</v>
      </c>
      <c r="N4213" s="580"/>
    </row>
    <row r="4214" spans="4:14" x14ac:dyDescent="0.25">
      <c r="D4214" s="559" t="s">
        <v>867</v>
      </c>
      <c r="E4214" s="558" t="s">
        <v>3202</v>
      </c>
      <c r="F4214" s="559">
        <v>700267</v>
      </c>
      <c r="G4214" s="558" t="s">
        <v>3200</v>
      </c>
      <c r="H4214" s="564">
        <v>40015</v>
      </c>
      <c r="I4214" s="563">
        <v>493.35</v>
      </c>
      <c r="J4214" s="563">
        <v>-493.35</v>
      </c>
      <c r="K4214" s="582">
        <f t="shared" si="195"/>
        <v>0</v>
      </c>
      <c r="L4214" s="563">
        <f t="shared" si="196"/>
        <v>0</v>
      </c>
      <c r="M4214" s="563">
        <f t="shared" si="197"/>
        <v>542.68500000000006</v>
      </c>
      <c r="N4214" s="580"/>
    </row>
    <row r="4215" spans="4:14" x14ac:dyDescent="0.25">
      <c r="D4215" s="559" t="s">
        <v>867</v>
      </c>
      <c r="E4215" s="558" t="s">
        <v>3203</v>
      </c>
      <c r="F4215" s="559">
        <v>700268</v>
      </c>
      <c r="G4215" s="558" t="s">
        <v>3200</v>
      </c>
      <c r="H4215" s="564">
        <v>40015</v>
      </c>
      <c r="I4215" s="563">
        <v>493.35</v>
      </c>
      <c r="J4215" s="563">
        <v>-493.35</v>
      </c>
      <c r="K4215" s="582">
        <f t="shared" si="195"/>
        <v>0</v>
      </c>
      <c r="L4215" s="563">
        <f t="shared" si="196"/>
        <v>0</v>
      </c>
      <c r="M4215" s="563">
        <f t="shared" si="197"/>
        <v>542.68500000000006</v>
      </c>
      <c r="N4215" s="580"/>
    </row>
    <row r="4216" spans="4:14" x14ac:dyDescent="0.25">
      <c r="D4216" s="559" t="s">
        <v>867</v>
      </c>
      <c r="E4216" s="558" t="s">
        <v>3204</v>
      </c>
      <c r="F4216" s="559">
        <v>700269</v>
      </c>
      <c r="G4216" s="558" t="s">
        <v>3200</v>
      </c>
      <c r="H4216" s="564">
        <v>40015</v>
      </c>
      <c r="I4216" s="563">
        <v>493.35</v>
      </c>
      <c r="J4216" s="563">
        <v>-493.35</v>
      </c>
      <c r="K4216" s="582">
        <f t="shared" si="195"/>
        <v>0</v>
      </c>
      <c r="L4216" s="563">
        <f t="shared" si="196"/>
        <v>0</v>
      </c>
      <c r="M4216" s="563">
        <f t="shared" si="197"/>
        <v>542.68500000000006</v>
      </c>
      <c r="N4216" s="580"/>
    </row>
    <row r="4217" spans="4:14" x14ac:dyDescent="0.25">
      <c r="D4217" s="559" t="s">
        <v>867</v>
      </c>
      <c r="E4217" s="558" t="s">
        <v>3205</v>
      </c>
      <c r="F4217" s="559">
        <v>700270</v>
      </c>
      <c r="G4217" s="558" t="s">
        <v>3206</v>
      </c>
      <c r="H4217" s="564">
        <v>40015</v>
      </c>
      <c r="I4217" s="563">
        <v>493.35</v>
      </c>
      <c r="J4217" s="563">
        <v>-493.35</v>
      </c>
      <c r="K4217" s="582">
        <f t="shared" si="195"/>
        <v>0</v>
      </c>
      <c r="L4217" s="563">
        <f t="shared" si="196"/>
        <v>0</v>
      </c>
      <c r="M4217" s="563">
        <f t="shared" si="197"/>
        <v>542.68500000000006</v>
      </c>
      <c r="N4217" s="580"/>
    </row>
    <row r="4218" spans="4:14" x14ac:dyDescent="0.25">
      <c r="D4218" s="559" t="s">
        <v>867</v>
      </c>
      <c r="E4218" s="558" t="s">
        <v>3207</v>
      </c>
      <c r="F4218" s="559">
        <v>700272</v>
      </c>
      <c r="G4218" s="558" t="s">
        <v>3206</v>
      </c>
      <c r="H4218" s="564">
        <v>40015</v>
      </c>
      <c r="I4218" s="563">
        <v>493.35</v>
      </c>
      <c r="J4218" s="563">
        <v>-493.35</v>
      </c>
      <c r="K4218" s="582">
        <f t="shared" si="195"/>
        <v>0</v>
      </c>
      <c r="L4218" s="563">
        <f t="shared" si="196"/>
        <v>0</v>
      </c>
      <c r="M4218" s="563">
        <f t="shared" si="197"/>
        <v>542.68500000000006</v>
      </c>
      <c r="N4218" s="580"/>
    </row>
    <row r="4219" spans="4:14" x14ac:dyDescent="0.25">
      <c r="D4219" s="559" t="s">
        <v>867</v>
      </c>
      <c r="E4219" s="558" t="s">
        <v>3208</v>
      </c>
      <c r="F4219" s="559">
        <v>700273</v>
      </c>
      <c r="G4219" s="558" t="s">
        <v>3206</v>
      </c>
      <c r="H4219" s="564">
        <v>40015</v>
      </c>
      <c r="I4219" s="563">
        <v>493.35</v>
      </c>
      <c r="J4219" s="563">
        <v>-493.35</v>
      </c>
      <c r="K4219" s="582">
        <f t="shared" si="195"/>
        <v>0</v>
      </c>
      <c r="L4219" s="563">
        <f t="shared" si="196"/>
        <v>0</v>
      </c>
      <c r="M4219" s="563">
        <f t="shared" si="197"/>
        <v>542.68500000000006</v>
      </c>
      <c r="N4219" s="580"/>
    </row>
    <row r="4220" spans="4:14" x14ac:dyDescent="0.25">
      <c r="D4220" s="559" t="s">
        <v>867</v>
      </c>
      <c r="E4220" s="558" t="s">
        <v>3209</v>
      </c>
      <c r="F4220" s="559">
        <v>700274</v>
      </c>
      <c r="G4220" s="558" t="s">
        <v>3206</v>
      </c>
      <c r="H4220" s="564">
        <v>40015</v>
      </c>
      <c r="I4220" s="563">
        <v>493.35</v>
      </c>
      <c r="J4220" s="563">
        <v>-493.35</v>
      </c>
      <c r="K4220" s="582">
        <f t="shared" si="195"/>
        <v>0</v>
      </c>
      <c r="L4220" s="563">
        <f t="shared" si="196"/>
        <v>0</v>
      </c>
      <c r="M4220" s="563">
        <f t="shared" si="197"/>
        <v>542.68500000000006</v>
      </c>
      <c r="N4220" s="580"/>
    </row>
    <row r="4221" spans="4:14" x14ac:dyDescent="0.25">
      <c r="D4221" s="559" t="s">
        <v>867</v>
      </c>
      <c r="E4221" s="558" t="s">
        <v>3210</v>
      </c>
      <c r="F4221" s="559">
        <v>700275</v>
      </c>
      <c r="G4221" s="558" t="s">
        <v>3206</v>
      </c>
      <c r="H4221" s="564">
        <v>40015</v>
      </c>
      <c r="I4221" s="563">
        <v>493.35</v>
      </c>
      <c r="J4221" s="563">
        <v>-493.35</v>
      </c>
      <c r="K4221" s="582">
        <f t="shared" si="195"/>
        <v>0</v>
      </c>
      <c r="L4221" s="563">
        <f t="shared" si="196"/>
        <v>0</v>
      </c>
      <c r="M4221" s="563">
        <f t="shared" si="197"/>
        <v>542.68500000000006</v>
      </c>
      <c r="N4221" s="580"/>
    </row>
    <row r="4222" spans="4:14" x14ac:dyDescent="0.25">
      <c r="D4222" s="559" t="s">
        <v>867</v>
      </c>
      <c r="E4222" s="558" t="s">
        <v>3211</v>
      </c>
      <c r="F4222" s="559">
        <v>700276</v>
      </c>
      <c r="G4222" s="558" t="s">
        <v>981</v>
      </c>
      <c r="H4222" s="564">
        <v>40015</v>
      </c>
      <c r="I4222" s="563">
        <v>493.35</v>
      </c>
      <c r="J4222" s="563">
        <v>-493.35</v>
      </c>
      <c r="K4222" s="582">
        <f t="shared" si="195"/>
        <v>0</v>
      </c>
      <c r="L4222" s="563">
        <f t="shared" si="196"/>
        <v>0</v>
      </c>
      <c r="M4222" s="563">
        <f t="shared" si="197"/>
        <v>542.68500000000006</v>
      </c>
      <c r="N4222" s="580"/>
    </row>
    <row r="4223" spans="4:14" x14ac:dyDescent="0.25">
      <c r="D4223" s="559" t="s">
        <v>867</v>
      </c>
      <c r="E4223" s="558" t="s">
        <v>3212</v>
      </c>
      <c r="F4223" s="559">
        <v>700278</v>
      </c>
      <c r="G4223" s="558" t="s">
        <v>981</v>
      </c>
      <c r="H4223" s="564">
        <v>40015</v>
      </c>
      <c r="I4223" s="563">
        <v>493.35</v>
      </c>
      <c r="J4223" s="563">
        <v>-493.35</v>
      </c>
      <c r="K4223" s="582">
        <f t="shared" si="195"/>
        <v>0</v>
      </c>
      <c r="L4223" s="563">
        <f t="shared" si="196"/>
        <v>0</v>
      </c>
      <c r="M4223" s="563">
        <f t="shared" si="197"/>
        <v>542.68500000000006</v>
      </c>
      <c r="N4223" s="580"/>
    </row>
    <row r="4224" spans="4:14" x14ac:dyDescent="0.25">
      <c r="D4224" s="559" t="s">
        <v>867</v>
      </c>
      <c r="E4224" s="558" t="s">
        <v>3213</v>
      </c>
      <c r="F4224" s="559">
        <v>700279</v>
      </c>
      <c r="G4224" s="558" t="s">
        <v>981</v>
      </c>
      <c r="H4224" s="564">
        <v>40015</v>
      </c>
      <c r="I4224" s="563">
        <v>415.35</v>
      </c>
      <c r="J4224" s="563">
        <v>-415.35</v>
      </c>
      <c r="K4224" s="582">
        <f t="shared" si="195"/>
        <v>0</v>
      </c>
      <c r="L4224" s="563">
        <f t="shared" si="196"/>
        <v>0</v>
      </c>
      <c r="M4224" s="563">
        <f t="shared" si="197"/>
        <v>456.88500000000005</v>
      </c>
      <c r="N4224" s="580"/>
    </row>
    <row r="4225" spans="4:14" x14ac:dyDescent="0.25">
      <c r="D4225" s="559" t="s">
        <v>867</v>
      </c>
      <c r="E4225" s="558" t="s">
        <v>3214</v>
      </c>
      <c r="F4225" s="559">
        <v>700280</v>
      </c>
      <c r="G4225" s="558" t="s">
        <v>981</v>
      </c>
      <c r="H4225" s="564">
        <v>40015</v>
      </c>
      <c r="I4225" s="563">
        <v>493.35</v>
      </c>
      <c r="J4225" s="563">
        <v>-493.35</v>
      </c>
      <c r="K4225" s="582">
        <f t="shared" si="195"/>
        <v>0</v>
      </c>
      <c r="L4225" s="563">
        <f t="shared" si="196"/>
        <v>0</v>
      </c>
      <c r="M4225" s="563">
        <f t="shared" si="197"/>
        <v>542.68500000000006</v>
      </c>
      <c r="N4225" s="580"/>
    </row>
    <row r="4226" spans="4:14" x14ac:dyDescent="0.25">
      <c r="D4226" s="559" t="s">
        <v>867</v>
      </c>
      <c r="E4226" s="558" t="s">
        <v>3215</v>
      </c>
      <c r="F4226" s="559">
        <v>700281</v>
      </c>
      <c r="G4226" s="558" t="s">
        <v>981</v>
      </c>
      <c r="H4226" s="564">
        <v>40015</v>
      </c>
      <c r="I4226" s="563">
        <v>493.35</v>
      </c>
      <c r="J4226" s="563">
        <v>-493.35</v>
      </c>
      <c r="K4226" s="582">
        <f t="shared" si="195"/>
        <v>0</v>
      </c>
      <c r="L4226" s="563">
        <f t="shared" si="196"/>
        <v>0</v>
      </c>
      <c r="M4226" s="563">
        <f t="shared" si="197"/>
        <v>542.68500000000006</v>
      </c>
      <c r="N4226" s="580"/>
    </row>
    <row r="4227" spans="4:14" x14ac:dyDescent="0.25">
      <c r="D4227" s="559" t="s">
        <v>867</v>
      </c>
      <c r="E4227" s="558" t="s">
        <v>3216</v>
      </c>
      <c r="F4227" s="559">
        <v>700877</v>
      </c>
      <c r="G4227" s="558" t="s">
        <v>3217</v>
      </c>
      <c r="H4227" s="564">
        <v>40015</v>
      </c>
      <c r="I4227" s="563">
        <v>493.35</v>
      </c>
      <c r="J4227" s="563">
        <v>-493.35</v>
      </c>
      <c r="K4227" s="582">
        <f t="shared" si="195"/>
        <v>0</v>
      </c>
      <c r="L4227" s="563">
        <f t="shared" si="196"/>
        <v>0</v>
      </c>
      <c r="M4227" s="563">
        <f t="shared" si="197"/>
        <v>542.68500000000006</v>
      </c>
      <c r="N4227" s="580"/>
    </row>
    <row r="4228" spans="4:14" x14ac:dyDescent="0.25">
      <c r="D4228" s="559" t="s">
        <v>867</v>
      </c>
      <c r="E4228" s="558" t="s">
        <v>3218</v>
      </c>
      <c r="F4228" s="559">
        <v>700283</v>
      </c>
      <c r="G4228" s="558" t="s">
        <v>3217</v>
      </c>
      <c r="H4228" s="564">
        <v>40015</v>
      </c>
      <c r="I4228" s="563">
        <v>688.35</v>
      </c>
      <c r="J4228" s="563">
        <v>-585</v>
      </c>
      <c r="K4228" s="582">
        <f t="shared" si="195"/>
        <v>103.35000000000002</v>
      </c>
      <c r="L4228" s="563">
        <f t="shared" si="196"/>
        <v>113.68500000000003</v>
      </c>
      <c r="M4228" s="563">
        <f t="shared" si="197"/>
        <v>757.18500000000006</v>
      </c>
      <c r="N4228" s="580"/>
    </row>
    <row r="4229" spans="4:14" x14ac:dyDescent="0.25">
      <c r="D4229" s="559" t="s">
        <v>867</v>
      </c>
      <c r="E4229" s="558" t="s">
        <v>3219</v>
      </c>
      <c r="F4229" s="559">
        <v>700285</v>
      </c>
      <c r="G4229" s="558" t="s">
        <v>3217</v>
      </c>
      <c r="H4229" s="564">
        <v>40015</v>
      </c>
      <c r="I4229" s="563">
        <v>493.35</v>
      </c>
      <c r="J4229" s="563">
        <v>-493.35</v>
      </c>
      <c r="K4229" s="582">
        <f t="shared" si="195"/>
        <v>0</v>
      </c>
      <c r="L4229" s="563">
        <f t="shared" si="196"/>
        <v>0</v>
      </c>
      <c r="M4229" s="563">
        <f t="shared" si="197"/>
        <v>542.68500000000006</v>
      </c>
      <c r="N4229" s="580"/>
    </row>
    <row r="4230" spans="4:14" x14ac:dyDescent="0.25">
      <c r="D4230" s="559" t="s">
        <v>867</v>
      </c>
      <c r="E4230" s="558" t="s">
        <v>3220</v>
      </c>
      <c r="F4230" s="559">
        <v>700286</v>
      </c>
      <c r="G4230" s="558" t="s">
        <v>3217</v>
      </c>
      <c r="H4230" s="564">
        <v>40015</v>
      </c>
      <c r="I4230" s="563">
        <v>415.35</v>
      </c>
      <c r="J4230" s="563">
        <v>-415.35</v>
      </c>
      <c r="K4230" s="582">
        <f t="shared" si="195"/>
        <v>0</v>
      </c>
      <c r="L4230" s="563">
        <f t="shared" si="196"/>
        <v>0</v>
      </c>
      <c r="M4230" s="563">
        <f t="shared" si="197"/>
        <v>456.88500000000005</v>
      </c>
      <c r="N4230" s="580"/>
    </row>
    <row r="4231" spans="4:14" x14ac:dyDescent="0.25">
      <c r="D4231" s="559" t="s">
        <v>867</v>
      </c>
      <c r="E4231" s="558" t="s">
        <v>3221</v>
      </c>
      <c r="F4231" s="559">
        <v>700287</v>
      </c>
      <c r="G4231" s="558" t="s">
        <v>3217</v>
      </c>
      <c r="H4231" s="564">
        <v>40015</v>
      </c>
      <c r="I4231" s="563">
        <v>727.35</v>
      </c>
      <c r="J4231" s="563">
        <v>-585</v>
      </c>
      <c r="K4231" s="582">
        <f t="shared" si="195"/>
        <v>142.35000000000002</v>
      </c>
      <c r="L4231" s="563">
        <f t="shared" si="196"/>
        <v>156.58500000000004</v>
      </c>
      <c r="M4231" s="563">
        <f t="shared" si="197"/>
        <v>800.08500000000004</v>
      </c>
      <c r="N4231" s="580"/>
    </row>
    <row r="4232" spans="4:14" x14ac:dyDescent="0.25">
      <c r="D4232" s="559" t="s">
        <v>867</v>
      </c>
      <c r="E4232" s="558" t="s">
        <v>3222</v>
      </c>
      <c r="F4232" s="559">
        <v>700288</v>
      </c>
      <c r="G4232" s="558" t="s">
        <v>3223</v>
      </c>
      <c r="H4232" s="564">
        <v>40015</v>
      </c>
      <c r="I4232" s="563">
        <v>454.35</v>
      </c>
      <c r="J4232" s="563">
        <v>-454.35</v>
      </c>
      <c r="K4232" s="582">
        <f t="shared" si="195"/>
        <v>0</v>
      </c>
      <c r="L4232" s="563">
        <f t="shared" si="196"/>
        <v>0</v>
      </c>
      <c r="M4232" s="563">
        <f t="shared" si="197"/>
        <v>499.78500000000008</v>
      </c>
      <c r="N4232" s="580"/>
    </row>
    <row r="4233" spans="4:14" x14ac:dyDescent="0.25">
      <c r="D4233" s="559" t="s">
        <v>867</v>
      </c>
      <c r="E4233" s="558" t="s">
        <v>3224</v>
      </c>
      <c r="F4233" s="559">
        <v>700290</v>
      </c>
      <c r="G4233" s="558" t="s">
        <v>3223</v>
      </c>
      <c r="H4233" s="564">
        <v>40015</v>
      </c>
      <c r="I4233" s="563">
        <v>844.35</v>
      </c>
      <c r="J4233" s="563">
        <v>-585</v>
      </c>
      <c r="K4233" s="582">
        <f t="shared" si="195"/>
        <v>259.35000000000002</v>
      </c>
      <c r="L4233" s="563">
        <f t="shared" si="196"/>
        <v>285.28500000000003</v>
      </c>
      <c r="M4233" s="563">
        <f t="shared" si="197"/>
        <v>928.78500000000008</v>
      </c>
      <c r="N4233" s="580"/>
    </row>
    <row r="4234" spans="4:14" x14ac:dyDescent="0.25">
      <c r="D4234" s="559" t="s">
        <v>867</v>
      </c>
      <c r="E4234" s="558" t="s">
        <v>3225</v>
      </c>
      <c r="F4234" s="559">
        <v>700291</v>
      </c>
      <c r="G4234" s="558" t="s">
        <v>3223</v>
      </c>
      <c r="H4234" s="564">
        <v>40015</v>
      </c>
      <c r="I4234" s="563">
        <v>805.35</v>
      </c>
      <c r="J4234" s="563">
        <v>-585</v>
      </c>
      <c r="K4234" s="582">
        <f t="shared" si="195"/>
        <v>220.35000000000002</v>
      </c>
      <c r="L4234" s="563">
        <f t="shared" si="196"/>
        <v>242.38500000000005</v>
      </c>
      <c r="M4234" s="563">
        <f t="shared" si="197"/>
        <v>885.8850000000001</v>
      </c>
      <c r="N4234" s="580"/>
    </row>
    <row r="4235" spans="4:14" x14ac:dyDescent="0.25">
      <c r="D4235" s="559" t="s">
        <v>867</v>
      </c>
      <c r="E4235" s="558" t="s">
        <v>3226</v>
      </c>
      <c r="F4235" s="559">
        <v>700292</v>
      </c>
      <c r="G4235" s="558" t="s">
        <v>3223</v>
      </c>
      <c r="H4235" s="564">
        <v>40015</v>
      </c>
      <c r="I4235" s="563">
        <v>337.35</v>
      </c>
      <c r="J4235" s="563">
        <v>-337.35</v>
      </c>
      <c r="K4235" s="582">
        <f t="shared" si="195"/>
        <v>0</v>
      </c>
      <c r="L4235" s="563">
        <f t="shared" si="196"/>
        <v>0</v>
      </c>
      <c r="M4235" s="563">
        <f t="shared" si="197"/>
        <v>371.08500000000004</v>
      </c>
      <c r="N4235" s="580"/>
    </row>
    <row r="4236" spans="4:14" x14ac:dyDescent="0.25">
      <c r="D4236" s="559" t="s">
        <v>867</v>
      </c>
      <c r="E4236" s="558" t="s">
        <v>3227</v>
      </c>
      <c r="F4236" s="559">
        <v>700293</v>
      </c>
      <c r="G4236" s="558" t="s">
        <v>3223</v>
      </c>
      <c r="H4236" s="564">
        <v>40015</v>
      </c>
      <c r="I4236" s="563">
        <v>220.35</v>
      </c>
      <c r="J4236" s="563">
        <v>-220.35</v>
      </c>
      <c r="K4236" s="582">
        <f t="shared" si="195"/>
        <v>0</v>
      </c>
      <c r="L4236" s="563">
        <f t="shared" si="196"/>
        <v>0</v>
      </c>
      <c r="M4236" s="563">
        <f t="shared" si="197"/>
        <v>242.38500000000002</v>
      </c>
      <c r="N4236" s="580"/>
    </row>
    <row r="4237" spans="4:14" x14ac:dyDescent="0.25">
      <c r="D4237" s="559" t="s">
        <v>867</v>
      </c>
      <c r="E4237" s="558" t="s">
        <v>3228</v>
      </c>
      <c r="F4237" s="559">
        <v>700294</v>
      </c>
      <c r="G4237" s="558" t="s">
        <v>3229</v>
      </c>
      <c r="H4237" s="564">
        <v>40015</v>
      </c>
      <c r="I4237" s="563">
        <v>181.35</v>
      </c>
      <c r="J4237" s="563">
        <v>-181.35</v>
      </c>
      <c r="K4237" s="582">
        <f t="shared" si="195"/>
        <v>0</v>
      </c>
      <c r="L4237" s="563">
        <f t="shared" si="196"/>
        <v>0</v>
      </c>
      <c r="M4237" s="563">
        <f t="shared" si="197"/>
        <v>199.48500000000001</v>
      </c>
      <c r="N4237" s="580"/>
    </row>
    <row r="4238" spans="4:14" x14ac:dyDescent="0.25">
      <c r="D4238" s="559" t="s">
        <v>867</v>
      </c>
      <c r="E4238" s="558" t="s">
        <v>3230</v>
      </c>
      <c r="F4238" s="559">
        <v>700295</v>
      </c>
      <c r="G4238" s="558" t="s">
        <v>3229</v>
      </c>
      <c r="H4238" s="564">
        <v>40015</v>
      </c>
      <c r="I4238" s="563">
        <v>181.35</v>
      </c>
      <c r="J4238" s="563">
        <v>-181.35</v>
      </c>
      <c r="K4238" s="582">
        <f t="shared" si="195"/>
        <v>0</v>
      </c>
      <c r="L4238" s="563">
        <f t="shared" si="196"/>
        <v>0</v>
      </c>
      <c r="M4238" s="563">
        <f t="shared" si="197"/>
        <v>199.48500000000001</v>
      </c>
      <c r="N4238" s="580"/>
    </row>
    <row r="4239" spans="4:14" x14ac:dyDescent="0.25">
      <c r="D4239" s="559" t="s">
        <v>867</v>
      </c>
      <c r="E4239" s="558" t="s">
        <v>3231</v>
      </c>
      <c r="F4239" s="559">
        <v>700297</v>
      </c>
      <c r="G4239" s="558" t="s">
        <v>3229</v>
      </c>
      <c r="H4239" s="564">
        <v>40015</v>
      </c>
      <c r="I4239" s="563">
        <v>688.35</v>
      </c>
      <c r="J4239" s="563">
        <v>-585</v>
      </c>
      <c r="K4239" s="582">
        <f t="shared" si="195"/>
        <v>103.35000000000002</v>
      </c>
      <c r="L4239" s="563">
        <f t="shared" si="196"/>
        <v>113.68500000000003</v>
      </c>
      <c r="M4239" s="563">
        <f t="shared" si="197"/>
        <v>757.18500000000006</v>
      </c>
      <c r="N4239" s="580"/>
    </row>
    <row r="4240" spans="4:14" x14ac:dyDescent="0.25">
      <c r="D4240" s="559" t="s">
        <v>867</v>
      </c>
      <c r="E4240" s="558" t="s">
        <v>3232</v>
      </c>
      <c r="F4240" s="559">
        <v>700300</v>
      </c>
      <c r="G4240" s="558" t="s">
        <v>3229</v>
      </c>
      <c r="H4240" s="564">
        <v>40015</v>
      </c>
      <c r="I4240" s="563">
        <v>493.35</v>
      </c>
      <c r="J4240" s="563">
        <v>-493.35</v>
      </c>
      <c r="K4240" s="582">
        <f t="shared" si="195"/>
        <v>0</v>
      </c>
      <c r="L4240" s="563">
        <f t="shared" si="196"/>
        <v>0</v>
      </c>
      <c r="M4240" s="563">
        <f t="shared" si="197"/>
        <v>542.68500000000006</v>
      </c>
      <c r="N4240" s="580"/>
    </row>
    <row r="4241" spans="4:14" x14ac:dyDescent="0.25">
      <c r="D4241" s="559" t="s">
        <v>867</v>
      </c>
      <c r="E4241" s="558" t="s">
        <v>3233</v>
      </c>
      <c r="F4241" s="559">
        <v>700302</v>
      </c>
      <c r="G4241" s="558" t="s">
        <v>3229</v>
      </c>
      <c r="H4241" s="564">
        <v>40015</v>
      </c>
      <c r="I4241" s="563">
        <v>493.35</v>
      </c>
      <c r="J4241" s="563">
        <v>-493.35</v>
      </c>
      <c r="K4241" s="582">
        <f t="shared" si="195"/>
        <v>0</v>
      </c>
      <c r="L4241" s="563">
        <f t="shared" si="196"/>
        <v>0</v>
      </c>
      <c r="M4241" s="563">
        <f t="shared" si="197"/>
        <v>542.68500000000006</v>
      </c>
      <c r="N4241" s="580"/>
    </row>
    <row r="4242" spans="4:14" x14ac:dyDescent="0.25">
      <c r="D4242" s="559" t="s">
        <v>867</v>
      </c>
      <c r="E4242" s="558" t="s">
        <v>3234</v>
      </c>
      <c r="F4242" s="559">
        <v>700304</v>
      </c>
      <c r="G4242" s="558" t="s">
        <v>3235</v>
      </c>
      <c r="H4242" s="564">
        <v>40015</v>
      </c>
      <c r="I4242" s="563">
        <v>454.35</v>
      </c>
      <c r="J4242" s="563">
        <v>-454.35</v>
      </c>
      <c r="K4242" s="582">
        <f t="shared" si="195"/>
        <v>0</v>
      </c>
      <c r="L4242" s="563">
        <f t="shared" si="196"/>
        <v>0</v>
      </c>
      <c r="M4242" s="563">
        <f t="shared" si="197"/>
        <v>499.78500000000008</v>
      </c>
      <c r="N4242" s="580"/>
    </row>
    <row r="4243" spans="4:14" x14ac:dyDescent="0.25">
      <c r="D4243" s="559" t="s">
        <v>867</v>
      </c>
      <c r="E4243" s="558" t="s">
        <v>3236</v>
      </c>
      <c r="F4243" s="559">
        <v>700306</v>
      </c>
      <c r="G4243" s="558" t="s">
        <v>3235</v>
      </c>
      <c r="H4243" s="564">
        <v>40015</v>
      </c>
      <c r="I4243" s="563">
        <v>1195.3499999999999</v>
      </c>
      <c r="J4243" s="563">
        <v>-585</v>
      </c>
      <c r="K4243" s="582">
        <f t="shared" si="195"/>
        <v>610.34999999999991</v>
      </c>
      <c r="L4243" s="563">
        <f t="shared" si="196"/>
        <v>671.38499999999999</v>
      </c>
      <c r="M4243" s="563">
        <f t="shared" si="197"/>
        <v>1314.885</v>
      </c>
      <c r="N4243" s="580"/>
    </row>
    <row r="4244" spans="4:14" x14ac:dyDescent="0.25">
      <c r="D4244" s="559" t="s">
        <v>867</v>
      </c>
      <c r="E4244" s="558" t="s">
        <v>3237</v>
      </c>
      <c r="F4244" s="559">
        <v>700307</v>
      </c>
      <c r="G4244" s="558" t="s">
        <v>3235</v>
      </c>
      <c r="H4244" s="564">
        <v>40015</v>
      </c>
      <c r="I4244" s="563">
        <v>493.35</v>
      </c>
      <c r="J4244" s="563">
        <v>-493.35</v>
      </c>
      <c r="K4244" s="582">
        <f t="shared" si="195"/>
        <v>0</v>
      </c>
      <c r="L4244" s="563">
        <f t="shared" si="196"/>
        <v>0</v>
      </c>
      <c r="M4244" s="563">
        <f t="shared" si="197"/>
        <v>542.68500000000006</v>
      </c>
      <c r="N4244" s="580"/>
    </row>
    <row r="4245" spans="4:14" x14ac:dyDescent="0.25">
      <c r="D4245" s="559" t="s">
        <v>867</v>
      </c>
      <c r="E4245" s="558" t="s">
        <v>3238</v>
      </c>
      <c r="F4245" s="559">
        <v>700311</v>
      </c>
      <c r="G4245" s="558" t="s">
        <v>3235</v>
      </c>
      <c r="H4245" s="564">
        <v>40015</v>
      </c>
      <c r="I4245" s="563">
        <v>337.35</v>
      </c>
      <c r="J4245" s="563">
        <v>-337.35</v>
      </c>
      <c r="K4245" s="582">
        <f t="shared" si="195"/>
        <v>0</v>
      </c>
      <c r="L4245" s="563">
        <f t="shared" si="196"/>
        <v>0</v>
      </c>
      <c r="M4245" s="563">
        <f t="shared" si="197"/>
        <v>371.08500000000004</v>
      </c>
      <c r="N4245" s="580"/>
    </row>
    <row r="4246" spans="4:14" x14ac:dyDescent="0.25">
      <c r="D4246" s="559" t="s">
        <v>867</v>
      </c>
      <c r="E4246" s="558" t="s">
        <v>3239</v>
      </c>
      <c r="F4246" s="559">
        <v>700315</v>
      </c>
      <c r="G4246" s="558" t="s">
        <v>3235</v>
      </c>
      <c r="H4246" s="564">
        <v>40015</v>
      </c>
      <c r="I4246" s="563">
        <v>493.35</v>
      </c>
      <c r="J4246" s="563">
        <v>-493.35</v>
      </c>
      <c r="K4246" s="582">
        <f t="shared" si="195"/>
        <v>0</v>
      </c>
      <c r="L4246" s="563">
        <f t="shared" si="196"/>
        <v>0</v>
      </c>
      <c r="M4246" s="563">
        <f t="shared" si="197"/>
        <v>542.68500000000006</v>
      </c>
      <c r="N4246" s="580"/>
    </row>
    <row r="4247" spans="4:14" x14ac:dyDescent="0.25">
      <c r="D4247" s="559" t="s">
        <v>867</v>
      </c>
      <c r="E4247" s="558" t="s">
        <v>3240</v>
      </c>
      <c r="F4247" s="559">
        <v>700316</v>
      </c>
      <c r="G4247" s="558" t="s">
        <v>3241</v>
      </c>
      <c r="H4247" s="564">
        <v>40015</v>
      </c>
      <c r="I4247" s="563">
        <v>688.35</v>
      </c>
      <c r="J4247" s="563">
        <v>-585</v>
      </c>
      <c r="K4247" s="582">
        <f t="shared" si="195"/>
        <v>103.35000000000002</v>
      </c>
      <c r="L4247" s="563">
        <f t="shared" si="196"/>
        <v>113.68500000000003</v>
      </c>
      <c r="M4247" s="563">
        <f t="shared" si="197"/>
        <v>757.18500000000006</v>
      </c>
      <c r="N4247" s="580"/>
    </row>
    <row r="4248" spans="4:14" x14ac:dyDescent="0.25">
      <c r="D4248" s="559" t="s">
        <v>867</v>
      </c>
      <c r="E4248" s="558" t="s">
        <v>3242</v>
      </c>
      <c r="F4248" s="559">
        <v>700327</v>
      </c>
      <c r="G4248" s="558" t="s">
        <v>3241</v>
      </c>
      <c r="H4248" s="564">
        <v>40015</v>
      </c>
      <c r="I4248" s="563">
        <v>766.35</v>
      </c>
      <c r="J4248" s="563">
        <v>-585</v>
      </c>
      <c r="K4248" s="582">
        <f t="shared" si="195"/>
        <v>181.35000000000002</v>
      </c>
      <c r="L4248" s="563">
        <f t="shared" si="196"/>
        <v>199.48500000000004</v>
      </c>
      <c r="M4248" s="563">
        <f t="shared" si="197"/>
        <v>842.98500000000013</v>
      </c>
      <c r="N4248" s="580"/>
    </row>
    <row r="4249" spans="4:14" x14ac:dyDescent="0.25">
      <c r="D4249" s="559" t="s">
        <v>867</v>
      </c>
      <c r="E4249" s="558" t="s">
        <v>3243</v>
      </c>
      <c r="F4249" s="559">
        <v>700330</v>
      </c>
      <c r="G4249" s="558" t="s">
        <v>3241</v>
      </c>
      <c r="H4249" s="564">
        <v>40015</v>
      </c>
      <c r="I4249" s="563">
        <v>844.35</v>
      </c>
      <c r="J4249" s="563">
        <v>-585</v>
      </c>
      <c r="K4249" s="582">
        <f t="shared" si="195"/>
        <v>259.35000000000002</v>
      </c>
      <c r="L4249" s="563">
        <f t="shared" si="196"/>
        <v>285.28500000000003</v>
      </c>
      <c r="M4249" s="563">
        <f t="shared" si="197"/>
        <v>928.78500000000008</v>
      </c>
      <c r="N4249" s="580"/>
    </row>
    <row r="4250" spans="4:14" x14ac:dyDescent="0.25">
      <c r="D4250" s="559" t="s">
        <v>867</v>
      </c>
      <c r="E4250" s="558" t="s">
        <v>3244</v>
      </c>
      <c r="F4250" s="559">
        <v>700333</v>
      </c>
      <c r="G4250" s="558" t="s">
        <v>3241</v>
      </c>
      <c r="H4250" s="564">
        <v>40015</v>
      </c>
      <c r="I4250" s="563">
        <v>415.35</v>
      </c>
      <c r="J4250" s="563">
        <v>-415.35</v>
      </c>
      <c r="K4250" s="582">
        <f t="shared" si="195"/>
        <v>0</v>
      </c>
      <c r="L4250" s="563">
        <f t="shared" si="196"/>
        <v>0</v>
      </c>
      <c r="M4250" s="563">
        <f t="shared" si="197"/>
        <v>456.88500000000005</v>
      </c>
      <c r="N4250" s="580"/>
    </row>
    <row r="4251" spans="4:14" x14ac:dyDescent="0.25">
      <c r="D4251" s="559" t="s">
        <v>867</v>
      </c>
      <c r="E4251" s="558" t="s">
        <v>3245</v>
      </c>
      <c r="F4251" s="559">
        <v>700334</v>
      </c>
      <c r="G4251" s="558" t="s">
        <v>3241</v>
      </c>
      <c r="H4251" s="564">
        <v>40015</v>
      </c>
      <c r="I4251" s="563">
        <v>493.35</v>
      </c>
      <c r="J4251" s="563">
        <v>-493.35</v>
      </c>
      <c r="K4251" s="582">
        <f t="shared" si="195"/>
        <v>0</v>
      </c>
      <c r="L4251" s="563">
        <f t="shared" si="196"/>
        <v>0</v>
      </c>
      <c r="M4251" s="563">
        <f t="shared" si="197"/>
        <v>542.68500000000006</v>
      </c>
      <c r="N4251" s="580"/>
    </row>
    <row r="4252" spans="4:14" x14ac:dyDescent="0.25">
      <c r="D4252" s="559" t="s">
        <v>867</v>
      </c>
      <c r="E4252" s="558" t="s">
        <v>3246</v>
      </c>
      <c r="F4252" s="559">
        <v>700335</v>
      </c>
      <c r="G4252" s="558" t="s">
        <v>3247</v>
      </c>
      <c r="H4252" s="564">
        <v>40015</v>
      </c>
      <c r="I4252" s="563">
        <v>493.35</v>
      </c>
      <c r="J4252" s="563">
        <v>-493.35</v>
      </c>
      <c r="K4252" s="582">
        <f t="shared" si="195"/>
        <v>0</v>
      </c>
      <c r="L4252" s="563">
        <f t="shared" si="196"/>
        <v>0</v>
      </c>
      <c r="M4252" s="563">
        <f t="shared" si="197"/>
        <v>542.68500000000006</v>
      </c>
      <c r="N4252" s="580"/>
    </row>
    <row r="4253" spans="4:14" x14ac:dyDescent="0.25">
      <c r="D4253" s="559" t="s">
        <v>867</v>
      </c>
      <c r="E4253" s="558" t="s">
        <v>3248</v>
      </c>
      <c r="F4253" s="559">
        <v>700336</v>
      </c>
      <c r="G4253" s="558" t="s">
        <v>3247</v>
      </c>
      <c r="H4253" s="564">
        <v>40015</v>
      </c>
      <c r="I4253" s="563">
        <v>493.35</v>
      </c>
      <c r="J4253" s="563">
        <v>-493.35</v>
      </c>
      <c r="K4253" s="582">
        <f t="shared" si="195"/>
        <v>0</v>
      </c>
      <c r="L4253" s="563">
        <f t="shared" si="196"/>
        <v>0</v>
      </c>
      <c r="M4253" s="563">
        <f t="shared" si="197"/>
        <v>542.68500000000006</v>
      </c>
      <c r="N4253" s="580"/>
    </row>
    <row r="4254" spans="4:14" x14ac:dyDescent="0.25">
      <c r="D4254" s="559" t="s">
        <v>867</v>
      </c>
      <c r="E4254" s="558" t="s">
        <v>3249</v>
      </c>
      <c r="F4254" s="559">
        <v>700337</v>
      </c>
      <c r="G4254" s="558" t="s">
        <v>3247</v>
      </c>
      <c r="H4254" s="564">
        <v>40015</v>
      </c>
      <c r="I4254" s="563">
        <v>493.35</v>
      </c>
      <c r="J4254" s="563">
        <v>-493.35</v>
      </c>
      <c r="K4254" s="582">
        <f t="shared" si="195"/>
        <v>0</v>
      </c>
      <c r="L4254" s="563">
        <f t="shared" si="196"/>
        <v>0</v>
      </c>
      <c r="M4254" s="563">
        <f t="shared" si="197"/>
        <v>542.68500000000006</v>
      </c>
      <c r="N4254" s="580"/>
    </row>
    <row r="4255" spans="4:14" x14ac:dyDescent="0.25">
      <c r="D4255" s="559" t="s">
        <v>867</v>
      </c>
      <c r="E4255" s="558" t="s">
        <v>3250</v>
      </c>
      <c r="F4255" s="559">
        <v>700338</v>
      </c>
      <c r="G4255" s="558" t="s">
        <v>3247</v>
      </c>
      <c r="H4255" s="564">
        <v>40015</v>
      </c>
      <c r="I4255" s="563">
        <v>493.35</v>
      </c>
      <c r="J4255" s="563">
        <v>-493.35</v>
      </c>
      <c r="K4255" s="582">
        <f t="shared" si="195"/>
        <v>0</v>
      </c>
      <c r="L4255" s="563">
        <f t="shared" si="196"/>
        <v>0</v>
      </c>
      <c r="M4255" s="563">
        <f t="shared" si="197"/>
        <v>542.68500000000006</v>
      </c>
      <c r="N4255" s="580"/>
    </row>
    <row r="4256" spans="4:14" x14ac:dyDescent="0.25">
      <c r="D4256" s="559" t="s">
        <v>867</v>
      </c>
      <c r="E4256" s="558" t="s">
        <v>3251</v>
      </c>
      <c r="F4256" s="559">
        <v>700340</v>
      </c>
      <c r="G4256" s="558" t="s">
        <v>3247</v>
      </c>
      <c r="H4256" s="564">
        <v>40015</v>
      </c>
      <c r="I4256" s="563">
        <v>493.35</v>
      </c>
      <c r="J4256" s="563">
        <v>-493.35</v>
      </c>
      <c r="K4256" s="582">
        <f t="shared" si="195"/>
        <v>0</v>
      </c>
      <c r="L4256" s="563">
        <f t="shared" si="196"/>
        <v>0</v>
      </c>
      <c r="M4256" s="563">
        <f t="shared" si="197"/>
        <v>542.68500000000006</v>
      </c>
      <c r="N4256" s="580"/>
    </row>
    <row r="4257" spans="4:16" x14ac:dyDescent="0.25">
      <c r="D4257" s="559" t="s">
        <v>867</v>
      </c>
      <c r="E4257" s="558" t="s">
        <v>3252</v>
      </c>
      <c r="F4257" s="559">
        <v>700341</v>
      </c>
      <c r="G4257" s="558" t="s">
        <v>3253</v>
      </c>
      <c r="H4257" s="564">
        <v>40015</v>
      </c>
      <c r="I4257" s="563">
        <v>493.35</v>
      </c>
      <c r="J4257" s="563">
        <v>-493.35</v>
      </c>
      <c r="K4257" s="582">
        <f t="shared" si="195"/>
        <v>0</v>
      </c>
      <c r="L4257" s="563">
        <f t="shared" si="196"/>
        <v>0</v>
      </c>
      <c r="M4257" s="563">
        <f t="shared" si="197"/>
        <v>542.68500000000006</v>
      </c>
      <c r="N4257" s="580"/>
    </row>
    <row r="4258" spans="4:16" x14ac:dyDescent="0.25">
      <c r="D4258" s="559" t="s">
        <v>867</v>
      </c>
      <c r="E4258" s="558" t="s">
        <v>3254</v>
      </c>
      <c r="F4258" s="559">
        <v>700342</v>
      </c>
      <c r="G4258" s="558" t="s">
        <v>3253</v>
      </c>
      <c r="H4258" s="564">
        <v>40015</v>
      </c>
      <c r="I4258" s="563">
        <v>493.35</v>
      </c>
      <c r="J4258" s="563">
        <v>-493.35</v>
      </c>
      <c r="K4258" s="582">
        <f t="shared" si="195"/>
        <v>0</v>
      </c>
      <c r="L4258" s="563">
        <f t="shared" si="196"/>
        <v>0</v>
      </c>
      <c r="M4258" s="563">
        <f t="shared" si="197"/>
        <v>542.68500000000006</v>
      </c>
      <c r="N4258" s="580"/>
    </row>
    <row r="4259" spans="4:16" x14ac:dyDescent="0.25">
      <c r="D4259" s="559" t="s">
        <v>867</v>
      </c>
      <c r="E4259" s="558" t="s">
        <v>3255</v>
      </c>
      <c r="F4259" s="559">
        <v>700345</v>
      </c>
      <c r="G4259" s="558" t="s">
        <v>3253</v>
      </c>
      <c r="H4259" s="564">
        <v>40015</v>
      </c>
      <c r="I4259" s="563">
        <v>25.35</v>
      </c>
      <c r="J4259" s="563">
        <v>-25.35</v>
      </c>
      <c r="K4259" s="582">
        <f t="shared" si="195"/>
        <v>0</v>
      </c>
      <c r="L4259" s="563">
        <f t="shared" si="196"/>
        <v>0</v>
      </c>
      <c r="M4259" s="563">
        <f t="shared" si="197"/>
        <v>27.885000000000005</v>
      </c>
      <c r="N4259" s="580"/>
    </row>
    <row r="4260" spans="4:16" x14ac:dyDescent="0.25">
      <c r="D4260" s="559" t="s">
        <v>867</v>
      </c>
      <c r="E4260" s="558" t="s">
        <v>3256</v>
      </c>
      <c r="F4260" s="559">
        <v>700346</v>
      </c>
      <c r="G4260" s="558" t="s">
        <v>3253</v>
      </c>
      <c r="H4260" s="564">
        <v>40015</v>
      </c>
      <c r="I4260" s="563">
        <v>142.35</v>
      </c>
      <c r="J4260" s="563">
        <v>-142.35</v>
      </c>
      <c r="K4260" s="582">
        <f t="shared" si="195"/>
        <v>0</v>
      </c>
      <c r="L4260" s="563">
        <f t="shared" si="196"/>
        <v>0</v>
      </c>
      <c r="M4260" s="563">
        <f t="shared" si="197"/>
        <v>156.58500000000001</v>
      </c>
      <c r="N4260" s="580"/>
    </row>
    <row r="4261" spans="4:16" x14ac:dyDescent="0.25">
      <c r="D4261" s="559" t="s">
        <v>867</v>
      </c>
      <c r="E4261" s="558" t="s">
        <v>3257</v>
      </c>
      <c r="F4261" s="559">
        <v>700348</v>
      </c>
      <c r="G4261" s="558" t="s">
        <v>3253</v>
      </c>
      <c r="H4261" s="564">
        <v>40015</v>
      </c>
      <c r="I4261" s="563">
        <v>766.35</v>
      </c>
      <c r="J4261" s="563">
        <v>-585</v>
      </c>
      <c r="K4261" s="582">
        <f t="shared" si="195"/>
        <v>181.35000000000002</v>
      </c>
      <c r="L4261" s="563">
        <f t="shared" si="196"/>
        <v>199.48500000000004</v>
      </c>
      <c r="M4261" s="563">
        <f t="shared" si="197"/>
        <v>842.98500000000013</v>
      </c>
      <c r="N4261" s="580"/>
    </row>
    <row r="4262" spans="4:16" x14ac:dyDescent="0.25">
      <c r="D4262" s="559" t="s">
        <v>867</v>
      </c>
      <c r="E4262" s="558" t="s">
        <v>3258</v>
      </c>
      <c r="F4262" s="559">
        <v>700350</v>
      </c>
      <c r="G4262" s="558" t="s">
        <v>3259</v>
      </c>
      <c r="H4262" s="564">
        <v>40015</v>
      </c>
      <c r="I4262" s="563">
        <v>454.35</v>
      </c>
      <c r="J4262" s="563">
        <v>-454.35</v>
      </c>
      <c r="K4262" s="582">
        <f t="shared" si="195"/>
        <v>0</v>
      </c>
      <c r="L4262" s="563">
        <f t="shared" si="196"/>
        <v>0</v>
      </c>
      <c r="M4262" s="563">
        <f t="shared" si="197"/>
        <v>499.78500000000008</v>
      </c>
      <c r="N4262" s="580"/>
    </row>
    <row r="4263" spans="4:16" x14ac:dyDescent="0.25">
      <c r="D4263" s="559" t="s">
        <v>867</v>
      </c>
      <c r="E4263" s="558" t="s">
        <v>3260</v>
      </c>
      <c r="F4263" s="559">
        <v>700353</v>
      </c>
      <c r="G4263" s="558" t="s">
        <v>3259</v>
      </c>
      <c r="H4263" s="564">
        <v>40015</v>
      </c>
      <c r="I4263" s="563">
        <v>922.35</v>
      </c>
      <c r="J4263" s="563">
        <v>-585</v>
      </c>
      <c r="K4263" s="582">
        <f t="shared" si="195"/>
        <v>337.35</v>
      </c>
      <c r="L4263" s="563">
        <f t="shared" si="196"/>
        <v>371.08500000000004</v>
      </c>
      <c r="M4263" s="563">
        <f t="shared" si="197"/>
        <v>1014.5850000000002</v>
      </c>
      <c r="N4263" s="580"/>
    </row>
    <row r="4264" spans="4:16" x14ac:dyDescent="0.25">
      <c r="D4264" s="559" t="s">
        <v>867</v>
      </c>
      <c r="E4264" s="558" t="s">
        <v>3261</v>
      </c>
      <c r="F4264" s="559">
        <v>700354</v>
      </c>
      <c r="G4264" s="558" t="s">
        <v>3259</v>
      </c>
      <c r="H4264" s="564">
        <v>40015</v>
      </c>
      <c r="I4264" s="563">
        <v>493.35</v>
      </c>
      <c r="J4264" s="563">
        <v>-493.35</v>
      </c>
      <c r="K4264" s="582">
        <f t="shared" si="195"/>
        <v>0</v>
      </c>
      <c r="L4264" s="563">
        <f t="shared" si="196"/>
        <v>0</v>
      </c>
      <c r="M4264" s="563">
        <f t="shared" si="197"/>
        <v>542.68500000000006</v>
      </c>
      <c r="N4264" s="580"/>
    </row>
    <row r="4265" spans="4:16" x14ac:dyDescent="0.25">
      <c r="D4265" s="559" t="s">
        <v>867</v>
      </c>
      <c r="E4265" s="558" t="s">
        <v>3262</v>
      </c>
      <c r="F4265" s="559">
        <v>700356</v>
      </c>
      <c r="G4265" s="558" t="s">
        <v>3259</v>
      </c>
      <c r="H4265" s="564">
        <v>40015</v>
      </c>
      <c r="I4265" s="563">
        <v>454.35</v>
      </c>
      <c r="J4265" s="563">
        <v>-454.35</v>
      </c>
      <c r="K4265" s="582">
        <f t="shared" ref="K4265:K4328" si="198">+I4265+J4265</f>
        <v>0</v>
      </c>
      <c r="L4265" s="563">
        <f t="shared" ref="L4265:L4328" si="199">+K4265*1.1</f>
        <v>0</v>
      </c>
      <c r="M4265" s="563">
        <f t="shared" ref="M4265:M4328" si="200">+I4265*1.1</f>
        <v>499.78500000000008</v>
      </c>
      <c r="N4265" s="580"/>
    </row>
    <row r="4266" spans="4:16" x14ac:dyDescent="0.25">
      <c r="D4266" s="559" t="s">
        <v>867</v>
      </c>
      <c r="E4266" s="558" t="s">
        <v>3263</v>
      </c>
      <c r="F4266" s="559">
        <v>700361</v>
      </c>
      <c r="G4266" s="558" t="s">
        <v>3259</v>
      </c>
      <c r="H4266" s="564">
        <v>40015</v>
      </c>
      <c r="I4266" s="563">
        <v>688.35</v>
      </c>
      <c r="J4266" s="563">
        <v>-585</v>
      </c>
      <c r="K4266" s="582">
        <f t="shared" si="198"/>
        <v>103.35000000000002</v>
      </c>
      <c r="L4266" s="563">
        <f t="shared" si="199"/>
        <v>113.68500000000003</v>
      </c>
      <c r="M4266" s="563">
        <f t="shared" si="200"/>
        <v>757.18500000000006</v>
      </c>
      <c r="N4266" s="580"/>
    </row>
    <row r="4267" spans="4:16" x14ac:dyDescent="0.25">
      <c r="D4267" s="559" t="s">
        <v>867</v>
      </c>
      <c r="E4267" s="558" t="s">
        <v>3264</v>
      </c>
      <c r="F4267" s="559">
        <v>700364</v>
      </c>
      <c r="G4267" s="558" t="s">
        <v>1976</v>
      </c>
      <c r="H4267" s="564">
        <v>40015</v>
      </c>
      <c r="I4267" s="563">
        <v>298.35000000000002</v>
      </c>
      <c r="J4267" s="563">
        <v>-298.35000000000002</v>
      </c>
      <c r="K4267" s="582">
        <f t="shared" si="198"/>
        <v>0</v>
      </c>
      <c r="L4267" s="563">
        <f t="shared" si="199"/>
        <v>0</v>
      </c>
      <c r="M4267" s="563">
        <f t="shared" si="200"/>
        <v>328.18500000000006</v>
      </c>
      <c r="N4267" s="580"/>
    </row>
    <row r="4268" spans="4:16" x14ac:dyDescent="0.25">
      <c r="D4268" s="559" t="s">
        <v>867</v>
      </c>
      <c r="E4268" s="558" t="s">
        <v>1975</v>
      </c>
      <c r="F4268" s="559">
        <v>702391</v>
      </c>
      <c r="G4268" s="558" t="s">
        <v>1976</v>
      </c>
      <c r="H4268" s="564">
        <v>40015</v>
      </c>
      <c r="I4268" s="563">
        <v>805.35</v>
      </c>
      <c r="J4268" s="563">
        <v>-585</v>
      </c>
      <c r="K4268" s="563">
        <f t="shared" si="198"/>
        <v>220.35000000000002</v>
      </c>
      <c r="L4268" s="563">
        <f t="shared" si="199"/>
        <v>242.38500000000005</v>
      </c>
      <c r="M4268" s="563">
        <f t="shared" si="200"/>
        <v>885.8850000000001</v>
      </c>
      <c r="N4268" s="580"/>
      <c r="O4268" s="558"/>
      <c r="P4268" s="564"/>
    </row>
    <row r="4269" spans="4:16" x14ac:dyDescent="0.25">
      <c r="D4269" s="559" t="s">
        <v>867</v>
      </c>
      <c r="E4269" s="558" t="s">
        <v>3265</v>
      </c>
      <c r="F4269" s="559">
        <v>700368</v>
      </c>
      <c r="G4269" s="558" t="s">
        <v>1976</v>
      </c>
      <c r="H4269" s="564">
        <v>40015</v>
      </c>
      <c r="I4269" s="563">
        <v>688.35</v>
      </c>
      <c r="J4269" s="563">
        <v>-585</v>
      </c>
      <c r="K4269" s="582">
        <f t="shared" si="198"/>
        <v>103.35000000000002</v>
      </c>
      <c r="L4269" s="563">
        <f t="shared" si="199"/>
        <v>113.68500000000003</v>
      </c>
      <c r="M4269" s="563">
        <f t="shared" si="200"/>
        <v>757.18500000000006</v>
      </c>
      <c r="N4269" s="580"/>
    </row>
    <row r="4270" spans="4:16" x14ac:dyDescent="0.25">
      <c r="D4270" s="559" t="s">
        <v>867</v>
      </c>
      <c r="E4270" s="558" t="s">
        <v>3266</v>
      </c>
      <c r="F4270" s="559">
        <v>700369</v>
      </c>
      <c r="G4270" s="558" t="s">
        <v>1976</v>
      </c>
      <c r="H4270" s="564">
        <v>40015</v>
      </c>
      <c r="I4270" s="563">
        <v>688.35</v>
      </c>
      <c r="J4270" s="563">
        <v>-585</v>
      </c>
      <c r="K4270" s="582">
        <f t="shared" si="198"/>
        <v>103.35000000000002</v>
      </c>
      <c r="L4270" s="563">
        <f t="shared" si="199"/>
        <v>113.68500000000003</v>
      </c>
      <c r="M4270" s="563">
        <f t="shared" si="200"/>
        <v>757.18500000000006</v>
      </c>
      <c r="N4270" s="580"/>
    </row>
    <row r="4271" spans="4:16" x14ac:dyDescent="0.25">
      <c r="D4271" s="559" t="s">
        <v>867</v>
      </c>
      <c r="E4271" s="558" t="s">
        <v>3267</v>
      </c>
      <c r="F4271" s="559">
        <v>700370</v>
      </c>
      <c r="G4271" s="558" t="s">
        <v>1976</v>
      </c>
      <c r="H4271" s="564">
        <v>40015</v>
      </c>
      <c r="I4271" s="563">
        <v>688.35</v>
      </c>
      <c r="J4271" s="563">
        <v>-585</v>
      </c>
      <c r="K4271" s="582">
        <f t="shared" si="198"/>
        <v>103.35000000000002</v>
      </c>
      <c r="L4271" s="563">
        <f t="shared" si="199"/>
        <v>113.68500000000003</v>
      </c>
      <c r="M4271" s="563">
        <f t="shared" si="200"/>
        <v>757.18500000000006</v>
      </c>
      <c r="N4271" s="580"/>
    </row>
    <row r="4272" spans="4:16" x14ac:dyDescent="0.25">
      <c r="D4272" s="559" t="s">
        <v>867</v>
      </c>
      <c r="E4272" s="558" t="s">
        <v>3268</v>
      </c>
      <c r="F4272" s="559">
        <v>700373</v>
      </c>
      <c r="G4272" s="558" t="s">
        <v>3269</v>
      </c>
      <c r="H4272" s="564">
        <v>40015</v>
      </c>
      <c r="I4272" s="563">
        <v>64.349999999999994</v>
      </c>
      <c r="J4272" s="563">
        <v>-64.349999999999994</v>
      </c>
      <c r="K4272" s="582">
        <f t="shared" si="198"/>
        <v>0</v>
      </c>
      <c r="L4272" s="563">
        <f t="shared" si="199"/>
        <v>0</v>
      </c>
      <c r="M4272" s="563">
        <f t="shared" si="200"/>
        <v>70.784999999999997</v>
      </c>
      <c r="N4272" s="580"/>
    </row>
    <row r="4273" spans="4:14" x14ac:dyDescent="0.25">
      <c r="D4273" s="559" t="s">
        <v>867</v>
      </c>
      <c r="E4273" s="558" t="s">
        <v>3270</v>
      </c>
      <c r="F4273" s="559">
        <v>700374</v>
      </c>
      <c r="G4273" s="558" t="s">
        <v>3269</v>
      </c>
      <c r="H4273" s="564">
        <v>40015</v>
      </c>
      <c r="I4273" s="563">
        <v>64.349999999999994</v>
      </c>
      <c r="J4273" s="563">
        <v>-64.349999999999994</v>
      </c>
      <c r="K4273" s="582">
        <f t="shared" si="198"/>
        <v>0</v>
      </c>
      <c r="L4273" s="563">
        <f t="shared" si="199"/>
        <v>0</v>
      </c>
      <c r="M4273" s="563">
        <f t="shared" si="200"/>
        <v>70.784999999999997</v>
      </c>
      <c r="N4273" s="580"/>
    </row>
    <row r="4274" spans="4:14" x14ac:dyDescent="0.25">
      <c r="D4274" s="559" t="s">
        <v>867</v>
      </c>
      <c r="E4274" s="558" t="s">
        <v>3271</v>
      </c>
      <c r="F4274" s="559">
        <v>700375</v>
      </c>
      <c r="G4274" s="558" t="s">
        <v>3269</v>
      </c>
      <c r="H4274" s="564">
        <v>40015</v>
      </c>
      <c r="I4274" s="563">
        <v>493.35</v>
      </c>
      <c r="J4274" s="563">
        <v>-493.35</v>
      </c>
      <c r="K4274" s="582">
        <f t="shared" si="198"/>
        <v>0</v>
      </c>
      <c r="L4274" s="563">
        <f t="shared" si="199"/>
        <v>0</v>
      </c>
      <c r="M4274" s="563">
        <f t="shared" si="200"/>
        <v>542.68500000000006</v>
      </c>
      <c r="N4274" s="580"/>
    </row>
    <row r="4275" spans="4:14" x14ac:dyDescent="0.25">
      <c r="D4275" s="559" t="s">
        <v>867</v>
      </c>
      <c r="E4275" s="558" t="s">
        <v>3272</v>
      </c>
      <c r="F4275" s="559">
        <v>700376</v>
      </c>
      <c r="G4275" s="558" t="s">
        <v>3269</v>
      </c>
      <c r="H4275" s="564">
        <v>40015</v>
      </c>
      <c r="I4275" s="563">
        <v>688.35</v>
      </c>
      <c r="J4275" s="563">
        <v>-585</v>
      </c>
      <c r="K4275" s="582">
        <f t="shared" si="198"/>
        <v>103.35000000000002</v>
      </c>
      <c r="L4275" s="563">
        <f t="shared" si="199"/>
        <v>113.68500000000003</v>
      </c>
      <c r="M4275" s="563">
        <f t="shared" si="200"/>
        <v>757.18500000000006</v>
      </c>
      <c r="N4275" s="580"/>
    </row>
    <row r="4276" spans="4:14" x14ac:dyDescent="0.25">
      <c r="D4276" s="559" t="s">
        <v>867</v>
      </c>
      <c r="E4276" s="558" t="s">
        <v>3273</v>
      </c>
      <c r="F4276" s="559">
        <v>700377</v>
      </c>
      <c r="G4276" s="558" t="s">
        <v>3269</v>
      </c>
      <c r="H4276" s="564">
        <v>40015</v>
      </c>
      <c r="I4276" s="563">
        <v>493.35</v>
      </c>
      <c r="J4276" s="563">
        <v>-493.35</v>
      </c>
      <c r="K4276" s="582">
        <f t="shared" si="198"/>
        <v>0</v>
      </c>
      <c r="L4276" s="563">
        <f t="shared" si="199"/>
        <v>0</v>
      </c>
      <c r="M4276" s="563">
        <f t="shared" si="200"/>
        <v>542.68500000000006</v>
      </c>
      <c r="N4276" s="580"/>
    </row>
    <row r="4277" spans="4:14" x14ac:dyDescent="0.25">
      <c r="D4277" s="559" t="s">
        <v>867</v>
      </c>
      <c r="E4277" s="558" t="s">
        <v>3274</v>
      </c>
      <c r="F4277" s="559">
        <v>700378</v>
      </c>
      <c r="G4277" s="558" t="s">
        <v>3275</v>
      </c>
      <c r="H4277" s="564">
        <v>40015</v>
      </c>
      <c r="I4277" s="563">
        <v>376.35</v>
      </c>
      <c r="J4277" s="563">
        <v>-376.35</v>
      </c>
      <c r="K4277" s="582">
        <f t="shared" si="198"/>
        <v>0</v>
      </c>
      <c r="L4277" s="563">
        <f t="shared" si="199"/>
        <v>0</v>
      </c>
      <c r="M4277" s="563">
        <f t="shared" si="200"/>
        <v>413.98500000000007</v>
      </c>
      <c r="N4277" s="580"/>
    </row>
    <row r="4278" spans="4:14" x14ac:dyDescent="0.25">
      <c r="D4278" s="559" t="s">
        <v>867</v>
      </c>
      <c r="E4278" s="558" t="s">
        <v>3276</v>
      </c>
      <c r="F4278" s="559">
        <v>700379</v>
      </c>
      <c r="G4278" s="558" t="s">
        <v>3275</v>
      </c>
      <c r="H4278" s="564">
        <v>40015</v>
      </c>
      <c r="I4278" s="563">
        <v>493.35</v>
      </c>
      <c r="J4278" s="563">
        <v>-493.35</v>
      </c>
      <c r="K4278" s="582">
        <f t="shared" si="198"/>
        <v>0</v>
      </c>
      <c r="L4278" s="563">
        <f t="shared" si="199"/>
        <v>0</v>
      </c>
      <c r="M4278" s="563">
        <f t="shared" si="200"/>
        <v>542.68500000000006</v>
      </c>
      <c r="N4278" s="580"/>
    </row>
    <row r="4279" spans="4:14" x14ac:dyDescent="0.25">
      <c r="D4279" s="559" t="s">
        <v>867</v>
      </c>
      <c r="E4279" s="558" t="s">
        <v>3277</v>
      </c>
      <c r="F4279" s="559">
        <v>700382</v>
      </c>
      <c r="G4279" s="558" t="s">
        <v>3275</v>
      </c>
      <c r="H4279" s="564">
        <v>40015</v>
      </c>
      <c r="I4279" s="563">
        <v>25.35</v>
      </c>
      <c r="J4279" s="563">
        <v>-25.35</v>
      </c>
      <c r="K4279" s="582">
        <f t="shared" si="198"/>
        <v>0</v>
      </c>
      <c r="L4279" s="563">
        <f t="shared" si="199"/>
        <v>0</v>
      </c>
      <c r="M4279" s="563">
        <f t="shared" si="200"/>
        <v>27.885000000000005</v>
      </c>
      <c r="N4279" s="580"/>
    </row>
    <row r="4280" spans="4:14" x14ac:dyDescent="0.25">
      <c r="D4280" s="559" t="s">
        <v>867</v>
      </c>
      <c r="E4280" s="558" t="s">
        <v>259</v>
      </c>
      <c r="F4280" s="559">
        <v>702304</v>
      </c>
      <c r="G4280" s="558" t="s">
        <v>3275</v>
      </c>
      <c r="H4280" s="564">
        <v>40015</v>
      </c>
      <c r="I4280" s="563">
        <v>25.35</v>
      </c>
      <c r="J4280" s="563">
        <v>-25.35</v>
      </c>
      <c r="K4280" s="582">
        <f t="shared" si="198"/>
        <v>0</v>
      </c>
      <c r="L4280" s="563">
        <f t="shared" si="199"/>
        <v>0</v>
      </c>
      <c r="M4280" s="563">
        <f t="shared" si="200"/>
        <v>27.885000000000005</v>
      </c>
      <c r="N4280" s="580"/>
    </row>
    <row r="4281" spans="4:14" x14ac:dyDescent="0.25">
      <c r="D4281" s="559" t="s">
        <v>867</v>
      </c>
      <c r="E4281" s="558" t="s">
        <v>260</v>
      </c>
      <c r="F4281" s="559">
        <v>700388</v>
      </c>
      <c r="G4281" s="558" t="s">
        <v>3275</v>
      </c>
      <c r="H4281" s="564">
        <v>40015</v>
      </c>
      <c r="I4281" s="563">
        <v>688.35</v>
      </c>
      <c r="J4281" s="563">
        <v>-585</v>
      </c>
      <c r="K4281" s="582">
        <f t="shared" si="198"/>
        <v>103.35000000000002</v>
      </c>
      <c r="L4281" s="563">
        <f t="shared" si="199"/>
        <v>113.68500000000003</v>
      </c>
      <c r="M4281" s="563">
        <f t="shared" si="200"/>
        <v>757.18500000000006</v>
      </c>
      <c r="N4281" s="580"/>
    </row>
    <row r="4282" spans="4:14" x14ac:dyDescent="0.25">
      <c r="D4282" s="559" t="s">
        <v>867</v>
      </c>
      <c r="E4282" s="558" t="s">
        <v>261</v>
      </c>
      <c r="F4282" s="559">
        <v>700390</v>
      </c>
      <c r="G4282" s="558" t="s">
        <v>262</v>
      </c>
      <c r="H4282" s="564">
        <v>40015</v>
      </c>
      <c r="I4282" s="563">
        <v>688.35</v>
      </c>
      <c r="J4282" s="563">
        <v>-585</v>
      </c>
      <c r="K4282" s="582">
        <f t="shared" si="198"/>
        <v>103.35000000000002</v>
      </c>
      <c r="L4282" s="563">
        <f t="shared" si="199"/>
        <v>113.68500000000003</v>
      </c>
      <c r="M4282" s="563">
        <f t="shared" si="200"/>
        <v>757.18500000000006</v>
      </c>
      <c r="N4282" s="580"/>
    </row>
    <row r="4283" spans="4:14" x14ac:dyDescent="0.25">
      <c r="D4283" s="559" t="s">
        <v>867</v>
      </c>
      <c r="E4283" s="558" t="s">
        <v>263</v>
      </c>
      <c r="F4283" s="559">
        <v>700391</v>
      </c>
      <c r="G4283" s="558" t="s">
        <v>262</v>
      </c>
      <c r="H4283" s="564">
        <v>40015</v>
      </c>
      <c r="I4283" s="563">
        <v>688.35</v>
      </c>
      <c r="J4283" s="563">
        <v>-585</v>
      </c>
      <c r="K4283" s="582">
        <f t="shared" si="198"/>
        <v>103.35000000000002</v>
      </c>
      <c r="L4283" s="563">
        <f t="shared" si="199"/>
        <v>113.68500000000003</v>
      </c>
      <c r="M4283" s="563">
        <f t="shared" si="200"/>
        <v>757.18500000000006</v>
      </c>
      <c r="N4283" s="580"/>
    </row>
    <row r="4284" spans="4:14" x14ac:dyDescent="0.25">
      <c r="D4284" s="559" t="s">
        <v>867</v>
      </c>
      <c r="E4284" s="558" t="s">
        <v>264</v>
      </c>
      <c r="F4284" s="559">
        <v>700394</v>
      </c>
      <c r="G4284" s="558" t="s">
        <v>262</v>
      </c>
      <c r="H4284" s="564">
        <v>40015</v>
      </c>
      <c r="I4284" s="563">
        <v>688.35</v>
      </c>
      <c r="J4284" s="563">
        <v>-585</v>
      </c>
      <c r="K4284" s="582">
        <f t="shared" si="198"/>
        <v>103.35000000000002</v>
      </c>
      <c r="L4284" s="563">
        <f t="shared" si="199"/>
        <v>113.68500000000003</v>
      </c>
      <c r="M4284" s="563">
        <f t="shared" si="200"/>
        <v>757.18500000000006</v>
      </c>
      <c r="N4284" s="580"/>
    </row>
    <row r="4285" spans="4:14" x14ac:dyDescent="0.25">
      <c r="D4285" s="559" t="s">
        <v>867</v>
      </c>
      <c r="E4285" s="558" t="s">
        <v>265</v>
      </c>
      <c r="F4285" s="559">
        <v>700395</v>
      </c>
      <c r="G4285" s="558" t="s">
        <v>262</v>
      </c>
      <c r="H4285" s="564">
        <v>40015</v>
      </c>
      <c r="I4285" s="563">
        <v>298.35000000000002</v>
      </c>
      <c r="J4285" s="563">
        <v>-298.35000000000002</v>
      </c>
      <c r="K4285" s="582">
        <f t="shared" si="198"/>
        <v>0</v>
      </c>
      <c r="L4285" s="563">
        <f t="shared" si="199"/>
        <v>0</v>
      </c>
      <c r="M4285" s="563">
        <f t="shared" si="200"/>
        <v>328.18500000000006</v>
      </c>
      <c r="N4285" s="580"/>
    </row>
    <row r="4286" spans="4:14" x14ac:dyDescent="0.25">
      <c r="D4286" s="559" t="s">
        <v>867</v>
      </c>
      <c r="E4286" s="558" t="s">
        <v>266</v>
      </c>
      <c r="F4286" s="559">
        <v>700396</v>
      </c>
      <c r="G4286" s="558" t="s">
        <v>262</v>
      </c>
      <c r="H4286" s="564">
        <v>40015</v>
      </c>
      <c r="I4286" s="563">
        <v>688.35</v>
      </c>
      <c r="J4286" s="563">
        <v>-585</v>
      </c>
      <c r="K4286" s="582">
        <f t="shared" si="198"/>
        <v>103.35000000000002</v>
      </c>
      <c r="L4286" s="563">
        <f t="shared" si="199"/>
        <v>113.68500000000003</v>
      </c>
      <c r="M4286" s="563">
        <f t="shared" si="200"/>
        <v>757.18500000000006</v>
      </c>
      <c r="N4286" s="580"/>
    </row>
    <row r="4287" spans="4:14" x14ac:dyDescent="0.25">
      <c r="D4287" s="559" t="s">
        <v>867</v>
      </c>
      <c r="E4287" s="558" t="s">
        <v>267</v>
      </c>
      <c r="F4287" s="559">
        <v>700397</v>
      </c>
      <c r="G4287" s="558" t="s">
        <v>268</v>
      </c>
      <c r="H4287" s="564">
        <v>40015</v>
      </c>
      <c r="I4287" s="563">
        <v>415.35</v>
      </c>
      <c r="J4287" s="563">
        <v>-415.35</v>
      </c>
      <c r="K4287" s="582">
        <f t="shared" si="198"/>
        <v>0</v>
      </c>
      <c r="L4287" s="563">
        <f t="shared" si="199"/>
        <v>0</v>
      </c>
      <c r="M4287" s="563">
        <f t="shared" si="200"/>
        <v>456.88500000000005</v>
      </c>
      <c r="N4287" s="580"/>
    </row>
    <row r="4288" spans="4:14" x14ac:dyDescent="0.25">
      <c r="D4288" s="559" t="s">
        <v>867</v>
      </c>
      <c r="E4288" s="558" t="s">
        <v>269</v>
      </c>
      <c r="F4288" s="559">
        <v>700399</v>
      </c>
      <c r="G4288" s="558" t="s">
        <v>268</v>
      </c>
      <c r="H4288" s="564">
        <v>40015</v>
      </c>
      <c r="I4288" s="563">
        <v>493.35</v>
      </c>
      <c r="J4288" s="563">
        <v>-493.35</v>
      </c>
      <c r="K4288" s="582">
        <f t="shared" si="198"/>
        <v>0</v>
      </c>
      <c r="L4288" s="563">
        <f t="shared" si="199"/>
        <v>0</v>
      </c>
      <c r="M4288" s="563">
        <f t="shared" si="200"/>
        <v>542.68500000000006</v>
      </c>
      <c r="N4288" s="580"/>
    </row>
    <row r="4289" spans="4:14" x14ac:dyDescent="0.25">
      <c r="D4289" s="559" t="s">
        <v>867</v>
      </c>
      <c r="E4289" s="558" t="s">
        <v>270</v>
      </c>
      <c r="F4289" s="559">
        <v>700400</v>
      </c>
      <c r="G4289" s="558" t="s">
        <v>268</v>
      </c>
      <c r="H4289" s="564">
        <v>40015</v>
      </c>
      <c r="I4289" s="563">
        <v>493.35</v>
      </c>
      <c r="J4289" s="563">
        <v>-493.35</v>
      </c>
      <c r="K4289" s="582">
        <f t="shared" si="198"/>
        <v>0</v>
      </c>
      <c r="L4289" s="563">
        <f t="shared" si="199"/>
        <v>0</v>
      </c>
      <c r="M4289" s="563">
        <f t="shared" si="200"/>
        <v>542.68500000000006</v>
      </c>
      <c r="N4289" s="580"/>
    </row>
    <row r="4290" spans="4:14" x14ac:dyDescent="0.25">
      <c r="D4290" s="559" t="s">
        <v>867</v>
      </c>
      <c r="E4290" s="558" t="s">
        <v>271</v>
      </c>
      <c r="F4290" s="559">
        <v>700402</v>
      </c>
      <c r="G4290" s="558" t="s">
        <v>268</v>
      </c>
      <c r="H4290" s="564">
        <v>40015</v>
      </c>
      <c r="I4290" s="563">
        <v>688.35</v>
      </c>
      <c r="J4290" s="563">
        <v>-585</v>
      </c>
      <c r="K4290" s="582">
        <f t="shared" si="198"/>
        <v>103.35000000000002</v>
      </c>
      <c r="L4290" s="563">
        <f t="shared" si="199"/>
        <v>113.68500000000003</v>
      </c>
      <c r="M4290" s="563">
        <f t="shared" si="200"/>
        <v>757.18500000000006</v>
      </c>
      <c r="N4290" s="580"/>
    </row>
    <row r="4291" spans="4:14" x14ac:dyDescent="0.25">
      <c r="D4291" s="559" t="s">
        <v>867</v>
      </c>
      <c r="E4291" s="558" t="s">
        <v>272</v>
      </c>
      <c r="F4291" s="559">
        <v>700403</v>
      </c>
      <c r="G4291" s="558" t="s">
        <v>268</v>
      </c>
      <c r="H4291" s="564">
        <v>40015</v>
      </c>
      <c r="I4291" s="563">
        <v>298.35000000000002</v>
      </c>
      <c r="J4291" s="563">
        <v>-298.35000000000002</v>
      </c>
      <c r="K4291" s="582">
        <f t="shared" si="198"/>
        <v>0</v>
      </c>
      <c r="L4291" s="563">
        <f t="shared" si="199"/>
        <v>0</v>
      </c>
      <c r="M4291" s="563">
        <f t="shared" si="200"/>
        <v>328.18500000000006</v>
      </c>
      <c r="N4291" s="580"/>
    </row>
    <row r="4292" spans="4:14" x14ac:dyDescent="0.25">
      <c r="D4292" s="559" t="s">
        <v>867</v>
      </c>
      <c r="E4292" s="558" t="s">
        <v>273</v>
      </c>
      <c r="F4292" s="559">
        <v>700404</v>
      </c>
      <c r="G4292" s="558" t="s">
        <v>274</v>
      </c>
      <c r="H4292" s="564">
        <v>40015</v>
      </c>
      <c r="I4292" s="563">
        <v>493.35</v>
      </c>
      <c r="J4292" s="563">
        <v>-493.35</v>
      </c>
      <c r="K4292" s="582">
        <f t="shared" si="198"/>
        <v>0</v>
      </c>
      <c r="L4292" s="563">
        <f t="shared" si="199"/>
        <v>0</v>
      </c>
      <c r="M4292" s="563">
        <f t="shared" si="200"/>
        <v>542.68500000000006</v>
      </c>
      <c r="N4292" s="580"/>
    </row>
    <row r="4293" spans="4:14" x14ac:dyDescent="0.25">
      <c r="D4293" s="559" t="s">
        <v>867</v>
      </c>
      <c r="E4293" s="558" t="s">
        <v>275</v>
      </c>
      <c r="F4293" s="559">
        <v>700405</v>
      </c>
      <c r="G4293" s="558" t="s">
        <v>274</v>
      </c>
      <c r="H4293" s="564">
        <v>40015</v>
      </c>
      <c r="I4293" s="563">
        <v>688.35</v>
      </c>
      <c r="J4293" s="563">
        <v>-585</v>
      </c>
      <c r="K4293" s="582">
        <f t="shared" si="198"/>
        <v>103.35000000000002</v>
      </c>
      <c r="L4293" s="563">
        <f t="shared" si="199"/>
        <v>113.68500000000003</v>
      </c>
      <c r="M4293" s="563">
        <f t="shared" si="200"/>
        <v>757.18500000000006</v>
      </c>
      <c r="N4293" s="580"/>
    </row>
    <row r="4294" spans="4:14" x14ac:dyDescent="0.25">
      <c r="D4294" s="559" t="s">
        <v>867</v>
      </c>
      <c r="E4294" s="558" t="s">
        <v>276</v>
      </c>
      <c r="F4294" s="559">
        <v>700407</v>
      </c>
      <c r="G4294" s="558" t="s">
        <v>274</v>
      </c>
      <c r="H4294" s="564">
        <v>40015</v>
      </c>
      <c r="I4294" s="563">
        <v>25.35</v>
      </c>
      <c r="J4294" s="563">
        <v>-25.35</v>
      </c>
      <c r="K4294" s="582">
        <f t="shared" si="198"/>
        <v>0</v>
      </c>
      <c r="L4294" s="563">
        <f t="shared" si="199"/>
        <v>0</v>
      </c>
      <c r="M4294" s="563">
        <f t="shared" si="200"/>
        <v>27.885000000000005</v>
      </c>
      <c r="N4294" s="580"/>
    </row>
    <row r="4295" spans="4:14" x14ac:dyDescent="0.25">
      <c r="D4295" s="559" t="s">
        <v>867</v>
      </c>
      <c r="E4295" s="558" t="s">
        <v>277</v>
      </c>
      <c r="F4295" s="559">
        <v>700408</v>
      </c>
      <c r="G4295" s="558" t="s">
        <v>274</v>
      </c>
      <c r="H4295" s="564">
        <v>40015</v>
      </c>
      <c r="I4295" s="563">
        <v>883.35</v>
      </c>
      <c r="J4295" s="563">
        <v>-585</v>
      </c>
      <c r="K4295" s="582">
        <f t="shared" si="198"/>
        <v>298.35000000000002</v>
      </c>
      <c r="L4295" s="563">
        <f t="shared" si="199"/>
        <v>328.18500000000006</v>
      </c>
      <c r="M4295" s="563">
        <f t="shared" si="200"/>
        <v>971.68500000000006</v>
      </c>
      <c r="N4295" s="580"/>
    </row>
    <row r="4296" spans="4:14" x14ac:dyDescent="0.25">
      <c r="D4296" s="559" t="s">
        <v>867</v>
      </c>
      <c r="E4296" s="558" t="s">
        <v>278</v>
      </c>
      <c r="F4296" s="559">
        <v>700410</v>
      </c>
      <c r="G4296" s="558" t="s">
        <v>274</v>
      </c>
      <c r="H4296" s="564">
        <v>40015</v>
      </c>
      <c r="I4296" s="563">
        <v>493.35</v>
      </c>
      <c r="J4296" s="563">
        <v>-493.35</v>
      </c>
      <c r="K4296" s="582">
        <f t="shared" si="198"/>
        <v>0</v>
      </c>
      <c r="L4296" s="563">
        <f t="shared" si="199"/>
        <v>0</v>
      </c>
      <c r="M4296" s="563">
        <f t="shared" si="200"/>
        <v>542.68500000000006</v>
      </c>
      <c r="N4296" s="580"/>
    </row>
    <row r="4297" spans="4:14" x14ac:dyDescent="0.25">
      <c r="D4297" s="559" t="s">
        <v>867</v>
      </c>
      <c r="E4297" s="558" t="s">
        <v>279</v>
      </c>
      <c r="F4297" s="559">
        <v>700411</v>
      </c>
      <c r="G4297" s="558" t="s">
        <v>280</v>
      </c>
      <c r="H4297" s="564">
        <v>40015</v>
      </c>
      <c r="I4297" s="563">
        <v>493.35</v>
      </c>
      <c r="J4297" s="563">
        <v>-493.35</v>
      </c>
      <c r="K4297" s="582">
        <f t="shared" si="198"/>
        <v>0</v>
      </c>
      <c r="L4297" s="563">
        <f t="shared" si="199"/>
        <v>0</v>
      </c>
      <c r="M4297" s="563">
        <f t="shared" si="200"/>
        <v>542.68500000000006</v>
      </c>
      <c r="N4297" s="580"/>
    </row>
    <row r="4298" spans="4:14" x14ac:dyDescent="0.25">
      <c r="D4298" s="559" t="s">
        <v>867</v>
      </c>
      <c r="E4298" s="558" t="s">
        <v>281</v>
      </c>
      <c r="F4298" s="559">
        <v>700412</v>
      </c>
      <c r="G4298" s="558" t="s">
        <v>280</v>
      </c>
      <c r="H4298" s="564">
        <v>40015</v>
      </c>
      <c r="I4298" s="563">
        <v>493.35</v>
      </c>
      <c r="J4298" s="563">
        <v>-493.35</v>
      </c>
      <c r="K4298" s="582">
        <f t="shared" si="198"/>
        <v>0</v>
      </c>
      <c r="L4298" s="563">
        <f t="shared" si="199"/>
        <v>0</v>
      </c>
      <c r="M4298" s="563">
        <f t="shared" si="200"/>
        <v>542.68500000000006</v>
      </c>
      <c r="N4298" s="580"/>
    </row>
    <row r="4299" spans="4:14" x14ac:dyDescent="0.25">
      <c r="D4299" s="559" t="s">
        <v>867</v>
      </c>
      <c r="E4299" s="558" t="s">
        <v>282</v>
      </c>
      <c r="F4299" s="559">
        <v>700413</v>
      </c>
      <c r="G4299" s="558" t="s">
        <v>280</v>
      </c>
      <c r="H4299" s="564">
        <v>40015</v>
      </c>
      <c r="I4299" s="563">
        <v>493.35</v>
      </c>
      <c r="J4299" s="563">
        <v>-493.35</v>
      </c>
      <c r="K4299" s="582">
        <f t="shared" si="198"/>
        <v>0</v>
      </c>
      <c r="L4299" s="563">
        <f t="shared" si="199"/>
        <v>0</v>
      </c>
      <c r="M4299" s="563">
        <f t="shared" si="200"/>
        <v>542.68500000000006</v>
      </c>
      <c r="N4299" s="580"/>
    </row>
    <row r="4300" spans="4:14" x14ac:dyDescent="0.25">
      <c r="D4300" s="559" t="s">
        <v>867</v>
      </c>
      <c r="E4300" s="558" t="s">
        <v>283</v>
      </c>
      <c r="F4300" s="559">
        <v>700414</v>
      </c>
      <c r="G4300" s="558" t="s">
        <v>280</v>
      </c>
      <c r="H4300" s="564">
        <v>40015</v>
      </c>
      <c r="I4300" s="563">
        <v>493.35</v>
      </c>
      <c r="J4300" s="563">
        <v>-493.35</v>
      </c>
      <c r="K4300" s="582">
        <f t="shared" si="198"/>
        <v>0</v>
      </c>
      <c r="L4300" s="563">
        <f t="shared" si="199"/>
        <v>0</v>
      </c>
      <c r="M4300" s="563">
        <f t="shared" si="200"/>
        <v>542.68500000000006</v>
      </c>
      <c r="N4300" s="580"/>
    </row>
    <row r="4301" spans="4:14" x14ac:dyDescent="0.25">
      <c r="D4301" s="559" t="s">
        <v>867</v>
      </c>
      <c r="E4301" s="558" t="s">
        <v>284</v>
      </c>
      <c r="F4301" s="559">
        <v>700415</v>
      </c>
      <c r="G4301" s="558" t="s">
        <v>280</v>
      </c>
      <c r="H4301" s="564">
        <v>40015</v>
      </c>
      <c r="I4301" s="563">
        <v>493.35</v>
      </c>
      <c r="J4301" s="563">
        <v>-493.35</v>
      </c>
      <c r="K4301" s="582">
        <f t="shared" si="198"/>
        <v>0</v>
      </c>
      <c r="L4301" s="563">
        <f t="shared" si="199"/>
        <v>0</v>
      </c>
      <c r="M4301" s="563">
        <f t="shared" si="200"/>
        <v>542.68500000000006</v>
      </c>
      <c r="N4301" s="580"/>
    </row>
    <row r="4302" spans="4:14" x14ac:dyDescent="0.25">
      <c r="D4302" s="559" t="s">
        <v>867</v>
      </c>
      <c r="E4302" s="558" t="s">
        <v>285</v>
      </c>
      <c r="F4302" s="559">
        <v>700416</v>
      </c>
      <c r="G4302" s="558" t="s">
        <v>286</v>
      </c>
      <c r="H4302" s="564">
        <v>40015</v>
      </c>
      <c r="I4302" s="563">
        <v>493.35</v>
      </c>
      <c r="J4302" s="563">
        <v>-493.35</v>
      </c>
      <c r="K4302" s="582">
        <f t="shared" si="198"/>
        <v>0</v>
      </c>
      <c r="L4302" s="563">
        <f t="shared" si="199"/>
        <v>0</v>
      </c>
      <c r="M4302" s="563">
        <f t="shared" si="200"/>
        <v>542.68500000000006</v>
      </c>
      <c r="N4302" s="580"/>
    </row>
    <row r="4303" spans="4:14" x14ac:dyDescent="0.25">
      <c r="D4303" s="559" t="s">
        <v>867</v>
      </c>
      <c r="E4303" s="558" t="s">
        <v>287</v>
      </c>
      <c r="F4303" s="559">
        <v>700417</v>
      </c>
      <c r="G4303" s="558" t="s">
        <v>286</v>
      </c>
      <c r="H4303" s="564">
        <v>40015</v>
      </c>
      <c r="I4303" s="563">
        <v>493.35</v>
      </c>
      <c r="J4303" s="563">
        <v>-493.35</v>
      </c>
      <c r="K4303" s="582">
        <f t="shared" si="198"/>
        <v>0</v>
      </c>
      <c r="L4303" s="563">
        <f t="shared" si="199"/>
        <v>0</v>
      </c>
      <c r="M4303" s="563">
        <f t="shared" si="200"/>
        <v>542.68500000000006</v>
      </c>
      <c r="N4303" s="580"/>
    </row>
    <row r="4304" spans="4:14" x14ac:dyDescent="0.25">
      <c r="D4304" s="559" t="s">
        <v>867</v>
      </c>
      <c r="E4304" s="558" t="s">
        <v>288</v>
      </c>
      <c r="F4304" s="559">
        <v>700419</v>
      </c>
      <c r="G4304" s="558" t="s">
        <v>286</v>
      </c>
      <c r="H4304" s="564">
        <v>40015</v>
      </c>
      <c r="I4304" s="563">
        <v>493.35</v>
      </c>
      <c r="J4304" s="563">
        <v>-493.35</v>
      </c>
      <c r="K4304" s="582">
        <f t="shared" si="198"/>
        <v>0</v>
      </c>
      <c r="L4304" s="563">
        <f t="shared" si="199"/>
        <v>0</v>
      </c>
      <c r="M4304" s="563">
        <f t="shared" si="200"/>
        <v>542.68500000000006</v>
      </c>
      <c r="N4304" s="580"/>
    </row>
    <row r="4305" spans="4:14" x14ac:dyDescent="0.25">
      <c r="D4305" s="559" t="s">
        <v>867</v>
      </c>
      <c r="E4305" s="558" t="s">
        <v>289</v>
      </c>
      <c r="F4305" s="559">
        <v>700420</v>
      </c>
      <c r="G4305" s="558" t="s">
        <v>286</v>
      </c>
      <c r="H4305" s="564">
        <v>40015</v>
      </c>
      <c r="I4305" s="563">
        <v>493.35</v>
      </c>
      <c r="J4305" s="563">
        <v>-493.35</v>
      </c>
      <c r="K4305" s="582">
        <f t="shared" si="198"/>
        <v>0</v>
      </c>
      <c r="L4305" s="563">
        <f t="shared" si="199"/>
        <v>0</v>
      </c>
      <c r="M4305" s="563">
        <f t="shared" si="200"/>
        <v>542.68500000000006</v>
      </c>
      <c r="N4305" s="580"/>
    </row>
    <row r="4306" spans="4:14" x14ac:dyDescent="0.25">
      <c r="D4306" s="559" t="s">
        <v>867</v>
      </c>
      <c r="E4306" s="558" t="s">
        <v>290</v>
      </c>
      <c r="F4306" s="559">
        <v>700421</v>
      </c>
      <c r="G4306" s="558" t="s">
        <v>286</v>
      </c>
      <c r="H4306" s="564">
        <v>40015</v>
      </c>
      <c r="I4306" s="563">
        <v>493.35</v>
      </c>
      <c r="J4306" s="563">
        <v>-493.35</v>
      </c>
      <c r="K4306" s="582">
        <f t="shared" si="198"/>
        <v>0</v>
      </c>
      <c r="L4306" s="563">
        <f t="shared" si="199"/>
        <v>0</v>
      </c>
      <c r="M4306" s="563">
        <f t="shared" si="200"/>
        <v>542.68500000000006</v>
      </c>
      <c r="N4306" s="580"/>
    </row>
    <row r="4307" spans="4:14" x14ac:dyDescent="0.25">
      <c r="D4307" s="559" t="s">
        <v>867</v>
      </c>
      <c r="E4307" s="558" t="s">
        <v>291</v>
      </c>
      <c r="F4307" s="559">
        <v>700422</v>
      </c>
      <c r="G4307" s="558" t="s">
        <v>292</v>
      </c>
      <c r="H4307" s="564">
        <v>40015</v>
      </c>
      <c r="I4307" s="563">
        <v>493.35</v>
      </c>
      <c r="J4307" s="563">
        <v>-493.35</v>
      </c>
      <c r="K4307" s="582">
        <f t="shared" si="198"/>
        <v>0</v>
      </c>
      <c r="L4307" s="563">
        <f t="shared" si="199"/>
        <v>0</v>
      </c>
      <c r="M4307" s="563">
        <f t="shared" si="200"/>
        <v>542.68500000000006</v>
      </c>
      <c r="N4307" s="580"/>
    </row>
    <row r="4308" spans="4:14" x14ac:dyDescent="0.25">
      <c r="D4308" s="559" t="s">
        <v>867</v>
      </c>
      <c r="E4308" s="558" t="s">
        <v>293</v>
      </c>
      <c r="F4308" s="559">
        <v>700423</v>
      </c>
      <c r="G4308" s="558" t="s">
        <v>292</v>
      </c>
      <c r="H4308" s="564">
        <v>40015</v>
      </c>
      <c r="I4308" s="563">
        <v>493.35</v>
      </c>
      <c r="J4308" s="563">
        <v>-493.35</v>
      </c>
      <c r="K4308" s="582">
        <f t="shared" si="198"/>
        <v>0</v>
      </c>
      <c r="L4308" s="563">
        <f t="shared" si="199"/>
        <v>0</v>
      </c>
      <c r="M4308" s="563">
        <f t="shared" si="200"/>
        <v>542.68500000000006</v>
      </c>
      <c r="N4308" s="580"/>
    </row>
    <row r="4309" spans="4:14" x14ac:dyDescent="0.25">
      <c r="D4309" s="559" t="s">
        <v>867</v>
      </c>
      <c r="E4309" s="558" t="s">
        <v>294</v>
      </c>
      <c r="F4309" s="559">
        <v>700424</v>
      </c>
      <c r="G4309" s="558" t="s">
        <v>292</v>
      </c>
      <c r="H4309" s="564">
        <v>40015</v>
      </c>
      <c r="I4309" s="563">
        <v>493.35</v>
      </c>
      <c r="J4309" s="563">
        <v>-493.35</v>
      </c>
      <c r="K4309" s="582">
        <f t="shared" si="198"/>
        <v>0</v>
      </c>
      <c r="L4309" s="563">
        <f t="shared" si="199"/>
        <v>0</v>
      </c>
      <c r="M4309" s="563">
        <f t="shared" si="200"/>
        <v>542.68500000000006</v>
      </c>
      <c r="N4309" s="580"/>
    </row>
    <row r="4310" spans="4:14" x14ac:dyDescent="0.25">
      <c r="D4310" s="559" t="s">
        <v>867</v>
      </c>
      <c r="E4310" s="558" t="s">
        <v>295</v>
      </c>
      <c r="F4310" s="559">
        <v>700425</v>
      </c>
      <c r="G4310" s="558" t="s">
        <v>292</v>
      </c>
      <c r="H4310" s="564">
        <v>40015</v>
      </c>
      <c r="I4310" s="563">
        <v>493.35</v>
      </c>
      <c r="J4310" s="563">
        <v>-493.35</v>
      </c>
      <c r="K4310" s="582">
        <f t="shared" si="198"/>
        <v>0</v>
      </c>
      <c r="L4310" s="563">
        <f t="shared" si="199"/>
        <v>0</v>
      </c>
      <c r="M4310" s="563">
        <f t="shared" si="200"/>
        <v>542.68500000000006</v>
      </c>
      <c r="N4310" s="580"/>
    </row>
    <row r="4311" spans="4:14" x14ac:dyDescent="0.25">
      <c r="D4311" s="559" t="s">
        <v>867</v>
      </c>
      <c r="E4311" s="558" t="s">
        <v>296</v>
      </c>
      <c r="F4311" s="559">
        <v>700426</v>
      </c>
      <c r="G4311" s="558" t="s">
        <v>292</v>
      </c>
      <c r="H4311" s="564">
        <v>40015</v>
      </c>
      <c r="I4311" s="563">
        <v>493.35</v>
      </c>
      <c r="J4311" s="563">
        <v>-493.35</v>
      </c>
      <c r="K4311" s="582">
        <f t="shared" si="198"/>
        <v>0</v>
      </c>
      <c r="L4311" s="563">
        <f t="shared" si="199"/>
        <v>0</v>
      </c>
      <c r="M4311" s="563">
        <f t="shared" si="200"/>
        <v>542.68500000000006</v>
      </c>
      <c r="N4311" s="580"/>
    </row>
    <row r="4312" spans="4:14" x14ac:dyDescent="0.25">
      <c r="D4312" s="559" t="s">
        <v>867</v>
      </c>
      <c r="E4312" s="558" t="s">
        <v>297</v>
      </c>
      <c r="F4312" s="559">
        <v>700427</v>
      </c>
      <c r="G4312" s="558" t="s">
        <v>298</v>
      </c>
      <c r="H4312" s="564">
        <v>40015</v>
      </c>
      <c r="I4312" s="563">
        <v>493.35</v>
      </c>
      <c r="J4312" s="563">
        <v>-493.35</v>
      </c>
      <c r="K4312" s="582">
        <f t="shared" si="198"/>
        <v>0</v>
      </c>
      <c r="L4312" s="563">
        <f t="shared" si="199"/>
        <v>0</v>
      </c>
      <c r="M4312" s="563">
        <f t="shared" si="200"/>
        <v>542.68500000000006</v>
      </c>
      <c r="N4312" s="580"/>
    </row>
    <row r="4313" spans="4:14" x14ac:dyDescent="0.25">
      <c r="D4313" s="559" t="s">
        <v>867</v>
      </c>
      <c r="E4313" s="558" t="s">
        <v>299</v>
      </c>
      <c r="F4313" s="559">
        <v>700428</v>
      </c>
      <c r="G4313" s="558" t="s">
        <v>298</v>
      </c>
      <c r="H4313" s="564">
        <v>40015</v>
      </c>
      <c r="I4313" s="563">
        <v>493.35</v>
      </c>
      <c r="J4313" s="563">
        <v>-493.35</v>
      </c>
      <c r="K4313" s="582">
        <f t="shared" si="198"/>
        <v>0</v>
      </c>
      <c r="L4313" s="563">
        <f t="shared" si="199"/>
        <v>0</v>
      </c>
      <c r="M4313" s="563">
        <f t="shared" si="200"/>
        <v>542.68500000000006</v>
      </c>
      <c r="N4313" s="580"/>
    </row>
    <row r="4314" spans="4:14" x14ac:dyDescent="0.25">
      <c r="D4314" s="559" t="s">
        <v>867</v>
      </c>
      <c r="E4314" s="558" t="s">
        <v>300</v>
      </c>
      <c r="F4314" s="559">
        <v>700429</v>
      </c>
      <c r="G4314" s="558" t="s">
        <v>298</v>
      </c>
      <c r="H4314" s="564">
        <v>40015</v>
      </c>
      <c r="I4314" s="563">
        <v>493.35</v>
      </c>
      <c r="J4314" s="563">
        <v>-493.35</v>
      </c>
      <c r="K4314" s="582">
        <f t="shared" si="198"/>
        <v>0</v>
      </c>
      <c r="L4314" s="563">
        <f t="shared" si="199"/>
        <v>0</v>
      </c>
      <c r="M4314" s="563">
        <f t="shared" si="200"/>
        <v>542.68500000000006</v>
      </c>
      <c r="N4314" s="580"/>
    </row>
    <row r="4315" spans="4:14" x14ac:dyDescent="0.25">
      <c r="D4315" s="559" t="s">
        <v>867</v>
      </c>
      <c r="E4315" s="558" t="s">
        <v>301</v>
      </c>
      <c r="F4315" s="559">
        <v>700430</v>
      </c>
      <c r="G4315" s="558" t="s">
        <v>298</v>
      </c>
      <c r="H4315" s="564">
        <v>40015</v>
      </c>
      <c r="I4315" s="563">
        <v>493.35</v>
      </c>
      <c r="J4315" s="563">
        <v>-493.35</v>
      </c>
      <c r="K4315" s="582">
        <f t="shared" si="198"/>
        <v>0</v>
      </c>
      <c r="L4315" s="563">
        <f t="shared" si="199"/>
        <v>0</v>
      </c>
      <c r="M4315" s="563">
        <f t="shared" si="200"/>
        <v>542.68500000000006</v>
      </c>
      <c r="N4315" s="580"/>
    </row>
    <row r="4316" spans="4:14" x14ac:dyDescent="0.25">
      <c r="D4316" s="559" t="s">
        <v>867</v>
      </c>
      <c r="E4316" s="558" t="s">
        <v>302</v>
      </c>
      <c r="F4316" s="559">
        <v>700431</v>
      </c>
      <c r="G4316" s="558" t="s">
        <v>298</v>
      </c>
      <c r="H4316" s="564">
        <v>40015</v>
      </c>
      <c r="I4316" s="563">
        <v>493.35</v>
      </c>
      <c r="J4316" s="563">
        <v>-493.35</v>
      </c>
      <c r="K4316" s="582">
        <f t="shared" si="198"/>
        <v>0</v>
      </c>
      <c r="L4316" s="563">
        <f t="shared" si="199"/>
        <v>0</v>
      </c>
      <c r="M4316" s="563">
        <f t="shared" si="200"/>
        <v>542.68500000000006</v>
      </c>
      <c r="N4316" s="580"/>
    </row>
    <row r="4317" spans="4:14" x14ac:dyDescent="0.25">
      <c r="D4317" s="559" t="s">
        <v>867</v>
      </c>
      <c r="E4317" s="558" t="s">
        <v>303</v>
      </c>
      <c r="F4317" s="559">
        <v>700432</v>
      </c>
      <c r="G4317" s="558" t="s">
        <v>304</v>
      </c>
      <c r="H4317" s="564">
        <v>40015</v>
      </c>
      <c r="I4317" s="563">
        <v>493.35</v>
      </c>
      <c r="J4317" s="563">
        <v>-493.35</v>
      </c>
      <c r="K4317" s="582">
        <f t="shared" si="198"/>
        <v>0</v>
      </c>
      <c r="L4317" s="563">
        <f t="shared" si="199"/>
        <v>0</v>
      </c>
      <c r="M4317" s="563">
        <f t="shared" si="200"/>
        <v>542.68500000000006</v>
      </c>
      <c r="N4317" s="580"/>
    </row>
    <row r="4318" spans="4:14" x14ac:dyDescent="0.25">
      <c r="D4318" s="559" t="s">
        <v>867</v>
      </c>
      <c r="E4318" s="558" t="s">
        <v>305</v>
      </c>
      <c r="F4318" s="559">
        <v>700433</v>
      </c>
      <c r="G4318" s="558" t="s">
        <v>304</v>
      </c>
      <c r="H4318" s="564">
        <v>40015</v>
      </c>
      <c r="I4318" s="563">
        <v>688.35</v>
      </c>
      <c r="J4318" s="563">
        <v>-585</v>
      </c>
      <c r="K4318" s="582">
        <f t="shared" si="198"/>
        <v>103.35000000000002</v>
      </c>
      <c r="L4318" s="563">
        <f t="shared" si="199"/>
        <v>113.68500000000003</v>
      </c>
      <c r="M4318" s="563">
        <f t="shared" si="200"/>
        <v>757.18500000000006</v>
      </c>
      <c r="N4318" s="580"/>
    </row>
    <row r="4319" spans="4:14" x14ac:dyDescent="0.25">
      <c r="D4319" s="559" t="s">
        <v>867</v>
      </c>
      <c r="E4319" s="558" t="s">
        <v>306</v>
      </c>
      <c r="F4319" s="559">
        <v>700434</v>
      </c>
      <c r="G4319" s="558" t="s">
        <v>304</v>
      </c>
      <c r="H4319" s="564">
        <v>40015</v>
      </c>
      <c r="I4319" s="563">
        <v>688.35</v>
      </c>
      <c r="J4319" s="563">
        <v>-585</v>
      </c>
      <c r="K4319" s="582">
        <f t="shared" si="198"/>
        <v>103.35000000000002</v>
      </c>
      <c r="L4319" s="563">
        <f t="shared" si="199"/>
        <v>113.68500000000003</v>
      </c>
      <c r="M4319" s="563">
        <f t="shared" si="200"/>
        <v>757.18500000000006</v>
      </c>
      <c r="N4319" s="580"/>
    </row>
    <row r="4320" spans="4:14" x14ac:dyDescent="0.25">
      <c r="D4320" s="559" t="s">
        <v>867</v>
      </c>
      <c r="E4320" s="558" t="s">
        <v>307</v>
      </c>
      <c r="F4320" s="559">
        <v>700435</v>
      </c>
      <c r="G4320" s="558" t="s">
        <v>304</v>
      </c>
      <c r="H4320" s="564">
        <v>40015</v>
      </c>
      <c r="I4320" s="563">
        <v>688.35</v>
      </c>
      <c r="J4320" s="563">
        <v>-585</v>
      </c>
      <c r="K4320" s="582">
        <f t="shared" si="198"/>
        <v>103.35000000000002</v>
      </c>
      <c r="L4320" s="563">
        <f t="shared" si="199"/>
        <v>113.68500000000003</v>
      </c>
      <c r="M4320" s="563">
        <f t="shared" si="200"/>
        <v>757.18500000000006</v>
      </c>
      <c r="N4320" s="580"/>
    </row>
    <row r="4321" spans="4:14" x14ac:dyDescent="0.25">
      <c r="D4321" s="559" t="s">
        <v>867</v>
      </c>
      <c r="E4321" s="558" t="s">
        <v>308</v>
      </c>
      <c r="F4321" s="559">
        <v>700436</v>
      </c>
      <c r="G4321" s="558" t="s">
        <v>304</v>
      </c>
      <c r="H4321" s="564">
        <v>40015</v>
      </c>
      <c r="I4321" s="563">
        <v>688.35</v>
      </c>
      <c r="J4321" s="563">
        <v>-585</v>
      </c>
      <c r="K4321" s="582">
        <f t="shared" si="198"/>
        <v>103.35000000000002</v>
      </c>
      <c r="L4321" s="563">
        <f t="shared" si="199"/>
        <v>113.68500000000003</v>
      </c>
      <c r="M4321" s="563">
        <f t="shared" si="200"/>
        <v>757.18500000000006</v>
      </c>
      <c r="N4321" s="580"/>
    </row>
    <row r="4322" spans="4:14" x14ac:dyDescent="0.25">
      <c r="D4322" s="559" t="s">
        <v>867</v>
      </c>
      <c r="E4322" s="558" t="s">
        <v>309</v>
      </c>
      <c r="F4322" s="559">
        <v>700437</v>
      </c>
      <c r="G4322" s="558" t="s">
        <v>310</v>
      </c>
      <c r="H4322" s="564">
        <v>40015</v>
      </c>
      <c r="I4322" s="563">
        <v>688.35</v>
      </c>
      <c r="J4322" s="563">
        <v>-585</v>
      </c>
      <c r="K4322" s="582">
        <f t="shared" si="198"/>
        <v>103.35000000000002</v>
      </c>
      <c r="L4322" s="563">
        <f t="shared" si="199"/>
        <v>113.68500000000003</v>
      </c>
      <c r="M4322" s="563">
        <f t="shared" si="200"/>
        <v>757.18500000000006</v>
      </c>
      <c r="N4322" s="580"/>
    </row>
    <row r="4323" spans="4:14" x14ac:dyDescent="0.25">
      <c r="D4323" s="559" t="s">
        <v>867</v>
      </c>
      <c r="E4323" s="558" t="s">
        <v>311</v>
      </c>
      <c r="F4323" s="559">
        <v>700438</v>
      </c>
      <c r="G4323" s="558" t="s">
        <v>310</v>
      </c>
      <c r="H4323" s="564">
        <v>40015</v>
      </c>
      <c r="I4323" s="563">
        <v>688.35</v>
      </c>
      <c r="J4323" s="563">
        <v>-585</v>
      </c>
      <c r="K4323" s="582">
        <f t="shared" si="198"/>
        <v>103.35000000000002</v>
      </c>
      <c r="L4323" s="563">
        <f t="shared" si="199"/>
        <v>113.68500000000003</v>
      </c>
      <c r="M4323" s="563">
        <f t="shared" si="200"/>
        <v>757.18500000000006</v>
      </c>
      <c r="N4323" s="580"/>
    </row>
    <row r="4324" spans="4:14" x14ac:dyDescent="0.25">
      <c r="D4324" s="559" t="s">
        <v>867</v>
      </c>
      <c r="E4324" s="558" t="s">
        <v>312</v>
      </c>
      <c r="F4324" s="559">
        <v>700439</v>
      </c>
      <c r="G4324" s="558" t="s">
        <v>310</v>
      </c>
      <c r="H4324" s="564">
        <v>40015</v>
      </c>
      <c r="I4324" s="563">
        <v>688.35</v>
      </c>
      <c r="J4324" s="563">
        <v>-585</v>
      </c>
      <c r="K4324" s="582">
        <f t="shared" si="198"/>
        <v>103.35000000000002</v>
      </c>
      <c r="L4324" s="563">
        <f t="shared" si="199"/>
        <v>113.68500000000003</v>
      </c>
      <c r="M4324" s="563">
        <f t="shared" si="200"/>
        <v>757.18500000000006</v>
      </c>
      <c r="N4324" s="580"/>
    </row>
    <row r="4325" spans="4:14" x14ac:dyDescent="0.25">
      <c r="D4325" s="559" t="s">
        <v>867</v>
      </c>
      <c r="E4325" s="558" t="s">
        <v>313</v>
      </c>
      <c r="F4325" s="559">
        <v>700440</v>
      </c>
      <c r="G4325" s="558" t="s">
        <v>310</v>
      </c>
      <c r="H4325" s="564">
        <v>40015</v>
      </c>
      <c r="I4325" s="563">
        <v>688.35</v>
      </c>
      <c r="J4325" s="563">
        <v>-585</v>
      </c>
      <c r="K4325" s="582">
        <f t="shared" si="198"/>
        <v>103.35000000000002</v>
      </c>
      <c r="L4325" s="563">
        <f t="shared" si="199"/>
        <v>113.68500000000003</v>
      </c>
      <c r="M4325" s="563">
        <f t="shared" si="200"/>
        <v>757.18500000000006</v>
      </c>
      <c r="N4325" s="580"/>
    </row>
    <row r="4326" spans="4:14" x14ac:dyDescent="0.25">
      <c r="D4326" s="559" t="s">
        <v>867</v>
      </c>
      <c r="E4326" s="558" t="s">
        <v>314</v>
      </c>
      <c r="F4326" s="559">
        <v>700441</v>
      </c>
      <c r="G4326" s="558" t="s">
        <v>310</v>
      </c>
      <c r="H4326" s="564">
        <v>40015</v>
      </c>
      <c r="I4326" s="563">
        <v>688.35</v>
      </c>
      <c r="J4326" s="563">
        <v>-585</v>
      </c>
      <c r="K4326" s="582">
        <f t="shared" si="198"/>
        <v>103.35000000000002</v>
      </c>
      <c r="L4326" s="563">
        <f t="shared" si="199"/>
        <v>113.68500000000003</v>
      </c>
      <c r="M4326" s="563">
        <f t="shared" si="200"/>
        <v>757.18500000000006</v>
      </c>
      <c r="N4326" s="580"/>
    </row>
    <row r="4327" spans="4:14" x14ac:dyDescent="0.25">
      <c r="D4327" s="559" t="s">
        <v>867</v>
      </c>
      <c r="E4327" s="558" t="s">
        <v>315</v>
      </c>
      <c r="F4327" s="559">
        <v>700442</v>
      </c>
      <c r="G4327" s="558" t="s">
        <v>316</v>
      </c>
      <c r="H4327" s="564">
        <v>40015</v>
      </c>
      <c r="I4327" s="563">
        <v>688.35</v>
      </c>
      <c r="J4327" s="563">
        <v>-585</v>
      </c>
      <c r="K4327" s="582">
        <f t="shared" si="198"/>
        <v>103.35000000000002</v>
      </c>
      <c r="L4327" s="563">
        <f t="shared" si="199"/>
        <v>113.68500000000003</v>
      </c>
      <c r="M4327" s="563">
        <f t="shared" si="200"/>
        <v>757.18500000000006</v>
      </c>
      <c r="N4327" s="580"/>
    </row>
    <row r="4328" spans="4:14" x14ac:dyDescent="0.25">
      <c r="D4328" s="559" t="s">
        <v>867</v>
      </c>
      <c r="E4328" s="558" t="s">
        <v>317</v>
      </c>
      <c r="F4328" s="559">
        <v>700443</v>
      </c>
      <c r="G4328" s="558" t="s">
        <v>316</v>
      </c>
      <c r="H4328" s="564">
        <v>40015</v>
      </c>
      <c r="I4328" s="563">
        <v>688.35</v>
      </c>
      <c r="J4328" s="563">
        <v>-585</v>
      </c>
      <c r="K4328" s="582">
        <f t="shared" si="198"/>
        <v>103.35000000000002</v>
      </c>
      <c r="L4328" s="563">
        <f t="shared" si="199"/>
        <v>113.68500000000003</v>
      </c>
      <c r="M4328" s="563">
        <f t="shared" si="200"/>
        <v>757.18500000000006</v>
      </c>
      <c r="N4328" s="580"/>
    </row>
    <row r="4329" spans="4:14" x14ac:dyDescent="0.25">
      <c r="D4329" s="559" t="s">
        <v>867</v>
      </c>
      <c r="E4329" s="558" t="s">
        <v>318</v>
      </c>
      <c r="F4329" s="559">
        <v>701642</v>
      </c>
      <c r="G4329" s="558" t="s">
        <v>316</v>
      </c>
      <c r="H4329" s="564">
        <v>40015</v>
      </c>
      <c r="I4329" s="563">
        <v>727.35</v>
      </c>
      <c r="J4329" s="563">
        <v>-585</v>
      </c>
      <c r="K4329" s="582">
        <f t="shared" ref="K4329:K4392" si="201">+I4329+J4329</f>
        <v>142.35000000000002</v>
      </c>
      <c r="L4329" s="563">
        <f t="shared" ref="L4329:L4392" si="202">+K4329*1.1</f>
        <v>156.58500000000004</v>
      </c>
      <c r="M4329" s="563">
        <f t="shared" ref="M4329:M4392" si="203">+I4329*1.1</f>
        <v>800.08500000000004</v>
      </c>
      <c r="N4329" s="580"/>
    </row>
    <row r="4330" spans="4:14" x14ac:dyDescent="0.25">
      <c r="D4330" s="559" t="s">
        <v>867</v>
      </c>
      <c r="E4330" s="558" t="s">
        <v>319</v>
      </c>
      <c r="F4330" s="559">
        <v>700449</v>
      </c>
      <c r="G4330" s="558" t="s">
        <v>316</v>
      </c>
      <c r="H4330" s="564">
        <v>40015</v>
      </c>
      <c r="I4330" s="563">
        <v>688.35</v>
      </c>
      <c r="J4330" s="563">
        <v>-585</v>
      </c>
      <c r="K4330" s="582">
        <f t="shared" si="201"/>
        <v>103.35000000000002</v>
      </c>
      <c r="L4330" s="563">
        <f t="shared" si="202"/>
        <v>113.68500000000003</v>
      </c>
      <c r="M4330" s="563">
        <f t="shared" si="203"/>
        <v>757.18500000000006</v>
      </c>
      <c r="N4330" s="580"/>
    </row>
    <row r="4331" spans="4:14" x14ac:dyDescent="0.25">
      <c r="D4331" s="559" t="s">
        <v>867</v>
      </c>
      <c r="E4331" s="558" t="s">
        <v>320</v>
      </c>
      <c r="F4331" s="559">
        <v>700451</v>
      </c>
      <c r="G4331" s="558" t="s">
        <v>316</v>
      </c>
      <c r="H4331" s="564">
        <v>40015</v>
      </c>
      <c r="I4331" s="563">
        <v>688.35</v>
      </c>
      <c r="J4331" s="563">
        <v>-585</v>
      </c>
      <c r="K4331" s="582">
        <f t="shared" si="201"/>
        <v>103.35000000000002</v>
      </c>
      <c r="L4331" s="563">
        <f t="shared" si="202"/>
        <v>113.68500000000003</v>
      </c>
      <c r="M4331" s="563">
        <f t="shared" si="203"/>
        <v>757.18500000000006</v>
      </c>
      <c r="N4331" s="580"/>
    </row>
    <row r="4332" spans="4:14" x14ac:dyDescent="0.25">
      <c r="D4332" s="559" t="s">
        <v>867</v>
      </c>
      <c r="E4332" s="558" t="s">
        <v>321</v>
      </c>
      <c r="F4332" s="559">
        <v>700453</v>
      </c>
      <c r="G4332" s="558" t="s">
        <v>322</v>
      </c>
      <c r="H4332" s="564">
        <v>40015</v>
      </c>
      <c r="I4332" s="563">
        <v>571.35</v>
      </c>
      <c r="J4332" s="563">
        <v>-571.35</v>
      </c>
      <c r="K4332" s="582">
        <f t="shared" si="201"/>
        <v>0</v>
      </c>
      <c r="L4332" s="563">
        <f t="shared" si="202"/>
        <v>0</v>
      </c>
      <c r="M4332" s="563">
        <f t="shared" si="203"/>
        <v>628.48500000000013</v>
      </c>
      <c r="N4332" s="580"/>
    </row>
    <row r="4333" spans="4:14" x14ac:dyDescent="0.25">
      <c r="D4333" s="559" t="s">
        <v>867</v>
      </c>
      <c r="E4333" s="558" t="s">
        <v>323</v>
      </c>
      <c r="F4333" s="559">
        <v>700720</v>
      </c>
      <c r="G4333" s="558" t="s">
        <v>322</v>
      </c>
      <c r="H4333" s="564">
        <v>40015</v>
      </c>
      <c r="I4333" s="563">
        <v>181.35</v>
      </c>
      <c r="J4333" s="563">
        <v>-181.35</v>
      </c>
      <c r="K4333" s="582">
        <f t="shared" si="201"/>
        <v>0</v>
      </c>
      <c r="L4333" s="563">
        <f t="shared" si="202"/>
        <v>0</v>
      </c>
      <c r="M4333" s="563">
        <f t="shared" si="203"/>
        <v>199.48500000000001</v>
      </c>
      <c r="N4333" s="580"/>
    </row>
    <row r="4334" spans="4:14" x14ac:dyDescent="0.25">
      <c r="D4334" s="559" t="s">
        <v>867</v>
      </c>
      <c r="E4334" s="558" t="s">
        <v>324</v>
      </c>
      <c r="F4334" s="559">
        <v>700455</v>
      </c>
      <c r="G4334" s="558" t="s">
        <v>322</v>
      </c>
      <c r="H4334" s="564">
        <v>40015</v>
      </c>
      <c r="I4334" s="563">
        <v>688.35</v>
      </c>
      <c r="J4334" s="563">
        <v>-585</v>
      </c>
      <c r="K4334" s="582">
        <f t="shared" si="201"/>
        <v>103.35000000000002</v>
      </c>
      <c r="L4334" s="563">
        <f t="shared" si="202"/>
        <v>113.68500000000003</v>
      </c>
      <c r="M4334" s="563">
        <f t="shared" si="203"/>
        <v>757.18500000000006</v>
      </c>
      <c r="N4334" s="580"/>
    </row>
    <row r="4335" spans="4:14" x14ac:dyDescent="0.25">
      <c r="D4335" s="559" t="s">
        <v>867</v>
      </c>
      <c r="E4335" s="558" t="s">
        <v>325</v>
      </c>
      <c r="F4335" s="559">
        <v>700456</v>
      </c>
      <c r="G4335" s="558" t="s">
        <v>322</v>
      </c>
      <c r="H4335" s="564">
        <v>40015</v>
      </c>
      <c r="I4335" s="563">
        <v>688.35</v>
      </c>
      <c r="J4335" s="563">
        <v>-585</v>
      </c>
      <c r="K4335" s="582">
        <f t="shared" si="201"/>
        <v>103.35000000000002</v>
      </c>
      <c r="L4335" s="563">
        <f t="shared" si="202"/>
        <v>113.68500000000003</v>
      </c>
      <c r="M4335" s="563">
        <f t="shared" si="203"/>
        <v>757.18500000000006</v>
      </c>
      <c r="N4335" s="580"/>
    </row>
    <row r="4336" spans="4:14" x14ac:dyDescent="0.25">
      <c r="D4336" s="559" t="s">
        <v>867</v>
      </c>
      <c r="E4336" s="558" t="s">
        <v>326</v>
      </c>
      <c r="F4336" s="559">
        <v>700457</v>
      </c>
      <c r="G4336" s="558" t="s">
        <v>322</v>
      </c>
      <c r="H4336" s="564">
        <v>40015</v>
      </c>
      <c r="I4336" s="563">
        <v>688.35</v>
      </c>
      <c r="J4336" s="563">
        <v>-585</v>
      </c>
      <c r="K4336" s="582">
        <f t="shared" si="201"/>
        <v>103.35000000000002</v>
      </c>
      <c r="L4336" s="563">
        <f t="shared" si="202"/>
        <v>113.68500000000003</v>
      </c>
      <c r="M4336" s="563">
        <f t="shared" si="203"/>
        <v>757.18500000000006</v>
      </c>
      <c r="N4336" s="580"/>
    </row>
    <row r="4337" spans="4:14" x14ac:dyDescent="0.25">
      <c r="D4337" s="559" t="s">
        <v>867</v>
      </c>
      <c r="E4337" s="558" t="s">
        <v>327</v>
      </c>
      <c r="F4337" s="559">
        <v>700458</v>
      </c>
      <c r="G4337" s="558" t="s">
        <v>328</v>
      </c>
      <c r="H4337" s="564">
        <v>40015</v>
      </c>
      <c r="I4337" s="563">
        <v>688.35</v>
      </c>
      <c r="J4337" s="563">
        <v>-585</v>
      </c>
      <c r="K4337" s="582">
        <f t="shared" si="201"/>
        <v>103.35000000000002</v>
      </c>
      <c r="L4337" s="563">
        <f t="shared" si="202"/>
        <v>113.68500000000003</v>
      </c>
      <c r="M4337" s="563">
        <f t="shared" si="203"/>
        <v>757.18500000000006</v>
      </c>
      <c r="N4337" s="580"/>
    </row>
    <row r="4338" spans="4:14" x14ac:dyDescent="0.25">
      <c r="D4338" s="559" t="s">
        <v>867</v>
      </c>
      <c r="E4338" s="558" t="s">
        <v>329</v>
      </c>
      <c r="F4338" s="559">
        <v>700466</v>
      </c>
      <c r="G4338" s="558" t="s">
        <v>328</v>
      </c>
      <c r="H4338" s="564">
        <v>40015</v>
      </c>
      <c r="I4338" s="563">
        <v>64.349999999999994</v>
      </c>
      <c r="J4338" s="563">
        <v>-64.349999999999994</v>
      </c>
      <c r="K4338" s="582">
        <f t="shared" si="201"/>
        <v>0</v>
      </c>
      <c r="L4338" s="563">
        <f t="shared" si="202"/>
        <v>0</v>
      </c>
      <c r="M4338" s="563">
        <f t="shared" si="203"/>
        <v>70.784999999999997</v>
      </c>
      <c r="N4338" s="580"/>
    </row>
    <row r="4339" spans="4:14" x14ac:dyDescent="0.25">
      <c r="D4339" s="559" t="s">
        <v>867</v>
      </c>
      <c r="E4339" s="558" t="s">
        <v>330</v>
      </c>
      <c r="F4339" s="559">
        <v>700467</v>
      </c>
      <c r="G4339" s="558" t="s">
        <v>328</v>
      </c>
      <c r="H4339" s="564">
        <v>40015</v>
      </c>
      <c r="I4339" s="563">
        <v>103.35</v>
      </c>
      <c r="J4339" s="563">
        <v>-103.35</v>
      </c>
      <c r="K4339" s="582">
        <f t="shared" si="201"/>
        <v>0</v>
      </c>
      <c r="L4339" s="563">
        <f t="shared" si="202"/>
        <v>0</v>
      </c>
      <c r="M4339" s="563">
        <f t="shared" si="203"/>
        <v>113.685</v>
      </c>
      <c r="N4339" s="580"/>
    </row>
    <row r="4340" spans="4:14" x14ac:dyDescent="0.25">
      <c r="D4340" s="559" t="s">
        <v>867</v>
      </c>
      <c r="E4340" s="558" t="s">
        <v>331</v>
      </c>
      <c r="F4340" s="559">
        <v>700469</v>
      </c>
      <c r="G4340" s="558" t="s">
        <v>328</v>
      </c>
      <c r="H4340" s="564">
        <v>40015</v>
      </c>
      <c r="I4340" s="563">
        <v>844.35</v>
      </c>
      <c r="J4340" s="563">
        <v>-585</v>
      </c>
      <c r="K4340" s="582">
        <f t="shared" si="201"/>
        <v>259.35000000000002</v>
      </c>
      <c r="L4340" s="563">
        <f t="shared" si="202"/>
        <v>285.28500000000003</v>
      </c>
      <c r="M4340" s="563">
        <f t="shared" si="203"/>
        <v>928.78500000000008</v>
      </c>
      <c r="N4340" s="580"/>
    </row>
    <row r="4341" spans="4:14" x14ac:dyDescent="0.25">
      <c r="D4341" s="559" t="s">
        <v>867</v>
      </c>
      <c r="E4341" s="558" t="s">
        <v>332</v>
      </c>
      <c r="F4341" s="559">
        <v>700471</v>
      </c>
      <c r="G4341" s="558" t="s">
        <v>328</v>
      </c>
      <c r="H4341" s="564">
        <v>40015</v>
      </c>
      <c r="I4341" s="563">
        <v>688.35</v>
      </c>
      <c r="J4341" s="563">
        <v>-585</v>
      </c>
      <c r="K4341" s="582">
        <f t="shared" si="201"/>
        <v>103.35000000000002</v>
      </c>
      <c r="L4341" s="563">
        <f t="shared" si="202"/>
        <v>113.68500000000003</v>
      </c>
      <c r="M4341" s="563">
        <f t="shared" si="203"/>
        <v>757.18500000000006</v>
      </c>
      <c r="N4341" s="580"/>
    </row>
    <row r="4342" spans="4:14" x14ac:dyDescent="0.25">
      <c r="D4342" s="559" t="s">
        <v>867</v>
      </c>
      <c r="E4342" s="558" t="s">
        <v>333</v>
      </c>
      <c r="F4342" s="559">
        <v>700472</v>
      </c>
      <c r="G4342" s="558" t="s">
        <v>334</v>
      </c>
      <c r="H4342" s="564">
        <v>40015</v>
      </c>
      <c r="I4342" s="563">
        <v>25.35</v>
      </c>
      <c r="J4342" s="563">
        <v>-25.35</v>
      </c>
      <c r="K4342" s="582">
        <f t="shared" si="201"/>
        <v>0</v>
      </c>
      <c r="L4342" s="563">
        <f t="shared" si="202"/>
        <v>0</v>
      </c>
      <c r="M4342" s="563">
        <f t="shared" si="203"/>
        <v>27.885000000000005</v>
      </c>
      <c r="N4342" s="580"/>
    </row>
    <row r="4343" spans="4:14" x14ac:dyDescent="0.25">
      <c r="D4343" s="559" t="s">
        <v>867</v>
      </c>
      <c r="E4343" s="558" t="s">
        <v>335</v>
      </c>
      <c r="F4343" s="559">
        <v>700473</v>
      </c>
      <c r="G4343" s="558" t="s">
        <v>334</v>
      </c>
      <c r="H4343" s="564">
        <v>40015</v>
      </c>
      <c r="I4343" s="563">
        <v>688.35</v>
      </c>
      <c r="J4343" s="563">
        <v>-585</v>
      </c>
      <c r="K4343" s="582">
        <f t="shared" si="201"/>
        <v>103.35000000000002</v>
      </c>
      <c r="L4343" s="563">
        <f t="shared" si="202"/>
        <v>113.68500000000003</v>
      </c>
      <c r="M4343" s="563">
        <f t="shared" si="203"/>
        <v>757.18500000000006</v>
      </c>
      <c r="N4343" s="580"/>
    </row>
    <row r="4344" spans="4:14" x14ac:dyDescent="0.25">
      <c r="D4344" s="559" t="s">
        <v>867</v>
      </c>
      <c r="E4344" s="558" t="s">
        <v>336</v>
      </c>
      <c r="F4344" s="559">
        <v>700475</v>
      </c>
      <c r="G4344" s="558" t="s">
        <v>334</v>
      </c>
      <c r="H4344" s="564">
        <v>40015</v>
      </c>
      <c r="I4344" s="563">
        <v>181.35</v>
      </c>
      <c r="J4344" s="563">
        <v>-181.35</v>
      </c>
      <c r="K4344" s="582">
        <f t="shared" si="201"/>
        <v>0</v>
      </c>
      <c r="L4344" s="563">
        <f t="shared" si="202"/>
        <v>0</v>
      </c>
      <c r="M4344" s="563">
        <f t="shared" si="203"/>
        <v>199.48500000000001</v>
      </c>
      <c r="N4344" s="580"/>
    </row>
    <row r="4345" spans="4:14" x14ac:dyDescent="0.25">
      <c r="D4345" s="559" t="s">
        <v>867</v>
      </c>
      <c r="E4345" s="558" t="s">
        <v>337</v>
      </c>
      <c r="F4345" s="559">
        <v>700476</v>
      </c>
      <c r="G4345" s="558" t="s">
        <v>334</v>
      </c>
      <c r="H4345" s="564">
        <v>40015</v>
      </c>
      <c r="I4345" s="563">
        <v>688.35</v>
      </c>
      <c r="J4345" s="563">
        <v>-585</v>
      </c>
      <c r="K4345" s="582">
        <f t="shared" si="201"/>
        <v>103.35000000000002</v>
      </c>
      <c r="L4345" s="563">
        <f t="shared" si="202"/>
        <v>113.68500000000003</v>
      </c>
      <c r="M4345" s="563">
        <f t="shared" si="203"/>
        <v>757.18500000000006</v>
      </c>
      <c r="N4345" s="580"/>
    </row>
    <row r="4346" spans="4:14" x14ac:dyDescent="0.25">
      <c r="D4346" s="559" t="s">
        <v>867</v>
      </c>
      <c r="E4346" s="558" t="s">
        <v>338</v>
      </c>
      <c r="F4346" s="559">
        <v>700479</v>
      </c>
      <c r="G4346" s="558" t="s">
        <v>334</v>
      </c>
      <c r="H4346" s="564">
        <v>40015</v>
      </c>
      <c r="I4346" s="563">
        <v>25.35</v>
      </c>
      <c r="J4346" s="563">
        <v>-25.35</v>
      </c>
      <c r="K4346" s="582">
        <f t="shared" si="201"/>
        <v>0</v>
      </c>
      <c r="L4346" s="563">
        <f t="shared" si="202"/>
        <v>0</v>
      </c>
      <c r="M4346" s="563">
        <f t="shared" si="203"/>
        <v>27.885000000000005</v>
      </c>
      <c r="N4346" s="580"/>
    </row>
    <row r="4347" spans="4:14" x14ac:dyDescent="0.25">
      <c r="D4347" s="559" t="s">
        <v>867</v>
      </c>
      <c r="E4347" s="558" t="s">
        <v>339</v>
      </c>
      <c r="F4347" s="559">
        <v>700485</v>
      </c>
      <c r="G4347" s="558" t="s">
        <v>340</v>
      </c>
      <c r="H4347" s="564">
        <v>40015</v>
      </c>
      <c r="I4347" s="563">
        <v>25.35</v>
      </c>
      <c r="J4347" s="563">
        <v>-25.35</v>
      </c>
      <c r="K4347" s="582">
        <f t="shared" si="201"/>
        <v>0</v>
      </c>
      <c r="L4347" s="563">
        <f t="shared" si="202"/>
        <v>0</v>
      </c>
      <c r="M4347" s="563">
        <f t="shared" si="203"/>
        <v>27.885000000000005</v>
      </c>
      <c r="N4347" s="580"/>
    </row>
    <row r="4348" spans="4:14" x14ac:dyDescent="0.25">
      <c r="D4348" s="559" t="s">
        <v>867</v>
      </c>
      <c r="E4348" s="558" t="s">
        <v>341</v>
      </c>
      <c r="F4348" s="559">
        <v>700487</v>
      </c>
      <c r="G4348" s="558" t="s">
        <v>340</v>
      </c>
      <c r="H4348" s="564">
        <v>40015</v>
      </c>
      <c r="I4348" s="563">
        <v>25.35</v>
      </c>
      <c r="J4348" s="563">
        <v>-25.35</v>
      </c>
      <c r="K4348" s="582">
        <f t="shared" si="201"/>
        <v>0</v>
      </c>
      <c r="L4348" s="563">
        <f t="shared" si="202"/>
        <v>0</v>
      </c>
      <c r="M4348" s="563">
        <f t="shared" si="203"/>
        <v>27.885000000000005</v>
      </c>
      <c r="N4348" s="580"/>
    </row>
    <row r="4349" spans="4:14" x14ac:dyDescent="0.25">
      <c r="D4349" s="559" t="s">
        <v>867</v>
      </c>
      <c r="E4349" s="558" t="s">
        <v>342</v>
      </c>
      <c r="F4349" s="559">
        <v>700488</v>
      </c>
      <c r="G4349" s="558" t="s">
        <v>340</v>
      </c>
      <c r="H4349" s="564">
        <v>40015</v>
      </c>
      <c r="I4349" s="563">
        <v>25.35</v>
      </c>
      <c r="J4349" s="563">
        <v>-25.35</v>
      </c>
      <c r="K4349" s="582">
        <f t="shared" si="201"/>
        <v>0</v>
      </c>
      <c r="L4349" s="563">
        <f t="shared" si="202"/>
        <v>0</v>
      </c>
      <c r="M4349" s="563">
        <f t="shared" si="203"/>
        <v>27.885000000000005</v>
      </c>
      <c r="N4349" s="580"/>
    </row>
    <row r="4350" spans="4:14" x14ac:dyDescent="0.25">
      <c r="D4350" s="559" t="s">
        <v>867</v>
      </c>
      <c r="E4350" s="558" t="s">
        <v>343</v>
      </c>
      <c r="F4350" s="559">
        <v>700489</v>
      </c>
      <c r="G4350" s="558" t="s">
        <v>340</v>
      </c>
      <c r="H4350" s="564">
        <v>40015</v>
      </c>
      <c r="I4350" s="563">
        <v>25.35</v>
      </c>
      <c r="J4350" s="563">
        <v>-25.35</v>
      </c>
      <c r="K4350" s="582">
        <f t="shared" si="201"/>
        <v>0</v>
      </c>
      <c r="L4350" s="563">
        <f t="shared" si="202"/>
        <v>0</v>
      </c>
      <c r="M4350" s="563">
        <f t="shared" si="203"/>
        <v>27.885000000000005</v>
      </c>
      <c r="N4350" s="580"/>
    </row>
    <row r="4351" spans="4:14" x14ac:dyDescent="0.25">
      <c r="D4351" s="559" t="s">
        <v>867</v>
      </c>
      <c r="E4351" s="558" t="s">
        <v>344</v>
      </c>
      <c r="F4351" s="559">
        <v>700494</v>
      </c>
      <c r="G4351" s="558" t="s">
        <v>340</v>
      </c>
      <c r="H4351" s="564">
        <v>40015</v>
      </c>
      <c r="I4351" s="563">
        <v>688.35</v>
      </c>
      <c r="J4351" s="563">
        <v>-585</v>
      </c>
      <c r="K4351" s="582">
        <f t="shared" si="201"/>
        <v>103.35000000000002</v>
      </c>
      <c r="L4351" s="563">
        <f t="shared" si="202"/>
        <v>113.68500000000003</v>
      </c>
      <c r="M4351" s="563">
        <f t="shared" si="203"/>
        <v>757.18500000000006</v>
      </c>
      <c r="N4351" s="580"/>
    </row>
    <row r="4352" spans="4:14" x14ac:dyDescent="0.25">
      <c r="D4352" s="559" t="s">
        <v>867</v>
      </c>
      <c r="E4352" s="558" t="s">
        <v>345</v>
      </c>
      <c r="F4352" s="559">
        <v>700495</v>
      </c>
      <c r="G4352" s="558" t="s">
        <v>346</v>
      </c>
      <c r="H4352" s="564">
        <v>40015</v>
      </c>
      <c r="I4352" s="563">
        <v>142.35</v>
      </c>
      <c r="J4352" s="563">
        <v>-142.35</v>
      </c>
      <c r="K4352" s="582">
        <f t="shared" si="201"/>
        <v>0</v>
      </c>
      <c r="L4352" s="563">
        <f t="shared" si="202"/>
        <v>0</v>
      </c>
      <c r="M4352" s="563">
        <f t="shared" si="203"/>
        <v>156.58500000000001</v>
      </c>
      <c r="N4352" s="580"/>
    </row>
    <row r="4353" spans="4:14" x14ac:dyDescent="0.25">
      <c r="D4353" s="559" t="s">
        <v>867</v>
      </c>
      <c r="E4353" s="558" t="s">
        <v>347</v>
      </c>
      <c r="F4353" s="559">
        <v>701342</v>
      </c>
      <c r="G4353" s="558" t="s">
        <v>346</v>
      </c>
      <c r="H4353" s="564">
        <v>40015</v>
      </c>
      <c r="I4353" s="563">
        <v>25.35</v>
      </c>
      <c r="J4353" s="563">
        <v>-25.35</v>
      </c>
      <c r="K4353" s="582">
        <f t="shared" si="201"/>
        <v>0</v>
      </c>
      <c r="L4353" s="563">
        <f t="shared" si="202"/>
        <v>0</v>
      </c>
      <c r="M4353" s="563">
        <f t="shared" si="203"/>
        <v>27.885000000000005</v>
      </c>
      <c r="N4353" s="580"/>
    </row>
    <row r="4354" spans="4:14" x14ac:dyDescent="0.25">
      <c r="D4354" s="559" t="s">
        <v>867</v>
      </c>
      <c r="E4354" s="558" t="s">
        <v>348</v>
      </c>
      <c r="F4354" s="559">
        <v>700500</v>
      </c>
      <c r="G4354" s="558" t="s">
        <v>346</v>
      </c>
      <c r="H4354" s="564">
        <v>40015</v>
      </c>
      <c r="I4354" s="563">
        <v>688.35</v>
      </c>
      <c r="J4354" s="563">
        <v>-585</v>
      </c>
      <c r="K4354" s="582">
        <f t="shared" si="201"/>
        <v>103.35000000000002</v>
      </c>
      <c r="L4354" s="563">
        <f t="shared" si="202"/>
        <v>113.68500000000003</v>
      </c>
      <c r="M4354" s="563">
        <f t="shared" si="203"/>
        <v>757.18500000000006</v>
      </c>
      <c r="N4354" s="580"/>
    </row>
    <row r="4355" spans="4:14" x14ac:dyDescent="0.25">
      <c r="D4355" s="559" t="s">
        <v>867</v>
      </c>
      <c r="E4355" s="558" t="s">
        <v>349</v>
      </c>
      <c r="F4355" s="559">
        <v>700502</v>
      </c>
      <c r="G4355" s="558" t="s">
        <v>346</v>
      </c>
      <c r="H4355" s="564">
        <v>40015</v>
      </c>
      <c r="I4355" s="563">
        <v>25.35</v>
      </c>
      <c r="J4355" s="563">
        <v>-25.35</v>
      </c>
      <c r="K4355" s="582">
        <f t="shared" si="201"/>
        <v>0</v>
      </c>
      <c r="L4355" s="563">
        <f t="shared" si="202"/>
        <v>0</v>
      </c>
      <c r="M4355" s="563">
        <f t="shared" si="203"/>
        <v>27.885000000000005</v>
      </c>
      <c r="N4355" s="580"/>
    </row>
    <row r="4356" spans="4:14" x14ac:dyDescent="0.25">
      <c r="D4356" s="559" t="s">
        <v>867</v>
      </c>
      <c r="E4356" s="558" t="s">
        <v>350</v>
      </c>
      <c r="F4356" s="559">
        <v>700503</v>
      </c>
      <c r="G4356" s="558" t="s">
        <v>346</v>
      </c>
      <c r="H4356" s="564">
        <v>40015</v>
      </c>
      <c r="I4356" s="563">
        <v>25.35</v>
      </c>
      <c r="J4356" s="563">
        <v>-25.35</v>
      </c>
      <c r="K4356" s="582">
        <f t="shared" si="201"/>
        <v>0</v>
      </c>
      <c r="L4356" s="563">
        <f t="shared" si="202"/>
        <v>0</v>
      </c>
      <c r="M4356" s="563">
        <f t="shared" si="203"/>
        <v>27.885000000000005</v>
      </c>
      <c r="N4356" s="580"/>
    </row>
    <row r="4357" spans="4:14" x14ac:dyDescent="0.25">
      <c r="D4357" s="559" t="s">
        <v>867</v>
      </c>
      <c r="E4357" s="558" t="s">
        <v>351</v>
      </c>
      <c r="F4357" s="559">
        <v>700505</v>
      </c>
      <c r="G4357" s="558" t="s">
        <v>352</v>
      </c>
      <c r="H4357" s="564">
        <v>40015</v>
      </c>
      <c r="I4357" s="563">
        <v>25.35</v>
      </c>
      <c r="J4357" s="563">
        <v>-25.35</v>
      </c>
      <c r="K4357" s="582">
        <f t="shared" si="201"/>
        <v>0</v>
      </c>
      <c r="L4357" s="563">
        <f t="shared" si="202"/>
        <v>0</v>
      </c>
      <c r="M4357" s="563">
        <f t="shared" si="203"/>
        <v>27.885000000000005</v>
      </c>
      <c r="N4357" s="580"/>
    </row>
    <row r="4358" spans="4:14" x14ac:dyDescent="0.25">
      <c r="D4358" s="559" t="s">
        <v>867</v>
      </c>
      <c r="E4358" s="558" t="s">
        <v>353</v>
      </c>
      <c r="F4358" s="559">
        <v>700506</v>
      </c>
      <c r="G4358" s="558" t="s">
        <v>352</v>
      </c>
      <c r="H4358" s="564">
        <v>40015</v>
      </c>
      <c r="I4358" s="563">
        <v>25.35</v>
      </c>
      <c r="J4358" s="563">
        <v>-25.35</v>
      </c>
      <c r="K4358" s="582">
        <f t="shared" si="201"/>
        <v>0</v>
      </c>
      <c r="L4358" s="563">
        <f t="shared" si="202"/>
        <v>0</v>
      </c>
      <c r="M4358" s="563">
        <f t="shared" si="203"/>
        <v>27.885000000000005</v>
      </c>
      <c r="N4358" s="580"/>
    </row>
    <row r="4359" spans="4:14" x14ac:dyDescent="0.25">
      <c r="D4359" s="559" t="s">
        <v>867</v>
      </c>
      <c r="E4359" s="558" t="s">
        <v>354</v>
      </c>
      <c r="F4359" s="559">
        <v>700507</v>
      </c>
      <c r="G4359" s="558" t="s">
        <v>352</v>
      </c>
      <c r="H4359" s="564">
        <v>40015</v>
      </c>
      <c r="I4359" s="563">
        <v>25.35</v>
      </c>
      <c r="J4359" s="563">
        <v>-25.35</v>
      </c>
      <c r="K4359" s="582">
        <f t="shared" si="201"/>
        <v>0</v>
      </c>
      <c r="L4359" s="563">
        <f t="shared" si="202"/>
        <v>0</v>
      </c>
      <c r="M4359" s="563">
        <f t="shared" si="203"/>
        <v>27.885000000000005</v>
      </c>
      <c r="N4359" s="580"/>
    </row>
    <row r="4360" spans="4:14" x14ac:dyDescent="0.25">
      <c r="D4360" s="559" t="s">
        <v>867</v>
      </c>
      <c r="E4360" s="558" t="s">
        <v>355</v>
      </c>
      <c r="F4360" s="559">
        <v>700509</v>
      </c>
      <c r="G4360" s="558" t="s">
        <v>352</v>
      </c>
      <c r="H4360" s="564">
        <v>40015</v>
      </c>
      <c r="I4360" s="563">
        <v>25.35</v>
      </c>
      <c r="J4360" s="563">
        <v>-25.35</v>
      </c>
      <c r="K4360" s="582">
        <f t="shared" si="201"/>
        <v>0</v>
      </c>
      <c r="L4360" s="563">
        <f t="shared" si="202"/>
        <v>0</v>
      </c>
      <c r="M4360" s="563">
        <f t="shared" si="203"/>
        <v>27.885000000000005</v>
      </c>
      <c r="N4360" s="580"/>
    </row>
    <row r="4361" spans="4:14" x14ac:dyDescent="0.25">
      <c r="D4361" s="559" t="s">
        <v>867</v>
      </c>
      <c r="E4361" s="558" t="s">
        <v>356</v>
      </c>
      <c r="F4361" s="559">
        <v>700511</v>
      </c>
      <c r="G4361" s="558" t="s">
        <v>352</v>
      </c>
      <c r="H4361" s="564">
        <v>40015</v>
      </c>
      <c r="I4361" s="563">
        <v>142.35</v>
      </c>
      <c r="J4361" s="563">
        <v>-142.35</v>
      </c>
      <c r="K4361" s="582">
        <f t="shared" si="201"/>
        <v>0</v>
      </c>
      <c r="L4361" s="563">
        <f t="shared" si="202"/>
        <v>0</v>
      </c>
      <c r="M4361" s="563">
        <f t="shared" si="203"/>
        <v>156.58500000000001</v>
      </c>
      <c r="N4361" s="580"/>
    </row>
    <row r="4362" spans="4:14" x14ac:dyDescent="0.25">
      <c r="D4362" s="559" t="s">
        <v>867</v>
      </c>
      <c r="E4362" s="558" t="s">
        <v>357</v>
      </c>
      <c r="F4362" s="559">
        <v>700512</v>
      </c>
      <c r="G4362" s="558" t="s">
        <v>358</v>
      </c>
      <c r="H4362" s="564">
        <v>40015</v>
      </c>
      <c r="I4362" s="563">
        <v>142.35</v>
      </c>
      <c r="J4362" s="563">
        <v>-142.35</v>
      </c>
      <c r="K4362" s="582">
        <f t="shared" si="201"/>
        <v>0</v>
      </c>
      <c r="L4362" s="563">
        <f t="shared" si="202"/>
        <v>0</v>
      </c>
      <c r="M4362" s="563">
        <f t="shared" si="203"/>
        <v>156.58500000000001</v>
      </c>
      <c r="N4362" s="580"/>
    </row>
    <row r="4363" spans="4:14" x14ac:dyDescent="0.25">
      <c r="D4363" s="559" t="s">
        <v>867</v>
      </c>
      <c r="E4363" s="558" t="s">
        <v>359</v>
      </c>
      <c r="F4363" s="559">
        <v>700513</v>
      </c>
      <c r="G4363" s="558" t="s">
        <v>358</v>
      </c>
      <c r="H4363" s="564">
        <v>40015</v>
      </c>
      <c r="I4363" s="563">
        <v>142.35</v>
      </c>
      <c r="J4363" s="563">
        <v>-142.35</v>
      </c>
      <c r="K4363" s="582">
        <f t="shared" si="201"/>
        <v>0</v>
      </c>
      <c r="L4363" s="563">
        <f t="shared" si="202"/>
        <v>0</v>
      </c>
      <c r="M4363" s="563">
        <f t="shared" si="203"/>
        <v>156.58500000000001</v>
      </c>
      <c r="N4363" s="580"/>
    </row>
    <row r="4364" spans="4:14" x14ac:dyDescent="0.25">
      <c r="D4364" s="559" t="s">
        <v>867</v>
      </c>
      <c r="E4364" s="558" t="s">
        <v>360</v>
      </c>
      <c r="F4364" s="559">
        <v>701345</v>
      </c>
      <c r="G4364" s="558" t="s">
        <v>358</v>
      </c>
      <c r="H4364" s="564">
        <v>40015</v>
      </c>
      <c r="I4364" s="563">
        <v>376.35</v>
      </c>
      <c r="J4364" s="563">
        <v>-376.35</v>
      </c>
      <c r="K4364" s="582">
        <f t="shared" si="201"/>
        <v>0</v>
      </c>
      <c r="L4364" s="563">
        <f t="shared" si="202"/>
        <v>0</v>
      </c>
      <c r="M4364" s="563">
        <f t="shared" si="203"/>
        <v>413.98500000000007</v>
      </c>
      <c r="N4364" s="580"/>
    </row>
    <row r="4365" spans="4:14" x14ac:dyDescent="0.25">
      <c r="D4365" s="559" t="s">
        <v>867</v>
      </c>
      <c r="E4365" s="558" t="s">
        <v>361</v>
      </c>
      <c r="F4365" s="559">
        <v>700517</v>
      </c>
      <c r="G4365" s="558" t="s">
        <v>358</v>
      </c>
      <c r="H4365" s="564">
        <v>40015</v>
      </c>
      <c r="I4365" s="563">
        <v>142.35</v>
      </c>
      <c r="J4365" s="563">
        <v>-142.35</v>
      </c>
      <c r="K4365" s="582">
        <f t="shared" si="201"/>
        <v>0</v>
      </c>
      <c r="L4365" s="563">
        <f t="shared" si="202"/>
        <v>0</v>
      </c>
      <c r="M4365" s="563">
        <f t="shared" si="203"/>
        <v>156.58500000000001</v>
      </c>
      <c r="N4365" s="580"/>
    </row>
    <row r="4366" spans="4:14" x14ac:dyDescent="0.25">
      <c r="D4366" s="559" t="s">
        <v>867</v>
      </c>
      <c r="E4366" s="558" t="s">
        <v>362</v>
      </c>
      <c r="F4366" s="559">
        <v>700518</v>
      </c>
      <c r="G4366" s="558" t="s">
        <v>358</v>
      </c>
      <c r="H4366" s="564">
        <v>40015</v>
      </c>
      <c r="I4366" s="563">
        <v>142.35</v>
      </c>
      <c r="J4366" s="563">
        <v>-142.35</v>
      </c>
      <c r="K4366" s="582">
        <f t="shared" si="201"/>
        <v>0</v>
      </c>
      <c r="L4366" s="563">
        <f t="shared" si="202"/>
        <v>0</v>
      </c>
      <c r="M4366" s="563">
        <f t="shared" si="203"/>
        <v>156.58500000000001</v>
      </c>
      <c r="N4366" s="580"/>
    </row>
    <row r="4367" spans="4:14" x14ac:dyDescent="0.25">
      <c r="D4367" s="559" t="s">
        <v>867</v>
      </c>
      <c r="E4367" s="558" t="s">
        <v>363</v>
      </c>
      <c r="F4367" s="559">
        <v>700519</v>
      </c>
      <c r="G4367" s="558" t="s">
        <v>364</v>
      </c>
      <c r="H4367" s="564">
        <v>40015</v>
      </c>
      <c r="I4367" s="563">
        <v>142.35</v>
      </c>
      <c r="J4367" s="563">
        <v>-142.35</v>
      </c>
      <c r="K4367" s="582">
        <f t="shared" si="201"/>
        <v>0</v>
      </c>
      <c r="L4367" s="563">
        <f t="shared" si="202"/>
        <v>0</v>
      </c>
      <c r="M4367" s="563">
        <f t="shared" si="203"/>
        <v>156.58500000000001</v>
      </c>
      <c r="N4367" s="580"/>
    </row>
    <row r="4368" spans="4:14" x14ac:dyDescent="0.25">
      <c r="D4368" s="559" t="s">
        <v>867</v>
      </c>
      <c r="E4368" s="558" t="s">
        <v>365</v>
      </c>
      <c r="F4368" s="559">
        <v>700520</v>
      </c>
      <c r="G4368" s="558" t="s">
        <v>364</v>
      </c>
      <c r="H4368" s="564">
        <v>40015</v>
      </c>
      <c r="I4368" s="563">
        <v>142.35</v>
      </c>
      <c r="J4368" s="563">
        <v>-142.35</v>
      </c>
      <c r="K4368" s="582">
        <f t="shared" si="201"/>
        <v>0</v>
      </c>
      <c r="L4368" s="563">
        <f t="shared" si="202"/>
        <v>0</v>
      </c>
      <c r="M4368" s="563">
        <f t="shared" si="203"/>
        <v>156.58500000000001</v>
      </c>
      <c r="N4368" s="580"/>
    </row>
    <row r="4369" spans="4:14" x14ac:dyDescent="0.25">
      <c r="D4369" s="559" t="s">
        <v>867</v>
      </c>
      <c r="E4369" s="558" t="s">
        <v>366</v>
      </c>
      <c r="F4369" s="559">
        <v>700521</v>
      </c>
      <c r="G4369" s="558" t="s">
        <v>364</v>
      </c>
      <c r="H4369" s="564">
        <v>40015</v>
      </c>
      <c r="I4369" s="563">
        <v>220.35</v>
      </c>
      <c r="J4369" s="563">
        <v>-220.35</v>
      </c>
      <c r="K4369" s="582">
        <f t="shared" si="201"/>
        <v>0</v>
      </c>
      <c r="L4369" s="563">
        <f t="shared" si="202"/>
        <v>0</v>
      </c>
      <c r="M4369" s="563">
        <f t="shared" si="203"/>
        <v>242.38500000000002</v>
      </c>
      <c r="N4369" s="580"/>
    </row>
    <row r="4370" spans="4:14" x14ac:dyDescent="0.25">
      <c r="D4370" s="559" t="s">
        <v>867</v>
      </c>
      <c r="E4370" s="558" t="s">
        <v>367</v>
      </c>
      <c r="F4370" s="559">
        <v>700524</v>
      </c>
      <c r="G4370" s="558" t="s">
        <v>364</v>
      </c>
      <c r="H4370" s="564">
        <v>40015</v>
      </c>
      <c r="I4370" s="563">
        <v>688.35</v>
      </c>
      <c r="J4370" s="563">
        <v>-585</v>
      </c>
      <c r="K4370" s="582">
        <f t="shared" si="201"/>
        <v>103.35000000000002</v>
      </c>
      <c r="L4370" s="563">
        <f t="shared" si="202"/>
        <v>113.68500000000003</v>
      </c>
      <c r="M4370" s="563">
        <f t="shared" si="203"/>
        <v>757.18500000000006</v>
      </c>
      <c r="N4370" s="580"/>
    </row>
    <row r="4371" spans="4:14" x14ac:dyDescent="0.25">
      <c r="D4371" s="559" t="s">
        <v>867</v>
      </c>
      <c r="E4371" s="558" t="s">
        <v>368</v>
      </c>
      <c r="F4371" s="559">
        <v>700531</v>
      </c>
      <c r="G4371" s="558" t="s">
        <v>364</v>
      </c>
      <c r="H4371" s="564">
        <v>40015</v>
      </c>
      <c r="I4371" s="563">
        <v>688.35</v>
      </c>
      <c r="J4371" s="563">
        <v>-585</v>
      </c>
      <c r="K4371" s="582">
        <f t="shared" si="201"/>
        <v>103.35000000000002</v>
      </c>
      <c r="L4371" s="563">
        <f t="shared" si="202"/>
        <v>113.68500000000003</v>
      </c>
      <c r="M4371" s="563">
        <f t="shared" si="203"/>
        <v>757.18500000000006</v>
      </c>
      <c r="N4371" s="580"/>
    </row>
    <row r="4372" spans="4:14" x14ac:dyDescent="0.25">
      <c r="D4372" s="559" t="s">
        <v>867</v>
      </c>
      <c r="E4372" s="558" t="s">
        <v>369</v>
      </c>
      <c r="F4372" s="559">
        <v>700533</v>
      </c>
      <c r="G4372" s="558" t="s">
        <v>370</v>
      </c>
      <c r="H4372" s="564">
        <v>40015</v>
      </c>
      <c r="I4372" s="563">
        <v>298.35000000000002</v>
      </c>
      <c r="J4372" s="563">
        <v>-298.35000000000002</v>
      </c>
      <c r="K4372" s="582">
        <f t="shared" si="201"/>
        <v>0</v>
      </c>
      <c r="L4372" s="563">
        <f t="shared" si="202"/>
        <v>0</v>
      </c>
      <c r="M4372" s="563">
        <f t="shared" si="203"/>
        <v>328.18500000000006</v>
      </c>
      <c r="N4372" s="580"/>
    </row>
    <row r="4373" spans="4:14" x14ac:dyDescent="0.25">
      <c r="D4373" s="559" t="s">
        <v>867</v>
      </c>
      <c r="E4373" s="558" t="s">
        <v>371</v>
      </c>
      <c r="F4373" s="559">
        <v>700534</v>
      </c>
      <c r="G4373" s="558" t="s">
        <v>370</v>
      </c>
      <c r="H4373" s="564">
        <v>40015</v>
      </c>
      <c r="I4373" s="563">
        <v>844.35</v>
      </c>
      <c r="J4373" s="563">
        <v>-585</v>
      </c>
      <c r="K4373" s="582">
        <f t="shared" si="201"/>
        <v>259.35000000000002</v>
      </c>
      <c r="L4373" s="563">
        <f t="shared" si="202"/>
        <v>285.28500000000003</v>
      </c>
      <c r="M4373" s="563">
        <f t="shared" si="203"/>
        <v>928.78500000000008</v>
      </c>
      <c r="N4373" s="580"/>
    </row>
    <row r="4374" spans="4:14" x14ac:dyDescent="0.25">
      <c r="D4374" s="559" t="s">
        <v>867</v>
      </c>
      <c r="E4374" s="558" t="s">
        <v>372</v>
      </c>
      <c r="F4374" s="559">
        <v>700535</v>
      </c>
      <c r="G4374" s="558" t="s">
        <v>370</v>
      </c>
      <c r="H4374" s="564">
        <v>40015</v>
      </c>
      <c r="I4374" s="563">
        <v>25.35</v>
      </c>
      <c r="J4374" s="563">
        <v>-25.35</v>
      </c>
      <c r="K4374" s="582">
        <f t="shared" si="201"/>
        <v>0</v>
      </c>
      <c r="L4374" s="563">
        <f t="shared" si="202"/>
        <v>0</v>
      </c>
      <c r="M4374" s="563">
        <f t="shared" si="203"/>
        <v>27.885000000000005</v>
      </c>
      <c r="N4374" s="580"/>
    </row>
    <row r="4375" spans="4:14" x14ac:dyDescent="0.25">
      <c r="D4375" s="559" t="s">
        <v>867</v>
      </c>
      <c r="E4375" s="558" t="s">
        <v>373</v>
      </c>
      <c r="F4375" s="559">
        <v>700537</v>
      </c>
      <c r="G4375" s="558" t="s">
        <v>370</v>
      </c>
      <c r="H4375" s="564">
        <v>40015</v>
      </c>
      <c r="I4375" s="563">
        <v>103.35</v>
      </c>
      <c r="J4375" s="563">
        <v>-103.35</v>
      </c>
      <c r="K4375" s="582">
        <f t="shared" si="201"/>
        <v>0</v>
      </c>
      <c r="L4375" s="563">
        <f t="shared" si="202"/>
        <v>0</v>
      </c>
      <c r="M4375" s="563">
        <f t="shared" si="203"/>
        <v>113.685</v>
      </c>
      <c r="N4375" s="580"/>
    </row>
    <row r="4376" spans="4:14" x14ac:dyDescent="0.25">
      <c r="D4376" s="559" t="s">
        <v>867</v>
      </c>
      <c r="E4376" s="558" t="s">
        <v>374</v>
      </c>
      <c r="F4376" s="559">
        <v>700538</v>
      </c>
      <c r="G4376" s="558" t="s">
        <v>370</v>
      </c>
      <c r="H4376" s="564">
        <v>40015</v>
      </c>
      <c r="I4376" s="563">
        <v>142.35</v>
      </c>
      <c r="J4376" s="563">
        <v>-142.35</v>
      </c>
      <c r="K4376" s="582">
        <f t="shared" si="201"/>
        <v>0</v>
      </c>
      <c r="L4376" s="563">
        <f t="shared" si="202"/>
        <v>0</v>
      </c>
      <c r="M4376" s="563">
        <f t="shared" si="203"/>
        <v>156.58500000000001</v>
      </c>
      <c r="N4376" s="580"/>
    </row>
    <row r="4377" spans="4:14" x14ac:dyDescent="0.25">
      <c r="D4377" s="559" t="s">
        <v>867</v>
      </c>
      <c r="E4377" s="558" t="s">
        <v>375</v>
      </c>
      <c r="F4377" s="559">
        <v>700539</v>
      </c>
      <c r="G4377" s="558" t="s">
        <v>376</v>
      </c>
      <c r="H4377" s="564">
        <v>40015</v>
      </c>
      <c r="I4377" s="563">
        <v>142.35</v>
      </c>
      <c r="J4377" s="563">
        <v>-142.35</v>
      </c>
      <c r="K4377" s="582">
        <f t="shared" si="201"/>
        <v>0</v>
      </c>
      <c r="L4377" s="563">
        <f t="shared" si="202"/>
        <v>0</v>
      </c>
      <c r="M4377" s="563">
        <f t="shared" si="203"/>
        <v>156.58500000000001</v>
      </c>
      <c r="N4377" s="580"/>
    </row>
    <row r="4378" spans="4:14" x14ac:dyDescent="0.25">
      <c r="D4378" s="559" t="s">
        <v>867</v>
      </c>
      <c r="E4378" s="558" t="s">
        <v>377</v>
      </c>
      <c r="F4378" s="559">
        <v>700540</v>
      </c>
      <c r="G4378" s="558" t="s">
        <v>376</v>
      </c>
      <c r="H4378" s="564">
        <v>40015</v>
      </c>
      <c r="I4378" s="563">
        <v>142.35</v>
      </c>
      <c r="J4378" s="563">
        <v>-142.35</v>
      </c>
      <c r="K4378" s="582">
        <f t="shared" si="201"/>
        <v>0</v>
      </c>
      <c r="L4378" s="563">
        <f t="shared" si="202"/>
        <v>0</v>
      </c>
      <c r="M4378" s="563">
        <f t="shared" si="203"/>
        <v>156.58500000000001</v>
      </c>
      <c r="N4378" s="580"/>
    </row>
    <row r="4379" spans="4:14" x14ac:dyDescent="0.25">
      <c r="D4379" s="559" t="s">
        <v>867</v>
      </c>
      <c r="E4379" s="558" t="s">
        <v>378</v>
      </c>
      <c r="F4379" s="559">
        <v>700543</v>
      </c>
      <c r="G4379" s="558" t="s">
        <v>376</v>
      </c>
      <c r="H4379" s="564">
        <v>40015</v>
      </c>
      <c r="I4379" s="563">
        <v>25.35</v>
      </c>
      <c r="J4379" s="563">
        <v>-25.35</v>
      </c>
      <c r="K4379" s="582">
        <f t="shared" si="201"/>
        <v>0</v>
      </c>
      <c r="L4379" s="563">
        <f t="shared" si="202"/>
        <v>0</v>
      </c>
      <c r="M4379" s="563">
        <f t="shared" si="203"/>
        <v>27.885000000000005</v>
      </c>
      <c r="N4379" s="580"/>
    </row>
    <row r="4380" spans="4:14" x14ac:dyDescent="0.25">
      <c r="D4380" s="559" t="s">
        <v>867</v>
      </c>
      <c r="E4380" s="558" t="s">
        <v>379</v>
      </c>
      <c r="F4380" s="559">
        <v>700549</v>
      </c>
      <c r="G4380" s="558" t="s">
        <v>376</v>
      </c>
      <c r="H4380" s="564">
        <v>40015</v>
      </c>
      <c r="I4380" s="563">
        <v>25.35</v>
      </c>
      <c r="J4380" s="563">
        <v>-25.35</v>
      </c>
      <c r="K4380" s="582">
        <f t="shared" si="201"/>
        <v>0</v>
      </c>
      <c r="L4380" s="563">
        <f t="shared" si="202"/>
        <v>0</v>
      </c>
      <c r="M4380" s="563">
        <f t="shared" si="203"/>
        <v>27.885000000000005</v>
      </c>
      <c r="N4380" s="580"/>
    </row>
    <row r="4381" spans="4:14" x14ac:dyDescent="0.25">
      <c r="D4381" s="559" t="s">
        <v>867</v>
      </c>
      <c r="E4381" s="558" t="s">
        <v>380</v>
      </c>
      <c r="F4381" s="559">
        <v>701610</v>
      </c>
      <c r="G4381" s="558" t="s">
        <v>376</v>
      </c>
      <c r="H4381" s="564">
        <v>40015</v>
      </c>
      <c r="I4381" s="563">
        <v>25.35</v>
      </c>
      <c r="J4381" s="563">
        <v>-25.35</v>
      </c>
      <c r="K4381" s="582">
        <f t="shared" si="201"/>
        <v>0</v>
      </c>
      <c r="L4381" s="563">
        <f t="shared" si="202"/>
        <v>0</v>
      </c>
      <c r="M4381" s="563">
        <f t="shared" si="203"/>
        <v>27.885000000000005</v>
      </c>
      <c r="N4381" s="580"/>
    </row>
    <row r="4382" spans="4:14" x14ac:dyDescent="0.25">
      <c r="D4382" s="559" t="s">
        <v>867</v>
      </c>
      <c r="E4382" s="558" t="s">
        <v>381</v>
      </c>
      <c r="F4382" s="559">
        <v>700551</v>
      </c>
      <c r="G4382" s="558" t="s">
        <v>1978</v>
      </c>
      <c r="H4382" s="564">
        <v>40015</v>
      </c>
      <c r="I4382" s="563">
        <v>688.35</v>
      </c>
      <c r="J4382" s="563">
        <v>-585</v>
      </c>
      <c r="K4382" s="582">
        <f t="shared" si="201"/>
        <v>103.35000000000002</v>
      </c>
      <c r="L4382" s="563">
        <f t="shared" si="202"/>
        <v>113.68500000000003</v>
      </c>
      <c r="M4382" s="563">
        <f t="shared" si="203"/>
        <v>757.18500000000006</v>
      </c>
      <c r="N4382" s="580"/>
    </row>
    <row r="4383" spans="4:14" x14ac:dyDescent="0.25">
      <c r="D4383" s="559" t="s">
        <v>867</v>
      </c>
      <c r="E4383" s="558" t="s">
        <v>382</v>
      </c>
      <c r="F4383" s="559">
        <v>700555</v>
      </c>
      <c r="G4383" s="558" t="s">
        <v>1978</v>
      </c>
      <c r="H4383" s="564">
        <v>40015</v>
      </c>
      <c r="I4383" s="563">
        <v>688.35</v>
      </c>
      <c r="J4383" s="563">
        <v>-585</v>
      </c>
      <c r="K4383" s="582">
        <f t="shared" si="201"/>
        <v>103.35000000000002</v>
      </c>
      <c r="L4383" s="563">
        <f t="shared" si="202"/>
        <v>113.68500000000003</v>
      </c>
      <c r="M4383" s="563">
        <f t="shared" si="203"/>
        <v>757.18500000000006</v>
      </c>
      <c r="N4383" s="580"/>
    </row>
    <row r="4384" spans="4:14" x14ac:dyDescent="0.25">
      <c r="D4384" s="559" t="s">
        <v>867</v>
      </c>
      <c r="E4384" s="558" t="s">
        <v>383</v>
      </c>
      <c r="F4384" s="559">
        <v>700558</v>
      </c>
      <c r="G4384" s="558" t="s">
        <v>1978</v>
      </c>
      <c r="H4384" s="564">
        <v>40015</v>
      </c>
      <c r="I4384" s="563">
        <v>727.35</v>
      </c>
      <c r="J4384" s="563">
        <v>-585</v>
      </c>
      <c r="K4384" s="582">
        <f t="shared" si="201"/>
        <v>142.35000000000002</v>
      </c>
      <c r="L4384" s="563">
        <f t="shared" si="202"/>
        <v>156.58500000000004</v>
      </c>
      <c r="M4384" s="563">
        <f t="shared" si="203"/>
        <v>800.08500000000004</v>
      </c>
      <c r="N4384" s="580"/>
    </row>
    <row r="4385" spans="4:16" x14ac:dyDescent="0.25">
      <c r="D4385" s="559" t="s">
        <v>867</v>
      </c>
      <c r="E4385" s="558" t="s">
        <v>384</v>
      </c>
      <c r="F4385" s="559">
        <v>700559</v>
      </c>
      <c r="G4385" s="558" t="s">
        <v>1978</v>
      </c>
      <c r="H4385" s="564">
        <v>40015</v>
      </c>
      <c r="I4385" s="563">
        <v>688.35</v>
      </c>
      <c r="J4385" s="563">
        <v>-585</v>
      </c>
      <c r="K4385" s="582">
        <f t="shared" si="201"/>
        <v>103.35000000000002</v>
      </c>
      <c r="L4385" s="563">
        <f t="shared" si="202"/>
        <v>113.68500000000003</v>
      </c>
      <c r="M4385" s="563">
        <f t="shared" si="203"/>
        <v>757.18500000000006</v>
      </c>
      <c r="N4385" s="580"/>
    </row>
    <row r="4386" spans="4:16" x14ac:dyDescent="0.25">
      <c r="D4386" s="559" t="s">
        <v>867</v>
      </c>
      <c r="E4386" s="558" t="s">
        <v>1977</v>
      </c>
      <c r="F4386" s="559">
        <v>700560</v>
      </c>
      <c r="G4386" s="558" t="s">
        <v>1978</v>
      </c>
      <c r="H4386" s="564">
        <v>40015</v>
      </c>
      <c r="I4386" s="563">
        <v>181.35</v>
      </c>
      <c r="J4386" s="563">
        <v>-181.35</v>
      </c>
      <c r="K4386" s="563">
        <f t="shared" si="201"/>
        <v>0</v>
      </c>
      <c r="L4386" s="563">
        <f t="shared" si="202"/>
        <v>0</v>
      </c>
      <c r="M4386" s="563">
        <f t="shared" si="203"/>
        <v>199.48500000000001</v>
      </c>
      <c r="N4386" s="580"/>
      <c r="O4386" s="558"/>
      <c r="P4386" s="564"/>
    </row>
    <row r="4387" spans="4:16" x14ac:dyDescent="0.25">
      <c r="D4387" s="559" t="s">
        <v>867</v>
      </c>
      <c r="E4387" s="558" t="s">
        <v>385</v>
      </c>
      <c r="F4387" s="559">
        <v>700561</v>
      </c>
      <c r="G4387" s="558" t="s">
        <v>386</v>
      </c>
      <c r="H4387" s="564">
        <v>40015</v>
      </c>
      <c r="I4387" s="563">
        <v>844.35</v>
      </c>
      <c r="J4387" s="563">
        <v>-585</v>
      </c>
      <c r="K4387" s="582">
        <f t="shared" si="201"/>
        <v>259.35000000000002</v>
      </c>
      <c r="L4387" s="563">
        <f t="shared" si="202"/>
        <v>285.28500000000003</v>
      </c>
      <c r="M4387" s="563">
        <f t="shared" si="203"/>
        <v>928.78500000000008</v>
      </c>
      <c r="N4387" s="580"/>
    </row>
    <row r="4388" spans="4:16" x14ac:dyDescent="0.25">
      <c r="D4388" s="559" t="s">
        <v>867</v>
      </c>
      <c r="E4388" s="558" t="s">
        <v>387</v>
      </c>
      <c r="F4388" s="559">
        <v>700565</v>
      </c>
      <c r="G4388" s="558" t="s">
        <v>386</v>
      </c>
      <c r="H4388" s="564">
        <v>40015</v>
      </c>
      <c r="I4388" s="563">
        <v>688.35</v>
      </c>
      <c r="J4388" s="563">
        <v>-585</v>
      </c>
      <c r="K4388" s="582">
        <f t="shared" si="201"/>
        <v>103.35000000000002</v>
      </c>
      <c r="L4388" s="563">
        <f t="shared" si="202"/>
        <v>113.68500000000003</v>
      </c>
      <c r="M4388" s="563">
        <f t="shared" si="203"/>
        <v>757.18500000000006</v>
      </c>
      <c r="N4388" s="580"/>
    </row>
    <row r="4389" spans="4:16" x14ac:dyDescent="0.25">
      <c r="D4389" s="559" t="s">
        <v>867</v>
      </c>
      <c r="E4389" s="558" t="s">
        <v>388</v>
      </c>
      <c r="F4389" s="559">
        <v>700567</v>
      </c>
      <c r="G4389" s="558" t="s">
        <v>386</v>
      </c>
      <c r="H4389" s="564">
        <v>40015</v>
      </c>
      <c r="I4389" s="563">
        <v>142.35</v>
      </c>
      <c r="J4389" s="563">
        <v>-142.35</v>
      </c>
      <c r="K4389" s="582">
        <f t="shared" si="201"/>
        <v>0</v>
      </c>
      <c r="L4389" s="563">
        <f t="shared" si="202"/>
        <v>0</v>
      </c>
      <c r="M4389" s="563">
        <f t="shared" si="203"/>
        <v>156.58500000000001</v>
      </c>
      <c r="N4389" s="580"/>
    </row>
    <row r="4390" spans="4:16" x14ac:dyDescent="0.25">
      <c r="D4390" s="559" t="s">
        <v>867</v>
      </c>
      <c r="E4390" s="558" t="s">
        <v>389</v>
      </c>
      <c r="F4390" s="559">
        <v>700568</v>
      </c>
      <c r="G4390" s="558" t="s">
        <v>386</v>
      </c>
      <c r="H4390" s="564">
        <v>40015</v>
      </c>
      <c r="I4390" s="563">
        <v>337.35</v>
      </c>
      <c r="J4390" s="563">
        <v>-337.35</v>
      </c>
      <c r="K4390" s="582">
        <f t="shared" si="201"/>
        <v>0</v>
      </c>
      <c r="L4390" s="563">
        <f t="shared" si="202"/>
        <v>0</v>
      </c>
      <c r="M4390" s="563">
        <f t="shared" si="203"/>
        <v>371.08500000000004</v>
      </c>
      <c r="N4390" s="580"/>
    </row>
    <row r="4391" spans="4:16" x14ac:dyDescent="0.25">
      <c r="D4391" s="559" t="s">
        <v>867</v>
      </c>
      <c r="E4391" s="558" t="s">
        <v>390</v>
      </c>
      <c r="F4391" s="559">
        <v>700571</v>
      </c>
      <c r="G4391" s="558" t="s">
        <v>386</v>
      </c>
      <c r="H4391" s="564">
        <v>40015</v>
      </c>
      <c r="I4391" s="563">
        <v>142.35</v>
      </c>
      <c r="J4391" s="563">
        <v>-142.35</v>
      </c>
      <c r="K4391" s="582">
        <f t="shared" si="201"/>
        <v>0</v>
      </c>
      <c r="L4391" s="563">
        <f t="shared" si="202"/>
        <v>0</v>
      </c>
      <c r="M4391" s="563">
        <f t="shared" si="203"/>
        <v>156.58500000000001</v>
      </c>
      <c r="N4391" s="580"/>
    </row>
    <row r="4392" spans="4:16" x14ac:dyDescent="0.25">
      <c r="D4392" s="559" t="s">
        <v>867</v>
      </c>
      <c r="E4392" s="558" t="s">
        <v>391</v>
      </c>
      <c r="F4392" s="559">
        <v>700577</v>
      </c>
      <c r="G4392" s="558" t="s">
        <v>392</v>
      </c>
      <c r="H4392" s="564">
        <v>40015</v>
      </c>
      <c r="I4392" s="563">
        <v>571.35</v>
      </c>
      <c r="J4392" s="563">
        <v>-571.35</v>
      </c>
      <c r="K4392" s="582">
        <f t="shared" si="201"/>
        <v>0</v>
      </c>
      <c r="L4392" s="563">
        <f t="shared" si="202"/>
        <v>0</v>
      </c>
      <c r="M4392" s="563">
        <f t="shared" si="203"/>
        <v>628.48500000000013</v>
      </c>
      <c r="N4392" s="580"/>
    </row>
    <row r="4393" spans="4:16" x14ac:dyDescent="0.25">
      <c r="D4393" s="559" t="s">
        <v>867</v>
      </c>
      <c r="E4393" s="558" t="s">
        <v>393</v>
      </c>
      <c r="F4393" s="559">
        <v>701361</v>
      </c>
      <c r="G4393" s="558" t="s">
        <v>392</v>
      </c>
      <c r="H4393" s="564">
        <v>40015</v>
      </c>
      <c r="I4393" s="563">
        <v>142.35</v>
      </c>
      <c r="J4393" s="563">
        <v>-142.35</v>
      </c>
      <c r="K4393" s="582">
        <f t="shared" ref="K4393:K4456" si="204">+I4393+J4393</f>
        <v>0</v>
      </c>
      <c r="L4393" s="563">
        <f t="shared" ref="L4393:L4456" si="205">+K4393*1.1</f>
        <v>0</v>
      </c>
      <c r="M4393" s="563">
        <f t="shared" ref="M4393:M4456" si="206">+I4393*1.1</f>
        <v>156.58500000000001</v>
      </c>
      <c r="N4393" s="580"/>
    </row>
    <row r="4394" spans="4:16" x14ac:dyDescent="0.25">
      <c r="D4394" s="559" t="s">
        <v>867</v>
      </c>
      <c r="E4394" s="558" t="s">
        <v>3309</v>
      </c>
      <c r="F4394" s="559">
        <v>700590</v>
      </c>
      <c r="G4394" s="558" t="s">
        <v>392</v>
      </c>
      <c r="H4394" s="564">
        <v>40015</v>
      </c>
      <c r="I4394" s="563">
        <v>688.35</v>
      </c>
      <c r="J4394" s="563">
        <v>-585</v>
      </c>
      <c r="K4394" s="582">
        <f t="shared" si="204"/>
        <v>103.35000000000002</v>
      </c>
      <c r="L4394" s="563">
        <f t="shared" si="205"/>
        <v>113.68500000000003</v>
      </c>
      <c r="M4394" s="563">
        <f t="shared" si="206"/>
        <v>757.18500000000006</v>
      </c>
      <c r="N4394" s="580"/>
    </row>
    <row r="4395" spans="4:16" x14ac:dyDescent="0.25">
      <c r="D4395" s="559" t="s">
        <v>867</v>
      </c>
      <c r="E4395" s="558" t="s">
        <v>3310</v>
      </c>
      <c r="F4395" s="559">
        <v>700591</v>
      </c>
      <c r="G4395" s="558" t="s">
        <v>392</v>
      </c>
      <c r="H4395" s="564">
        <v>40015</v>
      </c>
      <c r="I4395" s="563">
        <v>142.35</v>
      </c>
      <c r="J4395" s="563">
        <v>-142.35</v>
      </c>
      <c r="K4395" s="582">
        <f t="shared" si="204"/>
        <v>0</v>
      </c>
      <c r="L4395" s="563">
        <f t="shared" si="205"/>
        <v>0</v>
      </c>
      <c r="M4395" s="563">
        <f t="shared" si="206"/>
        <v>156.58500000000001</v>
      </c>
      <c r="N4395" s="580"/>
    </row>
    <row r="4396" spans="4:16" x14ac:dyDescent="0.25">
      <c r="D4396" s="559" t="s">
        <v>867</v>
      </c>
      <c r="E4396" s="558" t="s">
        <v>3311</v>
      </c>
      <c r="F4396" s="559">
        <v>700592</v>
      </c>
      <c r="G4396" s="558" t="s">
        <v>392</v>
      </c>
      <c r="H4396" s="564">
        <v>40015</v>
      </c>
      <c r="I4396" s="563">
        <v>142.35</v>
      </c>
      <c r="J4396" s="563">
        <v>-142.35</v>
      </c>
      <c r="K4396" s="582">
        <f t="shared" si="204"/>
        <v>0</v>
      </c>
      <c r="L4396" s="563">
        <f t="shared" si="205"/>
        <v>0</v>
      </c>
      <c r="M4396" s="563">
        <f t="shared" si="206"/>
        <v>156.58500000000001</v>
      </c>
      <c r="N4396" s="580"/>
    </row>
    <row r="4397" spans="4:16" x14ac:dyDescent="0.25">
      <c r="D4397" s="559" t="s">
        <v>867</v>
      </c>
      <c r="E4397" s="558" t="s">
        <v>3312</v>
      </c>
      <c r="F4397" s="559">
        <v>700593</v>
      </c>
      <c r="G4397" s="558" t="s">
        <v>3313</v>
      </c>
      <c r="H4397" s="564">
        <v>40015</v>
      </c>
      <c r="I4397" s="563">
        <v>922.35</v>
      </c>
      <c r="J4397" s="563">
        <v>-585</v>
      </c>
      <c r="K4397" s="582">
        <f t="shared" si="204"/>
        <v>337.35</v>
      </c>
      <c r="L4397" s="563">
        <f t="shared" si="205"/>
        <v>371.08500000000004</v>
      </c>
      <c r="M4397" s="563">
        <f t="shared" si="206"/>
        <v>1014.5850000000002</v>
      </c>
      <c r="N4397" s="580"/>
    </row>
    <row r="4398" spans="4:16" x14ac:dyDescent="0.25">
      <c r="D4398" s="559" t="s">
        <v>867</v>
      </c>
      <c r="E4398" s="558" t="s">
        <v>3314</v>
      </c>
      <c r="F4398" s="559">
        <v>700595</v>
      </c>
      <c r="G4398" s="558" t="s">
        <v>3313</v>
      </c>
      <c r="H4398" s="564">
        <v>40015</v>
      </c>
      <c r="I4398" s="563">
        <v>142.35</v>
      </c>
      <c r="J4398" s="563">
        <v>-142.35</v>
      </c>
      <c r="K4398" s="582">
        <f t="shared" si="204"/>
        <v>0</v>
      </c>
      <c r="L4398" s="563">
        <f t="shared" si="205"/>
        <v>0</v>
      </c>
      <c r="M4398" s="563">
        <f t="shared" si="206"/>
        <v>156.58500000000001</v>
      </c>
      <c r="N4398" s="580"/>
    </row>
    <row r="4399" spans="4:16" x14ac:dyDescent="0.25">
      <c r="D4399" s="559" t="s">
        <v>867</v>
      </c>
      <c r="E4399" s="558" t="s">
        <v>3315</v>
      </c>
      <c r="F4399" s="559">
        <v>700597</v>
      </c>
      <c r="G4399" s="558" t="s">
        <v>3313</v>
      </c>
      <c r="H4399" s="564">
        <v>40015</v>
      </c>
      <c r="I4399" s="563">
        <v>688.35</v>
      </c>
      <c r="J4399" s="563">
        <v>-585</v>
      </c>
      <c r="K4399" s="582">
        <f t="shared" si="204"/>
        <v>103.35000000000002</v>
      </c>
      <c r="L4399" s="563">
        <f t="shared" si="205"/>
        <v>113.68500000000003</v>
      </c>
      <c r="M4399" s="563">
        <f t="shared" si="206"/>
        <v>757.18500000000006</v>
      </c>
      <c r="N4399" s="580"/>
    </row>
    <row r="4400" spans="4:16" x14ac:dyDescent="0.25">
      <c r="D4400" s="559" t="s">
        <v>867</v>
      </c>
      <c r="E4400" s="558" t="s">
        <v>3316</v>
      </c>
      <c r="F4400" s="559">
        <v>700598</v>
      </c>
      <c r="G4400" s="558" t="s">
        <v>3313</v>
      </c>
      <c r="H4400" s="564">
        <v>40015</v>
      </c>
      <c r="I4400" s="563">
        <v>142.35</v>
      </c>
      <c r="J4400" s="563">
        <v>-142.35</v>
      </c>
      <c r="K4400" s="582">
        <f t="shared" si="204"/>
        <v>0</v>
      </c>
      <c r="L4400" s="563">
        <f t="shared" si="205"/>
        <v>0</v>
      </c>
      <c r="M4400" s="563">
        <f t="shared" si="206"/>
        <v>156.58500000000001</v>
      </c>
      <c r="N4400" s="580"/>
    </row>
    <row r="4401" spans="4:14" x14ac:dyDescent="0.25">
      <c r="D4401" s="559" t="s">
        <v>867</v>
      </c>
      <c r="E4401" s="558" t="s">
        <v>3317</v>
      </c>
      <c r="F4401" s="559">
        <v>700600</v>
      </c>
      <c r="G4401" s="558" t="s">
        <v>3313</v>
      </c>
      <c r="H4401" s="564">
        <v>40015</v>
      </c>
      <c r="I4401" s="563">
        <v>220.35</v>
      </c>
      <c r="J4401" s="563">
        <v>-220.35</v>
      </c>
      <c r="K4401" s="582">
        <f t="shared" si="204"/>
        <v>0</v>
      </c>
      <c r="L4401" s="563">
        <f t="shared" si="205"/>
        <v>0</v>
      </c>
      <c r="M4401" s="563">
        <f t="shared" si="206"/>
        <v>242.38500000000002</v>
      </c>
      <c r="N4401" s="580"/>
    </row>
    <row r="4402" spans="4:14" x14ac:dyDescent="0.25">
      <c r="D4402" s="559" t="s">
        <v>867</v>
      </c>
      <c r="E4402" s="558" t="s">
        <v>3318</v>
      </c>
      <c r="F4402" s="559">
        <v>700602</v>
      </c>
      <c r="G4402" s="558" t="s">
        <v>983</v>
      </c>
      <c r="H4402" s="564">
        <v>40015</v>
      </c>
      <c r="I4402" s="563">
        <v>688.35</v>
      </c>
      <c r="J4402" s="563">
        <v>-585</v>
      </c>
      <c r="K4402" s="582">
        <f t="shared" si="204"/>
        <v>103.35000000000002</v>
      </c>
      <c r="L4402" s="563">
        <f t="shared" si="205"/>
        <v>113.68500000000003</v>
      </c>
      <c r="M4402" s="563">
        <f t="shared" si="206"/>
        <v>757.18500000000006</v>
      </c>
      <c r="N4402" s="580"/>
    </row>
    <row r="4403" spans="4:14" x14ac:dyDescent="0.25">
      <c r="D4403" s="559" t="s">
        <v>867</v>
      </c>
      <c r="E4403" s="558" t="s">
        <v>3319</v>
      </c>
      <c r="F4403" s="559">
        <v>700605</v>
      </c>
      <c r="G4403" s="558" t="s">
        <v>983</v>
      </c>
      <c r="H4403" s="564">
        <v>40015</v>
      </c>
      <c r="I4403" s="563">
        <v>142.35</v>
      </c>
      <c r="J4403" s="563">
        <v>-142.35</v>
      </c>
      <c r="K4403" s="582">
        <f t="shared" si="204"/>
        <v>0</v>
      </c>
      <c r="L4403" s="563">
        <f t="shared" si="205"/>
        <v>0</v>
      </c>
      <c r="M4403" s="563">
        <f t="shared" si="206"/>
        <v>156.58500000000001</v>
      </c>
      <c r="N4403" s="580"/>
    </row>
    <row r="4404" spans="4:14" x14ac:dyDescent="0.25">
      <c r="D4404" s="559" t="s">
        <v>867</v>
      </c>
      <c r="E4404" s="558" t="s">
        <v>3320</v>
      </c>
      <c r="F4404" s="559">
        <v>700607</v>
      </c>
      <c r="G4404" s="558" t="s">
        <v>983</v>
      </c>
      <c r="H4404" s="564">
        <v>40015</v>
      </c>
      <c r="I4404" s="563">
        <v>493.35</v>
      </c>
      <c r="J4404" s="563">
        <v>-493.35</v>
      </c>
      <c r="K4404" s="582">
        <f t="shared" si="204"/>
        <v>0</v>
      </c>
      <c r="L4404" s="563">
        <f t="shared" si="205"/>
        <v>0</v>
      </c>
      <c r="M4404" s="563">
        <f t="shared" si="206"/>
        <v>542.68500000000006</v>
      </c>
      <c r="N4404" s="580"/>
    </row>
    <row r="4405" spans="4:14" x14ac:dyDescent="0.25">
      <c r="D4405" s="559" t="s">
        <v>867</v>
      </c>
      <c r="E4405" s="558" t="s">
        <v>3321</v>
      </c>
      <c r="F4405" s="559">
        <v>700608</v>
      </c>
      <c r="G4405" s="558" t="s">
        <v>983</v>
      </c>
      <c r="H4405" s="564">
        <v>40015</v>
      </c>
      <c r="I4405" s="563">
        <v>142.35</v>
      </c>
      <c r="J4405" s="563">
        <v>-142.35</v>
      </c>
      <c r="K4405" s="582">
        <f t="shared" si="204"/>
        <v>0</v>
      </c>
      <c r="L4405" s="563">
        <f t="shared" si="205"/>
        <v>0</v>
      </c>
      <c r="M4405" s="563">
        <f t="shared" si="206"/>
        <v>156.58500000000001</v>
      </c>
      <c r="N4405" s="580"/>
    </row>
    <row r="4406" spans="4:14" x14ac:dyDescent="0.25">
      <c r="D4406" s="559" t="s">
        <v>867</v>
      </c>
      <c r="E4406" s="558" t="s">
        <v>3322</v>
      </c>
      <c r="F4406" s="559">
        <v>700610</v>
      </c>
      <c r="G4406" s="558" t="s">
        <v>3323</v>
      </c>
      <c r="H4406" s="564">
        <v>40015</v>
      </c>
      <c r="I4406" s="563">
        <v>142.35</v>
      </c>
      <c r="J4406" s="563">
        <v>-142.35</v>
      </c>
      <c r="K4406" s="582">
        <f t="shared" si="204"/>
        <v>0</v>
      </c>
      <c r="L4406" s="563">
        <f t="shared" si="205"/>
        <v>0</v>
      </c>
      <c r="M4406" s="563">
        <f t="shared" si="206"/>
        <v>156.58500000000001</v>
      </c>
      <c r="N4406" s="580"/>
    </row>
    <row r="4407" spans="4:14" x14ac:dyDescent="0.25">
      <c r="D4407" s="559" t="s">
        <v>867</v>
      </c>
      <c r="E4407" s="558" t="s">
        <v>3324</v>
      </c>
      <c r="F4407" s="559">
        <v>700614</v>
      </c>
      <c r="G4407" s="558" t="s">
        <v>3323</v>
      </c>
      <c r="H4407" s="564">
        <v>40015</v>
      </c>
      <c r="I4407" s="563">
        <v>688.35</v>
      </c>
      <c r="J4407" s="563">
        <v>-585</v>
      </c>
      <c r="K4407" s="582">
        <f t="shared" si="204"/>
        <v>103.35000000000002</v>
      </c>
      <c r="L4407" s="563">
        <f t="shared" si="205"/>
        <v>113.68500000000003</v>
      </c>
      <c r="M4407" s="563">
        <f t="shared" si="206"/>
        <v>757.18500000000006</v>
      </c>
      <c r="N4407" s="580"/>
    </row>
    <row r="4408" spans="4:14" x14ac:dyDescent="0.25">
      <c r="D4408" s="559" t="s">
        <v>867</v>
      </c>
      <c r="E4408" s="558" t="s">
        <v>3325</v>
      </c>
      <c r="F4408" s="559">
        <v>700616</v>
      </c>
      <c r="G4408" s="558" t="s">
        <v>3323</v>
      </c>
      <c r="H4408" s="564">
        <v>40015</v>
      </c>
      <c r="I4408" s="563">
        <v>181.35</v>
      </c>
      <c r="J4408" s="563">
        <v>-181.35</v>
      </c>
      <c r="K4408" s="582">
        <f t="shared" si="204"/>
        <v>0</v>
      </c>
      <c r="L4408" s="563">
        <f t="shared" si="205"/>
        <v>0</v>
      </c>
      <c r="M4408" s="563">
        <f t="shared" si="206"/>
        <v>199.48500000000001</v>
      </c>
      <c r="N4408" s="580"/>
    </row>
    <row r="4409" spans="4:14" x14ac:dyDescent="0.25">
      <c r="D4409" s="559" t="s">
        <v>867</v>
      </c>
      <c r="E4409" s="558" t="s">
        <v>3326</v>
      </c>
      <c r="F4409" s="559">
        <v>700617</v>
      </c>
      <c r="G4409" s="558" t="s">
        <v>3323</v>
      </c>
      <c r="H4409" s="564">
        <v>40015</v>
      </c>
      <c r="I4409" s="563">
        <v>376.35</v>
      </c>
      <c r="J4409" s="563">
        <v>-376.35</v>
      </c>
      <c r="K4409" s="582">
        <f t="shared" si="204"/>
        <v>0</v>
      </c>
      <c r="L4409" s="563">
        <f t="shared" si="205"/>
        <v>0</v>
      </c>
      <c r="M4409" s="563">
        <f t="shared" si="206"/>
        <v>413.98500000000007</v>
      </c>
      <c r="N4409" s="580"/>
    </row>
    <row r="4410" spans="4:14" x14ac:dyDescent="0.25">
      <c r="D4410" s="559" t="s">
        <v>867</v>
      </c>
      <c r="E4410" s="558" t="s">
        <v>3327</v>
      </c>
      <c r="F4410" s="559">
        <v>700618</v>
      </c>
      <c r="G4410" s="558" t="s">
        <v>3323</v>
      </c>
      <c r="H4410" s="564">
        <v>40015</v>
      </c>
      <c r="I4410" s="563">
        <v>727.35</v>
      </c>
      <c r="J4410" s="563">
        <v>-585</v>
      </c>
      <c r="K4410" s="582">
        <f t="shared" si="204"/>
        <v>142.35000000000002</v>
      </c>
      <c r="L4410" s="563">
        <f t="shared" si="205"/>
        <v>156.58500000000004</v>
      </c>
      <c r="M4410" s="563">
        <f t="shared" si="206"/>
        <v>800.08500000000004</v>
      </c>
      <c r="N4410" s="580"/>
    </row>
    <row r="4411" spans="4:14" x14ac:dyDescent="0.25">
      <c r="D4411" s="559" t="s">
        <v>867</v>
      </c>
      <c r="E4411" s="558" t="s">
        <v>3328</v>
      </c>
      <c r="F4411" s="559">
        <v>700620</v>
      </c>
      <c r="G4411" s="558" t="s">
        <v>3329</v>
      </c>
      <c r="H4411" s="564">
        <v>40015</v>
      </c>
      <c r="I4411" s="563">
        <v>766.35</v>
      </c>
      <c r="J4411" s="563">
        <v>-585</v>
      </c>
      <c r="K4411" s="582">
        <f t="shared" si="204"/>
        <v>181.35000000000002</v>
      </c>
      <c r="L4411" s="563">
        <f t="shared" si="205"/>
        <v>199.48500000000004</v>
      </c>
      <c r="M4411" s="563">
        <f t="shared" si="206"/>
        <v>842.98500000000013</v>
      </c>
      <c r="N4411" s="580"/>
    </row>
    <row r="4412" spans="4:14" x14ac:dyDescent="0.25">
      <c r="D4412" s="559" t="s">
        <v>867</v>
      </c>
      <c r="E4412" s="558" t="s">
        <v>3330</v>
      </c>
      <c r="F4412" s="559">
        <v>700623</v>
      </c>
      <c r="G4412" s="558" t="s">
        <v>3329</v>
      </c>
      <c r="H4412" s="564">
        <v>40015</v>
      </c>
      <c r="I4412" s="563">
        <v>142.35</v>
      </c>
      <c r="J4412" s="563">
        <v>-142.35</v>
      </c>
      <c r="K4412" s="582">
        <f t="shared" si="204"/>
        <v>0</v>
      </c>
      <c r="L4412" s="563">
        <f t="shared" si="205"/>
        <v>0</v>
      </c>
      <c r="M4412" s="563">
        <f t="shared" si="206"/>
        <v>156.58500000000001</v>
      </c>
      <c r="N4412" s="580"/>
    </row>
    <row r="4413" spans="4:14" x14ac:dyDescent="0.25">
      <c r="D4413" s="559" t="s">
        <v>867</v>
      </c>
      <c r="E4413" s="558" t="s">
        <v>3331</v>
      </c>
      <c r="F4413" s="559">
        <v>700624</v>
      </c>
      <c r="G4413" s="558" t="s">
        <v>3329</v>
      </c>
      <c r="H4413" s="564">
        <v>40015</v>
      </c>
      <c r="I4413" s="563">
        <v>688.35</v>
      </c>
      <c r="J4413" s="563">
        <v>-585</v>
      </c>
      <c r="K4413" s="582">
        <f t="shared" si="204"/>
        <v>103.35000000000002</v>
      </c>
      <c r="L4413" s="563">
        <f t="shared" si="205"/>
        <v>113.68500000000003</v>
      </c>
      <c r="M4413" s="563">
        <f t="shared" si="206"/>
        <v>757.18500000000006</v>
      </c>
      <c r="N4413" s="580"/>
    </row>
    <row r="4414" spans="4:14" x14ac:dyDescent="0.25">
      <c r="D4414" s="559" t="s">
        <v>867</v>
      </c>
      <c r="E4414" s="558" t="s">
        <v>3332</v>
      </c>
      <c r="F4414" s="559">
        <v>700628</v>
      </c>
      <c r="G4414" s="558" t="s">
        <v>3329</v>
      </c>
      <c r="H4414" s="564">
        <v>40015</v>
      </c>
      <c r="I4414" s="563">
        <v>142.35</v>
      </c>
      <c r="J4414" s="563">
        <v>-142.35</v>
      </c>
      <c r="K4414" s="582">
        <f t="shared" si="204"/>
        <v>0</v>
      </c>
      <c r="L4414" s="563">
        <f t="shared" si="205"/>
        <v>0</v>
      </c>
      <c r="M4414" s="563">
        <f t="shared" si="206"/>
        <v>156.58500000000001</v>
      </c>
      <c r="N4414" s="580"/>
    </row>
    <row r="4415" spans="4:14" x14ac:dyDescent="0.25">
      <c r="D4415" s="559" t="s">
        <v>867</v>
      </c>
      <c r="E4415" s="558" t="s">
        <v>3333</v>
      </c>
      <c r="F4415" s="559">
        <v>700629</v>
      </c>
      <c r="G4415" s="558" t="s">
        <v>3329</v>
      </c>
      <c r="H4415" s="564">
        <v>40015</v>
      </c>
      <c r="I4415" s="563">
        <v>64.349999999999994</v>
      </c>
      <c r="J4415" s="563">
        <v>-64.349999999999994</v>
      </c>
      <c r="K4415" s="582">
        <f t="shared" si="204"/>
        <v>0</v>
      </c>
      <c r="L4415" s="563">
        <f t="shared" si="205"/>
        <v>0</v>
      </c>
      <c r="M4415" s="563">
        <f t="shared" si="206"/>
        <v>70.784999999999997</v>
      </c>
      <c r="N4415" s="580"/>
    </row>
    <row r="4416" spans="4:14" x14ac:dyDescent="0.25">
      <c r="D4416" s="559" t="s">
        <v>867</v>
      </c>
      <c r="E4416" s="558" t="s">
        <v>3334</v>
      </c>
      <c r="F4416" s="559">
        <v>700630</v>
      </c>
      <c r="G4416" s="558" t="s">
        <v>3335</v>
      </c>
      <c r="H4416" s="564">
        <v>40015</v>
      </c>
      <c r="I4416" s="563">
        <v>688.35</v>
      </c>
      <c r="J4416" s="563">
        <v>-585</v>
      </c>
      <c r="K4416" s="582">
        <f t="shared" si="204"/>
        <v>103.35000000000002</v>
      </c>
      <c r="L4416" s="563">
        <f t="shared" si="205"/>
        <v>113.68500000000003</v>
      </c>
      <c r="M4416" s="563">
        <f t="shared" si="206"/>
        <v>757.18500000000006</v>
      </c>
      <c r="N4416" s="580"/>
    </row>
    <row r="4417" spans="4:14" x14ac:dyDescent="0.25">
      <c r="D4417" s="559" t="s">
        <v>867</v>
      </c>
      <c r="E4417" s="558" t="s">
        <v>3336</v>
      </c>
      <c r="F4417" s="559">
        <v>700634</v>
      </c>
      <c r="G4417" s="558" t="s">
        <v>3335</v>
      </c>
      <c r="H4417" s="564">
        <v>40015</v>
      </c>
      <c r="I4417" s="563">
        <v>688.35</v>
      </c>
      <c r="J4417" s="563">
        <v>-585</v>
      </c>
      <c r="K4417" s="582">
        <f t="shared" si="204"/>
        <v>103.35000000000002</v>
      </c>
      <c r="L4417" s="563">
        <f t="shared" si="205"/>
        <v>113.68500000000003</v>
      </c>
      <c r="M4417" s="563">
        <f t="shared" si="206"/>
        <v>757.18500000000006</v>
      </c>
      <c r="N4417" s="580"/>
    </row>
    <row r="4418" spans="4:14" x14ac:dyDescent="0.25">
      <c r="D4418" s="559" t="s">
        <v>867</v>
      </c>
      <c r="E4418" s="558" t="s">
        <v>3337</v>
      </c>
      <c r="F4418" s="559">
        <v>700635</v>
      </c>
      <c r="G4418" s="558" t="s">
        <v>3335</v>
      </c>
      <c r="H4418" s="564">
        <v>40015</v>
      </c>
      <c r="I4418" s="563">
        <v>922.35</v>
      </c>
      <c r="J4418" s="563">
        <v>-585</v>
      </c>
      <c r="K4418" s="582">
        <f t="shared" si="204"/>
        <v>337.35</v>
      </c>
      <c r="L4418" s="563">
        <f t="shared" si="205"/>
        <v>371.08500000000004</v>
      </c>
      <c r="M4418" s="563">
        <f t="shared" si="206"/>
        <v>1014.5850000000002</v>
      </c>
      <c r="N4418" s="580"/>
    </row>
    <row r="4419" spans="4:14" x14ac:dyDescent="0.25">
      <c r="D4419" s="559" t="s">
        <v>867</v>
      </c>
      <c r="E4419" s="558" t="s">
        <v>3338</v>
      </c>
      <c r="F4419" s="559">
        <v>700636</v>
      </c>
      <c r="G4419" s="558" t="s">
        <v>3335</v>
      </c>
      <c r="H4419" s="564">
        <v>40015</v>
      </c>
      <c r="I4419" s="563">
        <v>142.35</v>
      </c>
      <c r="J4419" s="563">
        <v>-142.35</v>
      </c>
      <c r="K4419" s="582">
        <f t="shared" si="204"/>
        <v>0</v>
      </c>
      <c r="L4419" s="563">
        <f t="shared" si="205"/>
        <v>0</v>
      </c>
      <c r="M4419" s="563">
        <f t="shared" si="206"/>
        <v>156.58500000000001</v>
      </c>
      <c r="N4419" s="580"/>
    </row>
    <row r="4420" spans="4:14" x14ac:dyDescent="0.25">
      <c r="D4420" s="559" t="s">
        <v>867</v>
      </c>
      <c r="E4420" s="558" t="s">
        <v>3339</v>
      </c>
      <c r="F4420" s="559">
        <v>700637</v>
      </c>
      <c r="G4420" s="558" t="s">
        <v>3335</v>
      </c>
      <c r="H4420" s="564">
        <v>40015</v>
      </c>
      <c r="I4420" s="563">
        <v>688.35</v>
      </c>
      <c r="J4420" s="563">
        <v>-585</v>
      </c>
      <c r="K4420" s="582">
        <f t="shared" si="204"/>
        <v>103.35000000000002</v>
      </c>
      <c r="L4420" s="563">
        <f t="shared" si="205"/>
        <v>113.68500000000003</v>
      </c>
      <c r="M4420" s="563">
        <f t="shared" si="206"/>
        <v>757.18500000000006</v>
      </c>
      <c r="N4420" s="580"/>
    </row>
    <row r="4421" spans="4:14" x14ac:dyDescent="0.25">
      <c r="D4421" s="559" t="s">
        <v>867</v>
      </c>
      <c r="E4421" s="558" t="s">
        <v>3340</v>
      </c>
      <c r="F4421" s="559">
        <v>700638</v>
      </c>
      <c r="G4421" s="558" t="s">
        <v>3341</v>
      </c>
      <c r="H4421" s="564">
        <v>40015</v>
      </c>
      <c r="I4421" s="563">
        <v>142.35</v>
      </c>
      <c r="J4421" s="563">
        <v>-142.35</v>
      </c>
      <c r="K4421" s="582">
        <f t="shared" si="204"/>
        <v>0</v>
      </c>
      <c r="L4421" s="563">
        <f t="shared" si="205"/>
        <v>0</v>
      </c>
      <c r="M4421" s="563">
        <f t="shared" si="206"/>
        <v>156.58500000000001</v>
      </c>
      <c r="N4421" s="580"/>
    </row>
    <row r="4422" spans="4:14" x14ac:dyDescent="0.25">
      <c r="D4422" s="559" t="s">
        <v>867</v>
      </c>
      <c r="E4422" s="558" t="s">
        <v>3342</v>
      </c>
      <c r="F4422" s="559">
        <v>700639</v>
      </c>
      <c r="G4422" s="558" t="s">
        <v>3341</v>
      </c>
      <c r="H4422" s="564">
        <v>40015</v>
      </c>
      <c r="I4422" s="563">
        <v>922.35</v>
      </c>
      <c r="J4422" s="563">
        <v>-585</v>
      </c>
      <c r="K4422" s="582">
        <f t="shared" si="204"/>
        <v>337.35</v>
      </c>
      <c r="L4422" s="563">
        <f t="shared" si="205"/>
        <v>371.08500000000004</v>
      </c>
      <c r="M4422" s="563">
        <f t="shared" si="206"/>
        <v>1014.5850000000002</v>
      </c>
      <c r="N4422" s="580"/>
    </row>
    <row r="4423" spans="4:14" x14ac:dyDescent="0.25">
      <c r="D4423" s="559" t="s">
        <v>867</v>
      </c>
      <c r="E4423" s="558" t="s">
        <v>3343</v>
      </c>
      <c r="F4423" s="559">
        <v>700641</v>
      </c>
      <c r="G4423" s="558" t="s">
        <v>3341</v>
      </c>
      <c r="H4423" s="564">
        <v>40015</v>
      </c>
      <c r="I4423" s="563">
        <v>688.35</v>
      </c>
      <c r="J4423" s="563">
        <v>-585</v>
      </c>
      <c r="K4423" s="582">
        <f t="shared" si="204"/>
        <v>103.35000000000002</v>
      </c>
      <c r="L4423" s="563">
        <f t="shared" si="205"/>
        <v>113.68500000000003</v>
      </c>
      <c r="M4423" s="563">
        <f t="shared" si="206"/>
        <v>757.18500000000006</v>
      </c>
      <c r="N4423" s="580"/>
    </row>
    <row r="4424" spans="4:14" x14ac:dyDescent="0.25">
      <c r="D4424" s="559" t="s">
        <v>867</v>
      </c>
      <c r="E4424" s="558" t="s">
        <v>3344</v>
      </c>
      <c r="F4424" s="559">
        <v>700643</v>
      </c>
      <c r="G4424" s="558" t="s">
        <v>3341</v>
      </c>
      <c r="H4424" s="564">
        <v>40015</v>
      </c>
      <c r="I4424" s="563">
        <v>376.35</v>
      </c>
      <c r="J4424" s="563">
        <v>-376.35</v>
      </c>
      <c r="K4424" s="582">
        <f t="shared" si="204"/>
        <v>0</v>
      </c>
      <c r="L4424" s="563">
        <f t="shared" si="205"/>
        <v>0</v>
      </c>
      <c r="M4424" s="563">
        <f t="shared" si="206"/>
        <v>413.98500000000007</v>
      </c>
      <c r="N4424" s="580"/>
    </row>
    <row r="4425" spans="4:14" x14ac:dyDescent="0.25">
      <c r="D4425" s="559" t="s">
        <v>867</v>
      </c>
      <c r="E4425" s="558" t="s">
        <v>3345</v>
      </c>
      <c r="F4425" s="559">
        <v>700645</v>
      </c>
      <c r="G4425" s="558" t="s">
        <v>3341</v>
      </c>
      <c r="H4425" s="564">
        <v>40015</v>
      </c>
      <c r="I4425" s="563">
        <v>688.35</v>
      </c>
      <c r="J4425" s="563">
        <v>-585</v>
      </c>
      <c r="K4425" s="582">
        <f t="shared" si="204"/>
        <v>103.35000000000002</v>
      </c>
      <c r="L4425" s="563">
        <f t="shared" si="205"/>
        <v>113.68500000000003</v>
      </c>
      <c r="M4425" s="563">
        <f t="shared" si="206"/>
        <v>757.18500000000006</v>
      </c>
      <c r="N4425" s="580"/>
    </row>
    <row r="4426" spans="4:14" x14ac:dyDescent="0.25">
      <c r="D4426" s="559" t="s">
        <v>867</v>
      </c>
      <c r="E4426" s="558" t="s">
        <v>3346</v>
      </c>
      <c r="F4426" s="559">
        <v>700647</v>
      </c>
      <c r="G4426" s="558" t="s">
        <v>3347</v>
      </c>
      <c r="H4426" s="564">
        <v>40015</v>
      </c>
      <c r="I4426" s="563">
        <v>142.35</v>
      </c>
      <c r="J4426" s="563">
        <v>-142.35</v>
      </c>
      <c r="K4426" s="582">
        <f t="shared" si="204"/>
        <v>0</v>
      </c>
      <c r="L4426" s="563">
        <f t="shared" si="205"/>
        <v>0</v>
      </c>
      <c r="M4426" s="563">
        <f t="shared" si="206"/>
        <v>156.58500000000001</v>
      </c>
      <c r="N4426" s="580"/>
    </row>
    <row r="4427" spans="4:14" x14ac:dyDescent="0.25">
      <c r="D4427" s="559" t="s">
        <v>867</v>
      </c>
      <c r="E4427" s="558" t="s">
        <v>3348</v>
      </c>
      <c r="F4427" s="559">
        <v>700649</v>
      </c>
      <c r="G4427" s="558" t="s">
        <v>3347</v>
      </c>
      <c r="H4427" s="564">
        <v>40015</v>
      </c>
      <c r="I4427" s="563">
        <v>142.35</v>
      </c>
      <c r="J4427" s="563">
        <v>-142.35</v>
      </c>
      <c r="K4427" s="582">
        <f t="shared" si="204"/>
        <v>0</v>
      </c>
      <c r="L4427" s="563">
        <f t="shared" si="205"/>
        <v>0</v>
      </c>
      <c r="M4427" s="563">
        <f t="shared" si="206"/>
        <v>156.58500000000001</v>
      </c>
      <c r="N4427" s="580"/>
    </row>
    <row r="4428" spans="4:14" x14ac:dyDescent="0.25">
      <c r="D4428" s="559" t="s">
        <v>867</v>
      </c>
      <c r="E4428" s="558" t="s">
        <v>3349</v>
      </c>
      <c r="F4428" s="559">
        <v>700650</v>
      </c>
      <c r="G4428" s="558" t="s">
        <v>3347</v>
      </c>
      <c r="H4428" s="564">
        <v>40015</v>
      </c>
      <c r="I4428" s="563">
        <v>337.35</v>
      </c>
      <c r="J4428" s="563">
        <v>-337.35</v>
      </c>
      <c r="K4428" s="582">
        <f t="shared" si="204"/>
        <v>0</v>
      </c>
      <c r="L4428" s="563">
        <f t="shared" si="205"/>
        <v>0</v>
      </c>
      <c r="M4428" s="563">
        <f t="shared" si="206"/>
        <v>371.08500000000004</v>
      </c>
      <c r="N4428" s="580"/>
    </row>
    <row r="4429" spans="4:14" x14ac:dyDescent="0.25">
      <c r="D4429" s="559" t="s">
        <v>867</v>
      </c>
      <c r="E4429" s="558" t="s">
        <v>3350</v>
      </c>
      <c r="F4429" s="559">
        <v>700652</v>
      </c>
      <c r="G4429" s="558" t="s">
        <v>3347</v>
      </c>
      <c r="H4429" s="564">
        <v>40015</v>
      </c>
      <c r="I4429" s="563">
        <v>25.35</v>
      </c>
      <c r="J4429" s="563">
        <v>-25.35</v>
      </c>
      <c r="K4429" s="582">
        <f t="shared" si="204"/>
        <v>0</v>
      </c>
      <c r="L4429" s="563">
        <f t="shared" si="205"/>
        <v>0</v>
      </c>
      <c r="M4429" s="563">
        <f t="shared" si="206"/>
        <v>27.885000000000005</v>
      </c>
      <c r="N4429" s="580"/>
    </row>
    <row r="4430" spans="4:14" x14ac:dyDescent="0.25">
      <c r="D4430" s="559" t="s">
        <v>867</v>
      </c>
      <c r="E4430" s="558" t="s">
        <v>3351</v>
      </c>
      <c r="F4430" s="559">
        <v>700653</v>
      </c>
      <c r="G4430" s="558" t="s">
        <v>3347</v>
      </c>
      <c r="H4430" s="564">
        <v>40015</v>
      </c>
      <c r="I4430" s="563">
        <v>493.35</v>
      </c>
      <c r="J4430" s="563">
        <v>-493.35</v>
      </c>
      <c r="K4430" s="582">
        <f t="shared" si="204"/>
        <v>0</v>
      </c>
      <c r="L4430" s="563">
        <f t="shared" si="205"/>
        <v>0</v>
      </c>
      <c r="M4430" s="563">
        <f t="shared" si="206"/>
        <v>542.68500000000006</v>
      </c>
      <c r="N4430" s="580"/>
    </row>
    <row r="4431" spans="4:14" x14ac:dyDescent="0.25">
      <c r="D4431" s="559" t="s">
        <v>867</v>
      </c>
      <c r="E4431" s="558" t="s">
        <v>3352</v>
      </c>
      <c r="F4431" s="559">
        <v>700655</v>
      </c>
      <c r="G4431" s="558" t="s">
        <v>3353</v>
      </c>
      <c r="H4431" s="564">
        <v>40015</v>
      </c>
      <c r="I4431" s="563">
        <v>337.35</v>
      </c>
      <c r="J4431" s="563">
        <v>-337.35</v>
      </c>
      <c r="K4431" s="582">
        <f t="shared" si="204"/>
        <v>0</v>
      </c>
      <c r="L4431" s="563">
        <f t="shared" si="205"/>
        <v>0</v>
      </c>
      <c r="M4431" s="563">
        <f t="shared" si="206"/>
        <v>371.08500000000004</v>
      </c>
      <c r="N4431" s="580"/>
    </row>
    <row r="4432" spans="4:14" x14ac:dyDescent="0.25">
      <c r="D4432" s="559" t="s">
        <v>867</v>
      </c>
      <c r="E4432" s="558" t="s">
        <v>3354</v>
      </c>
      <c r="F4432" s="559">
        <v>700658</v>
      </c>
      <c r="G4432" s="558" t="s">
        <v>3353</v>
      </c>
      <c r="H4432" s="564">
        <v>40015</v>
      </c>
      <c r="I4432" s="563">
        <v>688.35</v>
      </c>
      <c r="J4432" s="563">
        <v>-585</v>
      </c>
      <c r="K4432" s="582">
        <f t="shared" si="204"/>
        <v>103.35000000000002</v>
      </c>
      <c r="L4432" s="563">
        <f t="shared" si="205"/>
        <v>113.68500000000003</v>
      </c>
      <c r="M4432" s="563">
        <f t="shared" si="206"/>
        <v>757.18500000000006</v>
      </c>
      <c r="N4432" s="580"/>
    </row>
    <row r="4433" spans="4:14" x14ac:dyDescent="0.25">
      <c r="D4433" s="559" t="s">
        <v>867</v>
      </c>
      <c r="E4433" s="558" t="s">
        <v>3355</v>
      </c>
      <c r="F4433" s="559">
        <v>700659</v>
      </c>
      <c r="G4433" s="558" t="s">
        <v>3353</v>
      </c>
      <c r="H4433" s="564">
        <v>40015</v>
      </c>
      <c r="I4433" s="563">
        <v>64.349999999999994</v>
      </c>
      <c r="J4433" s="563">
        <v>-64.349999999999994</v>
      </c>
      <c r="K4433" s="582">
        <f t="shared" si="204"/>
        <v>0</v>
      </c>
      <c r="L4433" s="563">
        <f t="shared" si="205"/>
        <v>0</v>
      </c>
      <c r="M4433" s="563">
        <f t="shared" si="206"/>
        <v>70.784999999999997</v>
      </c>
      <c r="N4433" s="580"/>
    </row>
    <row r="4434" spans="4:14" x14ac:dyDescent="0.25">
      <c r="D4434" s="559" t="s">
        <v>867</v>
      </c>
      <c r="E4434" s="558" t="s">
        <v>3356</v>
      </c>
      <c r="F4434" s="559">
        <v>700660</v>
      </c>
      <c r="G4434" s="558" t="s">
        <v>3353</v>
      </c>
      <c r="H4434" s="564">
        <v>40015</v>
      </c>
      <c r="I4434" s="563">
        <v>1156.3499999999999</v>
      </c>
      <c r="J4434" s="563">
        <v>-585</v>
      </c>
      <c r="K4434" s="582">
        <f t="shared" si="204"/>
        <v>571.34999999999991</v>
      </c>
      <c r="L4434" s="563">
        <f t="shared" si="205"/>
        <v>628.4849999999999</v>
      </c>
      <c r="M4434" s="563">
        <f t="shared" si="206"/>
        <v>1271.9849999999999</v>
      </c>
      <c r="N4434" s="580"/>
    </row>
    <row r="4435" spans="4:14" x14ac:dyDescent="0.25">
      <c r="D4435" s="559" t="s">
        <v>867</v>
      </c>
      <c r="E4435" s="558" t="s">
        <v>3357</v>
      </c>
      <c r="F4435" s="559">
        <v>700661</v>
      </c>
      <c r="G4435" s="558" t="s">
        <v>3353</v>
      </c>
      <c r="H4435" s="564">
        <v>40015</v>
      </c>
      <c r="I4435" s="563">
        <v>298.35000000000002</v>
      </c>
      <c r="J4435" s="563">
        <v>-298.35000000000002</v>
      </c>
      <c r="K4435" s="582">
        <f t="shared" si="204"/>
        <v>0</v>
      </c>
      <c r="L4435" s="563">
        <f t="shared" si="205"/>
        <v>0</v>
      </c>
      <c r="M4435" s="563">
        <f t="shared" si="206"/>
        <v>328.18500000000006</v>
      </c>
      <c r="N4435" s="580"/>
    </row>
    <row r="4436" spans="4:14" x14ac:dyDescent="0.25">
      <c r="D4436" s="559" t="s">
        <v>867</v>
      </c>
      <c r="E4436" s="558" t="s">
        <v>3358</v>
      </c>
      <c r="F4436" s="559">
        <v>701363</v>
      </c>
      <c r="G4436" s="558" t="s">
        <v>3359</v>
      </c>
      <c r="H4436" s="564">
        <v>40015</v>
      </c>
      <c r="I4436" s="563">
        <v>259.35000000000002</v>
      </c>
      <c r="J4436" s="563">
        <v>-259.35000000000002</v>
      </c>
      <c r="K4436" s="582">
        <f t="shared" si="204"/>
        <v>0</v>
      </c>
      <c r="L4436" s="563">
        <f t="shared" si="205"/>
        <v>0</v>
      </c>
      <c r="M4436" s="563">
        <f t="shared" si="206"/>
        <v>285.28500000000003</v>
      </c>
      <c r="N4436" s="580"/>
    </row>
    <row r="4437" spans="4:14" x14ac:dyDescent="0.25">
      <c r="D4437" s="559" t="s">
        <v>867</v>
      </c>
      <c r="E4437" s="558" t="s">
        <v>3360</v>
      </c>
      <c r="F4437" s="559">
        <v>700662</v>
      </c>
      <c r="G4437" s="558" t="s">
        <v>3359</v>
      </c>
      <c r="H4437" s="564">
        <v>40015</v>
      </c>
      <c r="I4437" s="563">
        <v>181.35</v>
      </c>
      <c r="J4437" s="563">
        <v>-181.35</v>
      </c>
      <c r="K4437" s="582">
        <f t="shared" si="204"/>
        <v>0</v>
      </c>
      <c r="L4437" s="563">
        <f t="shared" si="205"/>
        <v>0</v>
      </c>
      <c r="M4437" s="563">
        <f t="shared" si="206"/>
        <v>199.48500000000001</v>
      </c>
      <c r="N4437" s="580"/>
    </row>
    <row r="4438" spans="4:14" x14ac:dyDescent="0.25">
      <c r="D4438" s="559" t="s">
        <v>867</v>
      </c>
      <c r="E4438" s="558" t="s">
        <v>3361</v>
      </c>
      <c r="F4438" s="559">
        <v>700663</v>
      </c>
      <c r="G4438" s="558" t="s">
        <v>3359</v>
      </c>
      <c r="H4438" s="564">
        <v>40015</v>
      </c>
      <c r="I4438" s="563">
        <v>142.35</v>
      </c>
      <c r="J4438" s="563">
        <v>-142.35</v>
      </c>
      <c r="K4438" s="582">
        <f t="shared" si="204"/>
        <v>0</v>
      </c>
      <c r="L4438" s="563">
        <f t="shared" si="205"/>
        <v>0</v>
      </c>
      <c r="M4438" s="563">
        <f t="shared" si="206"/>
        <v>156.58500000000001</v>
      </c>
      <c r="N4438" s="580"/>
    </row>
    <row r="4439" spans="4:14" x14ac:dyDescent="0.25">
      <c r="D4439" s="559" t="s">
        <v>867</v>
      </c>
      <c r="E4439" s="558" t="s">
        <v>3362</v>
      </c>
      <c r="F4439" s="559">
        <v>700664</v>
      </c>
      <c r="G4439" s="558" t="s">
        <v>3359</v>
      </c>
      <c r="H4439" s="564">
        <v>40015</v>
      </c>
      <c r="I4439" s="563">
        <v>337.35</v>
      </c>
      <c r="J4439" s="563">
        <v>-337.35</v>
      </c>
      <c r="K4439" s="582">
        <f t="shared" si="204"/>
        <v>0</v>
      </c>
      <c r="L4439" s="563">
        <f t="shared" si="205"/>
        <v>0</v>
      </c>
      <c r="M4439" s="563">
        <f t="shared" si="206"/>
        <v>371.08500000000004</v>
      </c>
      <c r="N4439" s="580"/>
    </row>
    <row r="4440" spans="4:14" x14ac:dyDescent="0.25">
      <c r="D4440" s="559" t="s">
        <v>867</v>
      </c>
      <c r="E4440" s="558" t="s">
        <v>3363</v>
      </c>
      <c r="F4440" s="559">
        <v>700665</v>
      </c>
      <c r="G4440" s="558" t="s">
        <v>3359</v>
      </c>
      <c r="H4440" s="564">
        <v>40015</v>
      </c>
      <c r="I4440" s="563">
        <v>181.35</v>
      </c>
      <c r="J4440" s="563">
        <v>-181.35</v>
      </c>
      <c r="K4440" s="582">
        <f t="shared" si="204"/>
        <v>0</v>
      </c>
      <c r="L4440" s="563">
        <f t="shared" si="205"/>
        <v>0</v>
      </c>
      <c r="M4440" s="563">
        <f t="shared" si="206"/>
        <v>199.48500000000001</v>
      </c>
      <c r="N4440" s="580"/>
    </row>
    <row r="4441" spans="4:14" x14ac:dyDescent="0.25">
      <c r="D4441" s="559" t="s">
        <v>867</v>
      </c>
      <c r="E4441" s="558" t="s">
        <v>3364</v>
      </c>
      <c r="F4441" s="559">
        <v>700670</v>
      </c>
      <c r="G4441" s="558" t="s">
        <v>3365</v>
      </c>
      <c r="H4441" s="564">
        <v>40015</v>
      </c>
      <c r="I4441" s="563">
        <v>142.35</v>
      </c>
      <c r="J4441" s="563">
        <v>-142.35</v>
      </c>
      <c r="K4441" s="582">
        <f t="shared" si="204"/>
        <v>0</v>
      </c>
      <c r="L4441" s="563">
        <f t="shared" si="205"/>
        <v>0</v>
      </c>
      <c r="M4441" s="563">
        <f t="shared" si="206"/>
        <v>156.58500000000001</v>
      </c>
      <c r="N4441" s="580"/>
    </row>
    <row r="4442" spans="4:14" x14ac:dyDescent="0.25">
      <c r="D4442" s="559" t="s">
        <v>867</v>
      </c>
      <c r="E4442" s="558" t="s">
        <v>3366</v>
      </c>
      <c r="F4442" s="559">
        <v>700672</v>
      </c>
      <c r="G4442" s="558" t="s">
        <v>3365</v>
      </c>
      <c r="H4442" s="564">
        <v>40015</v>
      </c>
      <c r="I4442" s="563">
        <v>220.35</v>
      </c>
      <c r="J4442" s="563">
        <v>-220.35</v>
      </c>
      <c r="K4442" s="582">
        <f t="shared" si="204"/>
        <v>0</v>
      </c>
      <c r="L4442" s="563">
        <f t="shared" si="205"/>
        <v>0</v>
      </c>
      <c r="M4442" s="563">
        <f t="shared" si="206"/>
        <v>242.38500000000002</v>
      </c>
      <c r="N4442" s="580"/>
    </row>
    <row r="4443" spans="4:14" x14ac:dyDescent="0.25">
      <c r="D4443" s="559" t="s">
        <v>867</v>
      </c>
      <c r="E4443" s="558" t="s">
        <v>3367</v>
      </c>
      <c r="F4443" s="559">
        <v>700673</v>
      </c>
      <c r="G4443" s="558" t="s">
        <v>3365</v>
      </c>
      <c r="H4443" s="564">
        <v>40015</v>
      </c>
      <c r="I4443" s="563">
        <v>220.35</v>
      </c>
      <c r="J4443" s="563">
        <v>-220.35</v>
      </c>
      <c r="K4443" s="582">
        <f t="shared" si="204"/>
        <v>0</v>
      </c>
      <c r="L4443" s="563">
        <f t="shared" si="205"/>
        <v>0</v>
      </c>
      <c r="M4443" s="563">
        <f t="shared" si="206"/>
        <v>242.38500000000002</v>
      </c>
      <c r="N4443" s="580"/>
    </row>
    <row r="4444" spans="4:14" x14ac:dyDescent="0.25">
      <c r="D4444" s="559" t="s">
        <v>867</v>
      </c>
      <c r="E4444" s="558" t="s">
        <v>3368</v>
      </c>
      <c r="F4444" s="559">
        <v>700674</v>
      </c>
      <c r="G4444" s="558" t="s">
        <v>3365</v>
      </c>
      <c r="H4444" s="564">
        <v>40015</v>
      </c>
      <c r="I4444" s="563">
        <v>142.35</v>
      </c>
      <c r="J4444" s="563">
        <v>-142.35</v>
      </c>
      <c r="K4444" s="582">
        <f t="shared" si="204"/>
        <v>0</v>
      </c>
      <c r="L4444" s="563">
        <f t="shared" si="205"/>
        <v>0</v>
      </c>
      <c r="M4444" s="563">
        <f t="shared" si="206"/>
        <v>156.58500000000001</v>
      </c>
      <c r="N4444" s="580"/>
    </row>
    <row r="4445" spans="4:14" x14ac:dyDescent="0.25">
      <c r="D4445" s="559" t="s">
        <v>867</v>
      </c>
      <c r="E4445" s="558" t="s">
        <v>3369</v>
      </c>
      <c r="F4445" s="559">
        <v>700676</v>
      </c>
      <c r="G4445" s="558" t="s">
        <v>3365</v>
      </c>
      <c r="H4445" s="564">
        <v>40015</v>
      </c>
      <c r="I4445" s="563">
        <v>142.35</v>
      </c>
      <c r="J4445" s="563">
        <v>-142.35</v>
      </c>
      <c r="K4445" s="582">
        <f t="shared" si="204"/>
        <v>0</v>
      </c>
      <c r="L4445" s="563">
        <f t="shared" si="205"/>
        <v>0</v>
      </c>
      <c r="M4445" s="563">
        <f t="shared" si="206"/>
        <v>156.58500000000001</v>
      </c>
      <c r="N4445" s="580"/>
    </row>
    <row r="4446" spans="4:14" x14ac:dyDescent="0.25">
      <c r="D4446" s="559" t="s">
        <v>867</v>
      </c>
      <c r="E4446" s="558" t="s">
        <v>3370</v>
      </c>
      <c r="F4446" s="559">
        <v>700683</v>
      </c>
      <c r="G4446" s="558" t="s">
        <v>3371</v>
      </c>
      <c r="H4446" s="564">
        <v>40015</v>
      </c>
      <c r="I4446" s="563">
        <v>1117.3499999999999</v>
      </c>
      <c r="J4446" s="563">
        <v>-585</v>
      </c>
      <c r="K4446" s="582">
        <f t="shared" si="204"/>
        <v>532.34999999999991</v>
      </c>
      <c r="L4446" s="563">
        <f t="shared" si="205"/>
        <v>585.58499999999992</v>
      </c>
      <c r="M4446" s="563">
        <f t="shared" si="206"/>
        <v>1229.085</v>
      </c>
      <c r="N4446" s="580"/>
    </row>
    <row r="4447" spans="4:14" x14ac:dyDescent="0.25">
      <c r="D4447" s="559" t="s">
        <v>867</v>
      </c>
      <c r="E4447" s="558" t="s">
        <v>3372</v>
      </c>
      <c r="F4447" s="559">
        <v>700685</v>
      </c>
      <c r="G4447" s="558" t="s">
        <v>3371</v>
      </c>
      <c r="H4447" s="564">
        <v>40015</v>
      </c>
      <c r="I4447" s="563">
        <v>688.35</v>
      </c>
      <c r="J4447" s="563">
        <v>-585</v>
      </c>
      <c r="K4447" s="582">
        <f t="shared" si="204"/>
        <v>103.35000000000002</v>
      </c>
      <c r="L4447" s="563">
        <f t="shared" si="205"/>
        <v>113.68500000000003</v>
      </c>
      <c r="M4447" s="563">
        <f t="shared" si="206"/>
        <v>757.18500000000006</v>
      </c>
      <c r="N4447" s="580"/>
    </row>
    <row r="4448" spans="4:14" x14ac:dyDescent="0.25">
      <c r="D4448" s="559" t="s">
        <v>867</v>
      </c>
      <c r="E4448" s="558" t="s">
        <v>3373</v>
      </c>
      <c r="F4448" s="559">
        <v>700686</v>
      </c>
      <c r="G4448" s="558" t="s">
        <v>3371</v>
      </c>
      <c r="H4448" s="564">
        <v>40015</v>
      </c>
      <c r="I4448" s="563">
        <v>844.35</v>
      </c>
      <c r="J4448" s="563">
        <v>-585</v>
      </c>
      <c r="K4448" s="582">
        <f t="shared" si="204"/>
        <v>259.35000000000002</v>
      </c>
      <c r="L4448" s="563">
        <f t="shared" si="205"/>
        <v>285.28500000000003</v>
      </c>
      <c r="M4448" s="563">
        <f t="shared" si="206"/>
        <v>928.78500000000008</v>
      </c>
      <c r="N4448" s="580"/>
    </row>
    <row r="4449" spans="4:14" x14ac:dyDescent="0.25">
      <c r="D4449" s="559" t="s">
        <v>867</v>
      </c>
      <c r="E4449" s="558" t="s">
        <v>3374</v>
      </c>
      <c r="F4449" s="559">
        <v>700693</v>
      </c>
      <c r="G4449" s="558" t="s">
        <v>3371</v>
      </c>
      <c r="H4449" s="564">
        <v>40015</v>
      </c>
      <c r="I4449" s="563">
        <v>220.35</v>
      </c>
      <c r="J4449" s="563">
        <v>-220.35</v>
      </c>
      <c r="K4449" s="582">
        <f t="shared" si="204"/>
        <v>0</v>
      </c>
      <c r="L4449" s="563">
        <f t="shared" si="205"/>
        <v>0</v>
      </c>
      <c r="M4449" s="563">
        <f t="shared" si="206"/>
        <v>242.38500000000002</v>
      </c>
      <c r="N4449" s="580"/>
    </row>
    <row r="4450" spans="4:14" x14ac:dyDescent="0.25">
      <c r="D4450" s="559" t="s">
        <v>867</v>
      </c>
      <c r="E4450" s="558" t="s">
        <v>3375</v>
      </c>
      <c r="F4450" s="559">
        <v>700694</v>
      </c>
      <c r="G4450" s="558" t="s">
        <v>3371</v>
      </c>
      <c r="H4450" s="564">
        <v>40015</v>
      </c>
      <c r="I4450" s="563">
        <v>142.35</v>
      </c>
      <c r="J4450" s="563">
        <v>-142.35</v>
      </c>
      <c r="K4450" s="582">
        <f t="shared" si="204"/>
        <v>0</v>
      </c>
      <c r="L4450" s="563">
        <f t="shared" si="205"/>
        <v>0</v>
      </c>
      <c r="M4450" s="563">
        <f t="shared" si="206"/>
        <v>156.58500000000001</v>
      </c>
      <c r="N4450" s="580"/>
    </row>
    <row r="4451" spans="4:14" x14ac:dyDescent="0.25">
      <c r="D4451" s="559" t="s">
        <v>867</v>
      </c>
      <c r="E4451" s="558" t="s">
        <v>3376</v>
      </c>
      <c r="F4451" s="559">
        <v>700695</v>
      </c>
      <c r="G4451" s="558" t="s">
        <v>3377</v>
      </c>
      <c r="H4451" s="564">
        <v>40015</v>
      </c>
      <c r="I4451" s="563">
        <v>1273.3499999999999</v>
      </c>
      <c r="J4451" s="563">
        <v>-585</v>
      </c>
      <c r="K4451" s="582">
        <f t="shared" si="204"/>
        <v>688.34999999999991</v>
      </c>
      <c r="L4451" s="563">
        <f t="shared" si="205"/>
        <v>757.18499999999995</v>
      </c>
      <c r="M4451" s="563">
        <f t="shared" si="206"/>
        <v>1400.6849999999999</v>
      </c>
      <c r="N4451" s="580"/>
    </row>
    <row r="4452" spans="4:14" x14ac:dyDescent="0.25">
      <c r="D4452" s="559" t="s">
        <v>867</v>
      </c>
      <c r="E4452" s="558" t="s">
        <v>3378</v>
      </c>
      <c r="F4452" s="559">
        <v>700697</v>
      </c>
      <c r="G4452" s="558" t="s">
        <v>3377</v>
      </c>
      <c r="H4452" s="564">
        <v>40015</v>
      </c>
      <c r="I4452" s="563">
        <v>142.35</v>
      </c>
      <c r="J4452" s="563">
        <v>-142.35</v>
      </c>
      <c r="K4452" s="582">
        <f t="shared" si="204"/>
        <v>0</v>
      </c>
      <c r="L4452" s="563">
        <f t="shared" si="205"/>
        <v>0</v>
      </c>
      <c r="M4452" s="563">
        <f t="shared" si="206"/>
        <v>156.58500000000001</v>
      </c>
      <c r="N4452" s="580"/>
    </row>
    <row r="4453" spans="4:14" x14ac:dyDescent="0.25">
      <c r="D4453" s="559" t="s">
        <v>867</v>
      </c>
      <c r="E4453" s="558" t="s">
        <v>3379</v>
      </c>
      <c r="F4453" s="559">
        <v>700699</v>
      </c>
      <c r="G4453" s="558" t="s">
        <v>3377</v>
      </c>
      <c r="H4453" s="564">
        <v>40015</v>
      </c>
      <c r="I4453" s="563">
        <v>688.35</v>
      </c>
      <c r="J4453" s="563">
        <v>-585</v>
      </c>
      <c r="K4453" s="582">
        <f t="shared" si="204"/>
        <v>103.35000000000002</v>
      </c>
      <c r="L4453" s="563">
        <f t="shared" si="205"/>
        <v>113.68500000000003</v>
      </c>
      <c r="M4453" s="563">
        <f t="shared" si="206"/>
        <v>757.18500000000006</v>
      </c>
      <c r="N4453" s="580"/>
    </row>
    <row r="4454" spans="4:14" x14ac:dyDescent="0.25">
      <c r="D4454" s="559" t="s">
        <v>867</v>
      </c>
      <c r="E4454" s="558" t="s">
        <v>3380</v>
      </c>
      <c r="F4454" s="559">
        <v>700701</v>
      </c>
      <c r="G4454" s="558" t="s">
        <v>3377</v>
      </c>
      <c r="H4454" s="564">
        <v>40015</v>
      </c>
      <c r="I4454" s="563">
        <v>688.35</v>
      </c>
      <c r="J4454" s="563">
        <v>-585</v>
      </c>
      <c r="K4454" s="582">
        <f t="shared" si="204"/>
        <v>103.35000000000002</v>
      </c>
      <c r="L4454" s="563">
        <f t="shared" si="205"/>
        <v>113.68500000000003</v>
      </c>
      <c r="M4454" s="563">
        <f t="shared" si="206"/>
        <v>757.18500000000006</v>
      </c>
      <c r="N4454" s="580"/>
    </row>
    <row r="4455" spans="4:14" x14ac:dyDescent="0.25">
      <c r="D4455" s="559" t="s">
        <v>867</v>
      </c>
      <c r="E4455" s="558" t="s">
        <v>3381</v>
      </c>
      <c r="F4455" s="559">
        <v>700702</v>
      </c>
      <c r="G4455" s="558" t="s">
        <v>3377</v>
      </c>
      <c r="H4455" s="564">
        <v>40015</v>
      </c>
      <c r="I4455" s="563">
        <v>610.35</v>
      </c>
      <c r="J4455" s="563">
        <v>-585</v>
      </c>
      <c r="K4455" s="582">
        <f t="shared" si="204"/>
        <v>25.350000000000023</v>
      </c>
      <c r="L4455" s="563">
        <f t="shared" si="205"/>
        <v>27.885000000000026</v>
      </c>
      <c r="M4455" s="563">
        <f t="shared" si="206"/>
        <v>671.3850000000001</v>
      </c>
      <c r="N4455" s="580"/>
    </row>
    <row r="4456" spans="4:14" x14ac:dyDescent="0.25">
      <c r="D4456" s="559" t="s">
        <v>867</v>
      </c>
      <c r="E4456" s="558" t="s">
        <v>3382</v>
      </c>
      <c r="F4456" s="559">
        <v>700703</v>
      </c>
      <c r="G4456" s="558" t="s">
        <v>3383</v>
      </c>
      <c r="H4456" s="564">
        <v>40015</v>
      </c>
      <c r="I4456" s="563">
        <v>142.35</v>
      </c>
      <c r="J4456" s="563">
        <v>-142.35</v>
      </c>
      <c r="K4456" s="582">
        <f t="shared" si="204"/>
        <v>0</v>
      </c>
      <c r="L4456" s="563">
        <f t="shared" si="205"/>
        <v>0</v>
      </c>
      <c r="M4456" s="563">
        <f t="shared" si="206"/>
        <v>156.58500000000001</v>
      </c>
      <c r="N4456" s="580"/>
    </row>
    <row r="4457" spans="4:14" x14ac:dyDescent="0.25">
      <c r="D4457" s="559" t="s">
        <v>867</v>
      </c>
      <c r="E4457" s="558" t="s">
        <v>3384</v>
      </c>
      <c r="F4457" s="559">
        <v>700709</v>
      </c>
      <c r="G4457" s="558" t="s">
        <v>3383</v>
      </c>
      <c r="H4457" s="564">
        <v>40015</v>
      </c>
      <c r="I4457" s="563">
        <v>337.35</v>
      </c>
      <c r="J4457" s="563">
        <v>-337.35</v>
      </c>
      <c r="K4457" s="582">
        <f t="shared" ref="K4457:K4520" si="207">+I4457+J4457</f>
        <v>0</v>
      </c>
      <c r="L4457" s="563">
        <f t="shared" ref="L4457:L4520" si="208">+K4457*1.1</f>
        <v>0</v>
      </c>
      <c r="M4457" s="563">
        <f t="shared" ref="M4457:M4520" si="209">+I4457*1.1</f>
        <v>371.08500000000004</v>
      </c>
      <c r="N4457" s="580"/>
    </row>
    <row r="4458" spans="4:14" x14ac:dyDescent="0.25">
      <c r="D4458" s="559" t="s">
        <v>867</v>
      </c>
      <c r="E4458" s="558" t="s">
        <v>3385</v>
      </c>
      <c r="F4458" s="559">
        <v>700715</v>
      </c>
      <c r="G4458" s="558" t="s">
        <v>3383</v>
      </c>
      <c r="H4458" s="564">
        <v>40015</v>
      </c>
      <c r="I4458" s="563">
        <v>454.35</v>
      </c>
      <c r="J4458" s="563">
        <v>-454.35</v>
      </c>
      <c r="K4458" s="582">
        <f t="shared" si="207"/>
        <v>0</v>
      </c>
      <c r="L4458" s="563">
        <f t="shared" si="208"/>
        <v>0</v>
      </c>
      <c r="M4458" s="563">
        <f t="shared" si="209"/>
        <v>499.78500000000008</v>
      </c>
      <c r="N4458" s="580"/>
    </row>
    <row r="4459" spans="4:14" x14ac:dyDescent="0.25">
      <c r="D4459" s="559" t="s">
        <v>867</v>
      </c>
      <c r="E4459" s="558" t="s">
        <v>3386</v>
      </c>
      <c r="F4459" s="559">
        <v>700716</v>
      </c>
      <c r="G4459" s="558" t="s">
        <v>3383</v>
      </c>
      <c r="H4459" s="564">
        <v>40015</v>
      </c>
      <c r="I4459" s="563">
        <v>844.35</v>
      </c>
      <c r="J4459" s="563">
        <v>-585</v>
      </c>
      <c r="K4459" s="582">
        <f t="shared" si="207"/>
        <v>259.35000000000002</v>
      </c>
      <c r="L4459" s="563">
        <f t="shared" si="208"/>
        <v>285.28500000000003</v>
      </c>
      <c r="M4459" s="563">
        <f t="shared" si="209"/>
        <v>928.78500000000008</v>
      </c>
      <c r="N4459" s="580"/>
    </row>
    <row r="4460" spans="4:14" x14ac:dyDescent="0.25">
      <c r="D4460" s="559" t="s">
        <v>867</v>
      </c>
      <c r="E4460" s="558" t="s">
        <v>3387</v>
      </c>
      <c r="F4460" s="559">
        <v>700718</v>
      </c>
      <c r="G4460" s="558" t="s">
        <v>3383</v>
      </c>
      <c r="H4460" s="564">
        <v>40015</v>
      </c>
      <c r="I4460" s="563">
        <v>337.35</v>
      </c>
      <c r="J4460" s="563">
        <v>-337.35</v>
      </c>
      <c r="K4460" s="582">
        <f t="shared" si="207"/>
        <v>0</v>
      </c>
      <c r="L4460" s="563">
        <f t="shared" si="208"/>
        <v>0</v>
      </c>
      <c r="M4460" s="563">
        <f t="shared" si="209"/>
        <v>371.08500000000004</v>
      </c>
      <c r="N4460" s="580"/>
    </row>
    <row r="4461" spans="4:14" x14ac:dyDescent="0.25">
      <c r="D4461" s="559" t="s">
        <v>867</v>
      </c>
      <c r="E4461" s="558" t="s">
        <v>3388</v>
      </c>
      <c r="F4461" s="559">
        <v>700720</v>
      </c>
      <c r="G4461" s="558" t="s">
        <v>985</v>
      </c>
      <c r="H4461" s="564">
        <v>40015</v>
      </c>
      <c r="I4461" s="563">
        <v>1507.35</v>
      </c>
      <c r="J4461" s="563">
        <v>-585</v>
      </c>
      <c r="K4461" s="582">
        <f t="shared" si="207"/>
        <v>922.34999999999991</v>
      </c>
      <c r="L4461" s="563">
        <f t="shared" si="208"/>
        <v>1014.585</v>
      </c>
      <c r="M4461" s="563">
        <f t="shared" si="209"/>
        <v>1658.085</v>
      </c>
      <c r="N4461" s="580"/>
    </row>
    <row r="4462" spans="4:14" x14ac:dyDescent="0.25">
      <c r="D4462" s="559" t="s">
        <v>867</v>
      </c>
      <c r="E4462" s="558" t="s">
        <v>3389</v>
      </c>
      <c r="F4462" s="559">
        <v>700723</v>
      </c>
      <c r="G4462" s="558" t="s">
        <v>985</v>
      </c>
      <c r="H4462" s="564">
        <v>40015</v>
      </c>
      <c r="I4462" s="563">
        <v>337.35</v>
      </c>
      <c r="J4462" s="563">
        <v>-337.35</v>
      </c>
      <c r="K4462" s="582">
        <f t="shared" si="207"/>
        <v>0</v>
      </c>
      <c r="L4462" s="563">
        <f t="shared" si="208"/>
        <v>0</v>
      </c>
      <c r="M4462" s="563">
        <f t="shared" si="209"/>
        <v>371.08500000000004</v>
      </c>
      <c r="N4462" s="580"/>
    </row>
    <row r="4463" spans="4:14" x14ac:dyDescent="0.25">
      <c r="D4463" s="559" t="s">
        <v>867</v>
      </c>
      <c r="E4463" s="558" t="s">
        <v>3390</v>
      </c>
      <c r="F4463" s="559">
        <v>700725</v>
      </c>
      <c r="G4463" s="558" t="s">
        <v>985</v>
      </c>
      <c r="H4463" s="564">
        <v>40015</v>
      </c>
      <c r="I4463" s="563">
        <v>337.35</v>
      </c>
      <c r="J4463" s="563">
        <v>-337.35</v>
      </c>
      <c r="K4463" s="582">
        <f t="shared" si="207"/>
        <v>0</v>
      </c>
      <c r="L4463" s="563">
        <f t="shared" si="208"/>
        <v>0</v>
      </c>
      <c r="M4463" s="563">
        <f t="shared" si="209"/>
        <v>371.08500000000004</v>
      </c>
      <c r="N4463" s="580"/>
    </row>
    <row r="4464" spans="4:14" x14ac:dyDescent="0.25">
      <c r="D4464" s="559" t="s">
        <v>867</v>
      </c>
      <c r="E4464" s="558" t="s">
        <v>3391</v>
      </c>
      <c r="F4464" s="559">
        <v>700451</v>
      </c>
      <c r="G4464" s="558" t="s">
        <v>985</v>
      </c>
      <c r="H4464" s="564">
        <v>40015</v>
      </c>
      <c r="I4464" s="563">
        <v>337.35</v>
      </c>
      <c r="J4464" s="563">
        <v>-337.35</v>
      </c>
      <c r="K4464" s="582">
        <f t="shared" si="207"/>
        <v>0</v>
      </c>
      <c r="L4464" s="563">
        <f t="shared" si="208"/>
        <v>0</v>
      </c>
      <c r="M4464" s="563">
        <f t="shared" si="209"/>
        <v>371.08500000000004</v>
      </c>
      <c r="N4464" s="580"/>
    </row>
    <row r="4465" spans="4:14" x14ac:dyDescent="0.25">
      <c r="D4465" s="559" t="s">
        <v>867</v>
      </c>
      <c r="E4465" s="558" t="s">
        <v>3392</v>
      </c>
      <c r="F4465" s="559">
        <v>700730</v>
      </c>
      <c r="G4465" s="558" t="s">
        <v>3393</v>
      </c>
      <c r="H4465" s="564">
        <v>40015</v>
      </c>
      <c r="I4465" s="563">
        <v>337.35</v>
      </c>
      <c r="J4465" s="563">
        <v>-337.35</v>
      </c>
      <c r="K4465" s="582">
        <f t="shared" si="207"/>
        <v>0</v>
      </c>
      <c r="L4465" s="563">
        <f t="shared" si="208"/>
        <v>0</v>
      </c>
      <c r="M4465" s="563">
        <f t="shared" si="209"/>
        <v>371.08500000000004</v>
      </c>
      <c r="N4465" s="580"/>
    </row>
    <row r="4466" spans="4:14" x14ac:dyDescent="0.25">
      <c r="D4466" s="559" t="s">
        <v>867</v>
      </c>
      <c r="E4466" s="558" t="s">
        <v>3394</v>
      </c>
      <c r="F4466" s="559">
        <v>700732</v>
      </c>
      <c r="G4466" s="558" t="s">
        <v>3393</v>
      </c>
      <c r="H4466" s="564">
        <v>40015</v>
      </c>
      <c r="I4466" s="563">
        <v>181.35</v>
      </c>
      <c r="J4466" s="563">
        <v>-181.35</v>
      </c>
      <c r="K4466" s="582">
        <f t="shared" si="207"/>
        <v>0</v>
      </c>
      <c r="L4466" s="563">
        <f t="shared" si="208"/>
        <v>0</v>
      </c>
      <c r="M4466" s="563">
        <f t="shared" si="209"/>
        <v>199.48500000000001</v>
      </c>
      <c r="N4466" s="580"/>
    </row>
    <row r="4467" spans="4:14" x14ac:dyDescent="0.25">
      <c r="D4467" s="559" t="s">
        <v>867</v>
      </c>
      <c r="E4467" s="558" t="s">
        <v>3395</v>
      </c>
      <c r="F4467" s="559">
        <v>700733</v>
      </c>
      <c r="G4467" s="558" t="s">
        <v>3393</v>
      </c>
      <c r="H4467" s="564">
        <v>40015</v>
      </c>
      <c r="I4467" s="563">
        <v>415.35</v>
      </c>
      <c r="J4467" s="563">
        <v>-415.35</v>
      </c>
      <c r="K4467" s="582">
        <f t="shared" si="207"/>
        <v>0</v>
      </c>
      <c r="L4467" s="563">
        <f t="shared" si="208"/>
        <v>0</v>
      </c>
      <c r="M4467" s="563">
        <f t="shared" si="209"/>
        <v>456.88500000000005</v>
      </c>
      <c r="N4467" s="580"/>
    </row>
    <row r="4468" spans="4:14" x14ac:dyDescent="0.25">
      <c r="D4468" s="559" t="s">
        <v>867</v>
      </c>
      <c r="E4468" s="558" t="s">
        <v>3396</v>
      </c>
      <c r="F4468" s="559">
        <v>700734</v>
      </c>
      <c r="G4468" s="558" t="s">
        <v>3393</v>
      </c>
      <c r="H4468" s="564">
        <v>40015</v>
      </c>
      <c r="I4468" s="563">
        <v>337.35</v>
      </c>
      <c r="J4468" s="563">
        <v>-337.35</v>
      </c>
      <c r="K4468" s="582">
        <f t="shared" si="207"/>
        <v>0</v>
      </c>
      <c r="L4468" s="563">
        <f t="shared" si="208"/>
        <v>0</v>
      </c>
      <c r="M4468" s="563">
        <f t="shared" si="209"/>
        <v>371.08500000000004</v>
      </c>
      <c r="N4468" s="580"/>
    </row>
    <row r="4469" spans="4:14" x14ac:dyDescent="0.25">
      <c r="D4469" s="559" t="s">
        <v>867</v>
      </c>
      <c r="E4469" s="558" t="s">
        <v>3397</v>
      </c>
      <c r="F4469" s="559">
        <v>700735</v>
      </c>
      <c r="G4469" s="558" t="s">
        <v>3393</v>
      </c>
      <c r="H4469" s="564">
        <v>40015</v>
      </c>
      <c r="I4469" s="563">
        <v>376.35</v>
      </c>
      <c r="J4469" s="563">
        <v>-376.35</v>
      </c>
      <c r="K4469" s="582">
        <f t="shared" si="207"/>
        <v>0</v>
      </c>
      <c r="L4469" s="563">
        <f t="shared" si="208"/>
        <v>0</v>
      </c>
      <c r="M4469" s="563">
        <f t="shared" si="209"/>
        <v>413.98500000000007</v>
      </c>
      <c r="N4469" s="580"/>
    </row>
    <row r="4470" spans="4:14" x14ac:dyDescent="0.25">
      <c r="D4470" s="559" t="s">
        <v>867</v>
      </c>
      <c r="E4470" s="558" t="s">
        <v>3398</v>
      </c>
      <c r="F4470" s="559">
        <v>700736</v>
      </c>
      <c r="G4470" s="558" t="s">
        <v>818</v>
      </c>
      <c r="H4470" s="564">
        <v>40015</v>
      </c>
      <c r="I4470" s="563">
        <v>337.35</v>
      </c>
      <c r="J4470" s="563">
        <v>-337.35</v>
      </c>
      <c r="K4470" s="582">
        <f t="shared" si="207"/>
        <v>0</v>
      </c>
      <c r="L4470" s="563">
        <f t="shared" si="208"/>
        <v>0</v>
      </c>
      <c r="M4470" s="563">
        <f t="shared" si="209"/>
        <v>371.08500000000004</v>
      </c>
      <c r="N4470" s="580"/>
    </row>
    <row r="4471" spans="4:14" x14ac:dyDescent="0.25">
      <c r="D4471" s="559" t="s">
        <v>867</v>
      </c>
      <c r="E4471" s="558" t="s">
        <v>3399</v>
      </c>
      <c r="F4471" s="559">
        <v>700737</v>
      </c>
      <c r="G4471" s="558" t="s">
        <v>818</v>
      </c>
      <c r="H4471" s="564">
        <v>40015</v>
      </c>
      <c r="I4471" s="563">
        <v>337.35</v>
      </c>
      <c r="J4471" s="563">
        <v>-337.35</v>
      </c>
      <c r="K4471" s="582">
        <f t="shared" si="207"/>
        <v>0</v>
      </c>
      <c r="L4471" s="563">
        <f t="shared" si="208"/>
        <v>0</v>
      </c>
      <c r="M4471" s="563">
        <f t="shared" si="209"/>
        <v>371.08500000000004</v>
      </c>
      <c r="N4471" s="580"/>
    </row>
    <row r="4472" spans="4:14" x14ac:dyDescent="0.25">
      <c r="D4472" s="559" t="s">
        <v>867</v>
      </c>
      <c r="E4472" s="558" t="s">
        <v>3400</v>
      </c>
      <c r="F4472" s="559">
        <v>700747</v>
      </c>
      <c r="G4472" s="558" t="s">
        <v>818</v>
      </c>
      <c r="H4472" s="564">
        <v>40015</v>
      </c>
      <c r="I4472" s="563">
        <v>337.35</v>
      </c>
      <c r="J4472" s="563">
        <v>-337.35</v>
      </c>
      <c r="K4472" s="582">
        <f t="shared" si="207"/>
        <v>0</v>
      </c>
      <c r="L4472" s="563">
        <f t="shared" si="208"/>
        <v>0</v>
      </c>
      <c r="M4472" s="563">
        <f t="shared" si="209"/>
        <v>371.08500000000004</v>
      </c>
      <c r="N4472" s="580"/>
    </row>
    <row r="4473" spans="4:14" x14ac:dyDescent="0.25">
      <c r="D4473" s="559" t="s">
        <v>867</v>
      </c>
      <c r="E4473" s="558" t="s">
        <v>3401</v>
      </c>
      <c r="F4473" s="559">
        <v>700749</v>
      </c>
      <c r="G4473" s="558" t="s">
        <v>818</v>
      </c>
      <c r="H4473" s="564">
        <v>40015</v>
      </c>
      <c r="I4473" s="563">
        <v>337.35</v>
      </c>
      <c r="J4473" s="563">
        <v>-337.35</v>
      </c>
      <c r="K4473" s="582">
        <f t="shared" si="207"/>
        <v>0</v>
      </c>
      <c r="L4473" s="563">
        <f t="shared" si="208"/>
        <v>0</v>
      </c>
      <c r="M4473" s="563">
        <f t="shared" si="209"/>
        <v>371.08500000000004</v>
      </c>
      <c r="N4473" s="580"/>
    </row>
    <row r="4474" spans="4:14" x14ac:dyDescent="0.25">
      <c r="D4474" s="559" t="s">
        <v>867</v>
      </c>
      <c r="E4474" s="558" t="s">
        <v>3402</v>
      </c>
      <c r="F4474" s="559">
        <v>700750</v>
      </c>
      <c r="G4474" s="558" t="s">
        <v>3403</v>
      </c>
      <c r="H4474" s="564">
        <v>40015</v>
      </c>
      <c r="I4474" s="563">
        <v>337.35</v>
      </c>
      <c r="J4474" s="563">
        <v>-337.35</v>
      </c>
      <c r="K4474" s="582">
        <f t="shared" si="207"/>
        <v>0</v>
      </c>
      <c r="L4474" s="563">
        <f t="shared" si="208"/>
        <v>0</v>
      </c>
      <c r="M4474" s="563">
        <f t="shared" si="209"/>
        <v>371.08500000000004</v>
      </c>
      <c r="N4474" s="580"/>
    </row>
    <row r="4475" spans="4:14" x14ac:dyDescent="0.25">
      <c r="D4475" s="559" t="s">
        <v>867</v>
      </c>
      <c r="E4475" s="558" t="s">
        <v>3404</v>
      </c>
      <c r="F4475" s="559">
        <v>700751</v>
      </c>
      <c r="G4475" s="558" t="s">
        <v>3403</v>
      </c>
      <c r="H4475" s="564">
        <v>40015</v>
      </c>
      <c r="I4475" s="563">
        <v>337.35</v>
      </c>
      <c r="J4475" s="563">
        <v>-337.35</v>
      </c>
      <c r="K4475" s="582">
        <f t="shared" si="207"/>
        <v>0</v>
      </c>
      <c r="L4475" s="563">
        <f t="shared" si="208"/>
        <v>0</v>
      </c>
      <c r="M4475" s="563">
        <f t="shared" si="209"/>
        <v>371.08500000000004</v>
      </c>
      <c r="N4475" s="580"/>
    </row>
    <row r="4476" spans="4:14" x14ac:dyDescent="0.25">
      <c r="D4476" s="559" t="s">
        <v>867</v>
      </c>
      <c r="E4476" s="558" t="s">
        <v>3405</v>
      </c>
      <c r="F4476" s="559">
        <v>701379</v>
      </c>
      <c r="G4476" s="558" t="s">
        <v>3403</v>
      </c>
      <c r="H4476" s="564">
        <v>40015</v>
      </c>
      <c r="I4476" s="563">
        <v>337.35</v>
      </c>
      <c r="J4476" s="563">
        <v>-337.35</v>
      </c>
      <c r="K4476" s="582">
        <f t="shared" si="207"/>
        <v>0</v>
      </c>
      <c r="L4476" s="563">
        <f t="shared" si="208"/>
        <v>0</v>
      </c>
      <c r="M4476" s="563">
        <f t="shared" si="209"/>
        <v>371.08500000000004</v>
      </c>
      <c r="N4476" s="580"/>
    </row>
    <row r="4477" spans="4:14" x14ac:dyDescent="0.25">
      <c r="D4477" s="559" t="s">
        <v>867</v>
      </c>
      <c r="E4477" s="558" t="s">
        <v>3406</v>
      </c>
      <c r="F4477" s="559">
        <v>700752</v>
      </c>
      <c r="G4477" s="558" t="s">
        <v>3403</v>
      </c>
      <c r="H4477" s="564">
        <v>40015</v>
      </c>
      <c r="I4477" s="563">
        <v>337.35</v>
      </c>
      <c r="J4477" s="563">
        <v>-337.35</v>
      </c>
      <c r="K4477" s="582">
        <f t="shared" si="207"/>
        <v>0</v>
      </c>
      <c r="L4477" s="563">
        <f t="shared" si="208"/>
        <v>0</v>
      </c>
      <c r="M4477" s="563">
        <f t="shared" si="209"/>
        <v>371.08500000000004</v>
      </c>
      <c r="N4477" s="580"/>
    </row>
    <row r="4478" spans="4:14" x14ac:dyDescent="0.25">
      <c r="D4478" s="559" t="s">
        <v>867</v>
      </c>
      <c r="E4478" s="558" t="s">
        <v>3407</v>
      </c>
      <c r="F4478" s="559">
        <v>700753</v>
      </c>
      <c r="G4478" s="558" t="s">
        <v>3403</v>
      </c>
      <c r="H4478" s="564">
        <v>40015</v>
      </c>
      <c r="I4478" s="563">
        <v>337.35</v>
      </c>
      <c r="J4478" s="563">
        <v>-337.35</v>
      </c>
      <c r="K4478" s="582">
        <f t="shared" si="207"/>
        <v>0</v>
      </c>
      <c r="L4478" s="563">
        <f t="shared" si="208"/>
        <v>0</v>
      </c>
      <c r="M4478" s="563">
        <f t="shared" si="209"/>
        <v>371.08500000000004</v>
      </c>
      <c r="N4478" s="580"/>
    </row>
    <row r="4479" spans="4:14" x14ac:dyDescent="0.25">
      <c r="D4479" s="559" t="s">
        <v>867</v>
      </c>
      <c r="E4479" s="558" t="s">
        <v>3408</v>
      </c>
      <c r="F4479" s="559">
        <v>700754</v>
      </c>
      <c r="G4479" s="558" t="s">
        <v>3409</v>
      </c>
      <c r="H4479" s="564">
        <v>40015</v>
      </c>
      <c r="I4479" s="563">
        <v>337.35</v>
      </c>
      <c r="J4479" s="563">
        <v>-337.35</v>
      </c>
      <c r="K4479" s="582">
        <f t="shared" si="207"/>
        <v>0</v>
      </c>
      <c r="L4479" s="563">
        <f t="shared" si="208"/>
        <v>0</v>
      </c>
      <c r="M4479" s="563">
        <f t="shared" si="209"/>
        <v>371.08500000000004</v>
      </c>
      <c r="N4479" s="580"/>
    </row>
    <row r="4480" spans="4:14" x14ac:dyDescent="0.25">
      <c r="D4480" s="559" t="s">
        <v>867</v>
      </c>
      <c r="E4480" s="558" t="s">
        <v>3410</v>
      </c>
      <c r="F4480" s="559">
        <v>700755</v>
      </c>
      <c r="G4480" s="558" t="s">
        <v>3409</v>
      </c>
      <c r="H4480" s="564">
        <v>40015</v>
      </c>
      <c r="I4480" s="563">
        <v>337.35</v>
      </c>
      <c r="J4480" s="563">
        <v>-337.35</v>
      </c>
      <c r="K4480" s="582">
        <f t="shared" si="207"/>
        <v>0</v>
      </c>
      <c r="L4480" s="563">
        <f t="shared" si="208"/>
        <v>0</v>
      </c>
      <c r="M4480" s="563">
        <f t="shared" si="209"/>
        <v>371.08500000000004</v>
      </c>
      <c r="N4480" s="580"/>
    </row>
    <row r="4481" spans="4:14" x14ac:dyDescent="0.25">
      <c r="D4481" s="559" t="s">
        <v>867</v>
      </c>
      <c r="E4481" s="558" t="s">
        <v>3411</v>
      </c>
      <c r="F4481" s="559">
        <v>700756</v>
      </c>
      <c r="G4481" s="558" t="s">
        <v>3409</v>
      </c>
      <c r="H4481" s="564">
        <v>40015</v>
      </c>
      <c r="I4481" s="563">
        <v>571.35</v>
      </c>
      <c r="J4481" s="563">
        <v>-571.35</v>
      </c>
      <c r="K4481" s="582">
        <f t="shared" si="207"/>
        <v>0</v>
      </c>
      <c r="L4481" s="563">
        <f t="shared" si="208"/>
        <v>0</v>
      </c>
      <c r="M4481" s="563">
        <f t="shared" si="209"/>
        <v>628.48500000000013</v>
      </c>
      <c r="N4481" s="580"/>
    </row>
    <row r="4482" spans="4:14" x14ac:dyDescent="0.25">
      <c r="D4482" s="559" t="s">
        <v>867</v>
      </c>
      <c r="E4482" s="558" t="s">
        <v>3412</v>
      </c>
      <c r="F4482" s="559">
        <v>700760</v>
      </c>
      <c r="G4482" s="558" t="s">
        <v>3409</v>
      </c>
      <c r="H4482" s="564">
        <v>40015</v>
      </c>
      <c r="I4482" s="563">
        <v>688.35</v>
      </c>
      <c r="J4482" s="563">
        <v>-585</v>
      </c>
      <c r="K4482" s="582">
        <f t="shared" si="207"/>
        <v>103.35000000000002</v>
      </c>
      <c r="L4482" s="563">
        <f t="shared" si="208"/>
        <v>113.68500000000003</v>
      </c>
      <c r="M4482" s="563">
        <f t="shared" si="209"/>
        <v>757.18500000000006</v>
      </c>
      <c r="N4482" s="580"/>
    </row>
    <row r="4483" spans="4:14" x14ac:dyDescent="0.25">
      <c r="D4483" s="559" t="s">
        <v>867</v>
      </c>
      <c r="E4483" s="558" t="s">
        <v>3413</v>
      </c>
      <c r="F4483" s="559">
        <v>700761</v>
      </c>
      <c r="G4483" s="558" t="s">
        <v>3409</v>
      </c>
      <c r="H4483" s="564">
        <v>40015</v>
      </c>
      <c r="I4483" s="563">
        <v>493.35</v>
      </c>
      <c r="J4483" s="563">
        <v>-493.35</v>
      </c>
      <c r="K4483" s="582">
        <f t="shared" si="207"/>
        <v>0</v>
      </c>
      <c r="L4483" s="563">
        <f t="shared" si="208"/>
        <v>0</v>
      </c>
      <c r="M4483" s="563">
        <f t="shared" si="209"/>
        <v>542.68500000000006</v>
      </c>
      <c r="N4483" s="580"/>
    </row>
    <row r="4484" spans="4:14" x14ac:dyDescent="0.25">
      <c r="D4484" s="559" t="s">
        <v>867</v>
      </c>
      <c r="E4484" s="558" t="s">
        <v>3414</v>
      </c>
      <c r="F4484" s="559">
        <v>700762</v>
      </c>
      <c r="G4484" s="558" t="s">
        <v>3415</v>
      </c>
      <c r="H4484" s="564">
        <v>40015</v>
      </c>
      <c r="I4484" s="563">
        <v>649.35</v>
      </c>
      <c r="J4484" s="563">
        <v>-585</v>
      </c>
      <c r="K4484" s="582">
        <f t="shared" si="207"/>
        <v>64.350000000000023</v>
      </c>
      <c r="L4484" s="563">
        <f t="shared" si="208"/>
        <v>70.785000000000025</v>
      </c>
      <c r="M4484" s="563">
        <f t="shared" si="209"/>
        <v>714.28500000000008</v>
      </c>
      <c r="N4484" s="580"/>
    </row>
    <row r="4485" spans="4:14" x14ac:dyDescent="0.25">
      <c r="D4485" s="559" t="s">
        <v>867</v>
      </c>
      <c r="E4485" s="558" t="s">
        <v>3416</v>
      </c>
      <c r="F4485" s="559">
        <v>700764</v>
      </c>
      <c r="G4485" s="558" t="s">
        <v>3415</v>
      </c>
      <c r="H4485" s="564">
        <v>40015</v>
      </c>
      <c r="I4485" s="563">
        <v>532.35</v>
      </c>
      <c r="J4485" s="563">
        <v>-532.35</v>
      </c>
      <c r="K4485" s="582">
        <f t="shared" si="207"/>
        <v>0</v>
      </c>
      <c r="L4485" s="563">
        <f t="shared" si="208"/>
        <v>0</v>
      </c>
      <c r="M4485" s="563">
        <f t="shared" si="209"/>
        <v>585.58500000000004</v>
      </c>
      <c r="N4485" s="580"/>
    </row>
    <row r="4486" spans="4:14" x14ac:dyDescent="0.25">
      <c r="D4486" s="559" t="s">
        <v>867</v>
      </c>
      <c r="E4486" s="558" t="s">
        <v>3417</v>
      </c>
      <c r="F4486" s="559">
        <v>700765</v>
      </c>
      <c r="G4486" s="558" t="s">
        <v>3415</v>
      </c>
      <c r="H4486" s="564">
        <v>40015</v>
      </c>
      <c r="I4486" s="563">
        <v>493.35</v>
      </c>
      <c r="J4486" s="563">
        <v>-493.35</v>
      </c>
      <c r="K4486" s="582">
        <f t="shared" si="207"/>
        <v>0</v>
      </c>
      <c r="L4486" s="563">
        <f t="shared" si="208"/>
        <v>0</v>
      </c>
      <c r="M4486" s="563">
        <f t="shared" si="209"/>
        <v>542.68500000000006</v>
      </c>
      <c r="N4486" s="580"/>
    </row>
    <row r="4487" spans="4:14" x14ac:dyDescent="0.25">
      <c r="D4487" s="559" t="s">
        <v>867</v>
      </c>
      <c r="E4487" s="558" t="s">
        <v>642</v>
      </c>
      <c r="F4487" s="559">
        <v>700766</v>
      </c>
      <c r="G4487" s="558" t="s">
        <v>3415</v>
      </c>
      <c r="H4487" s="564">
        <v>40015</v>
      </c>
      <c r="I4487" s="563">
        <v>493.35</v>
      </c>
      <c r="J4487" s="563">
        <v>-493.35</v>
      </c>
      <c r="K4487" s="582">
        <f t="shared" si="207"/>
        <v>0</v>
      </c>
      <c r="L4487" s="563">
        <f t="shared" si="208"/>
        <v>0</v>
      </c>
      <c r="M4487" s="563">
        <f t="shared" si="209"/>
        <v>542.68500000000006</v>
      </c>
      <c r="N4487" s="580"/>
    </row>
    <row r="4488" spans="4:14" x14ac:dyDescent="0.25">
      <c r="D4488" s="559" t="s">
        <v>867</v>
      </c>
      <c r="E4488" s="558" t="s">
        <v>643</v>
      </c>
      <c r="F4488" s="559">
        <v>700767</v>
      </c>
      <c r="G4488" s="558" t="s">
        <v>3415</v>
      </c>
      <c r="H4488" s="564">
        <v>40015</v>
      </c>
      <c r="I4488" s="563">
        <v>337.35</v>
      </c>
      <c r="J4488" s="563">
        <v>-337.35</v>
      </c>
      <c r="K4488" s="582">
        <f t="shared" si="207"/>
        <v>0</v>
      </c>
      <c r="L4488" s="563">
        <f t="shared" si="208"/>
        <v>0</v>
      </c>
      <c r="M4488" s="563">
        <f t="shared" si="209"/>
        <v>371.08500000000004</v>
      </c>
      <c r="N4488" s="580"/>
    </row>
    <row r="4489" spans="4:14" x14ac:dyDescent="0.25">
      <c r="D4489" s="559" t="s">
        <v>867</v>
      </c>
      <c r="E4489" s="558" t="s">
        <v>644</v>
      </c>
      <c r="F4489" s="559">
        <v>700768</v>
      </c>
      <c r="G4489" s="558" t="s">
        <v>645</v>
      </c>
      <c r="H4489" s="564">
        <v>40015</v>
      </c>
      <c r="I4489" s="563">
        <v>337.35</v>
      </c>
      <c r="J4489" s="563">
        <v>-337.35</v>
      </c>
      <c r="K4489" s="582">
        <f t="shared" si="207"/>
        <v>0</v>
      </c>
      <c r="L4489" s="563">
        <f t="shared" si="208"/>
        <v>0</v>
      </c>
      <c r="M4489" s="563">
        <f t="shared" si="209"/>
        <v>371.08500000000004</v>
      </c>
      <c r="N4489" s="580"/>
    </row>
    <row r="4490" spans="4:14" x14ac:dyDescent="0.25">
      <c r="D4490" s="559" t="s">
        <v>867</v>
      </c>
      <c r="E4490" s="558" t="s">
        <v>646</v>
      </c>
      <c r="F4490" s="559">
        <v>700769</v>
      </c>
      <c r="G4490" s="558" t="s">
        <v>645</v>
      </c>
      <c r="H4490" s="564">
        <v>40015</v>
      </c>
      <c r="I4490" s="563">
        <v>337.35</v>
      </c>
      <c r="J4490" s="563">
        <v>-337.35</v>
      </c>
      <c r="K4490" s="582">
        <f t="shared" si="207"/>
        <v>0</v>
      </c>
      <c r="L4490" s="563">
        <f t="shared" si="208"/>
        <v>0</v>
      </c>
      <c r="M4490" s="563">
        <f t="shared" si="209"/>
        <v>371.08500000000004</v>
      </c>
      <c r="N4490" s="580"/>
    </row>
    <row r="4491" spans="4:14" x14ac:dyDescent="0.25">
      <c r="D4491" s="559" t="s">
        <v>867</v>
      </c>
      <c r="E4491" s="558" t="s">
        <v>647</v>
      </c>
      <c r="F4491" s="559">
        <v>700770</v>
      </c>
      <c r="G4491" s="558" t="s">
        <v>645</v>
      </c>
      <c r="H4491" s="564">
        <v>40015</v>
      </c>
      <c r="I4491" s="563">
        <v>337.35</v>
      </c>
      <c r="J4491" s="563">
        <v>-337.35</v>
      </c>
      <c r="K4491" s="582">
        <f t="shared" si="207"/>
        <v>0</v>
      </c>
      <c r="L4491" s="563">
        <f t="shared" si="208"/>
        <v>0</v>
      </c>
      <c r="M4491" s="563">
        <f t="shared" si="209"/>
        <v>371.08500000000004</v>
      </c>
      <c r="N4491" s="580"/>
    </row>
    <row r="4492" spans="4:14" x14ac:dyDescent="0.25">
      <c r="D4492" s="559" t="s">
        <v>867</v>
      </c>
      <c r="E4492" s="558" t="s">
        <v>648</v>
      </c>
      <c r="F4492" s="559">
        <v>700771</v>
      </c>
      <c r="G4492" s="558" t="s">
        <v>645</v>
      </c>
      <c r="H4492" s="564">
        <v>40015</v>
      </c>
      <c r="I4492" s="563">
        <v>337.35</v>
      </c>
      <c r="J4492" s="563">
        <v>-337.35</v>
      </c>
      <c r="K4492" s="582">
        <f t="shared" si="207"/>
        <v>0</v>
      </c>
      <c r="L4492" s="563">
        <f t="shared" si="208"/>
        <v>0</v>
      </c>
      <c r="M4492" s="563">
        <f t="shared" si="209"/>
        <v>371.08500000000004</v>
      </c>
      <c r="N4492" s="580"/>
    </row>
    <row r="4493" spans="4:14" x14ac:dyDescent="0.25">
      <c r="D4493" s="559" t="s">
        <v>867</v>
      </c>
      <c r="E4493" s="558" t="s">
        <v>649</v>
      </c>
      <c r="F4493" s="559">
        <v>700772</v>
      </c>
      <c r="G4493" s="558" t="s">
        <v>645</v>
      </c>
      <c r="H4493" s="564">
        <v>40015</v>
      </c>
      <c r="I4493" s="563">
        <v>493.35</v>
      </c>
      <c r="J4493" s="563">
        <v>-493.35</v>
      </c>
      <c r="K4493" s="582">
        <f t="shared" si="207"/>
        <v>0</v>
      </c>
      <c r="L4493" s="563">
        <f t="shared" si="208"/>
        <v>0</v>
      </c>
      <c r="M4493" s="563">
        <f t="shared" si="209"/>
        <v>542.68500000000006</v>
      </c>
      <c r="N4493" s="580"/>
    </row>
    <row r="4494" spans="4:14" x14ac:dyDescent="0.25">
      <c r="D4494" s="559" t="s">
        <v>867</v>
      </c>
      <c r="E4494" s="558" t="s">
        <v>650</v>
      </c>
      <c r="F4494" s="559">
        <v>700773</v>
      </c>
      <c r="G4494" s="558" t="s">
        <v>651</v>
      </c>
      <c r="H4494" s="564">
        <v>40015</v>
      </c>
      <c r="I4494" s="563">
        <v>337.35</v>
      </c>
      <c r="J4494" s="563">
        <v>-337.35</v>
      </c>
      <c r="K4494" s="582">
        <f t="shared" si="207"/>
        <v>0</v>
      </c>
      <c r="L4494" s="563">
        <f t="shared" si="208"/>
        <v>0</v>
      </c>
      <c r="M4494" s="563">
        <f t="shared" si="209"/>
        <v>371.08500000000004</v>
      </c>
      <c r="N4494" s="580"/>
    </row>
    <row r="4495" spans="4:14" x14ac:dyDescent="0.25">
      <c r="D4495" s="559" t="s">
        <v>867</v>
      </c>
      <c r="E4495" s="558" t="s">
        <v>652</v>
      </c>
      <c r="F4495" s="559">
        <v>700774</v>
      </c>
      <c r="G4495" s="558" t="s">
        <v>651</v>
      </c>
      <c r="H4495" s="564">
        <v>40015</v>
      </c>
      <c r="I4495" s="563">
        <v>337.35</v>
      </c>
      <c r="J4495" s="563">
        <v>-337.35</v>
      </c>
      <c r="K4495" s="582">
        <f t="shared" si="207"/>
        <v>0</v>
      </c>
      <c r="L4495" s="563">
        <f t="shared" si="208"/>
        <v>0</v>
      </c>
      <c r="M4495" s="563">
        <f t="shared" si="209"/>
        <v>371.08500000000004</v>
      </c>
      <c r="N4495" s="580"/>
    </row>
    <row r="4496" spans="4:14" x14ac:dyDescent="0.25">
      <c r="D4496" s="559" t="s">
        <v>867</v>
      </c>
      <c r="E4496" s="558" t="s">
        <v>653</v>
      </c>
      <c r="F4496" s="559">
        <v>700775</v>
      </c>
      <c r="G4496" s="558" t="s">
        <v>651</v>
      </c>
      <c r="H4496" s="564">
        <v>40015</v>
      </c>
      <c r="I4496" s="563">
        <v>337.35</v>
      </c>
      <c r="J4496" s="563">
        <v>-337.35</v>
      </c>
      <c r="K4496" s="582">
        <f t="shared" si="207"/>
        <v>0</v>
      </c>
      <c r="L4496" s="563">
        <f t="shared" si="208"/>
        <v>0</v>
      </c>
      <c r="M4496" s="563">
        <f t="shared" si="209"/>
        <v>371.08500000000004</v>
      </c>
      <c r="N4496" s="580"/>
    </row>
    <row r="4497" spans="4:14" x14ac:dyDescent="0.25">
      <c r="D4497" s="559" t="s">
        <v>867</v>
      </c>
      <c r="E4497" s="558" t="s">
        <v>654</v>
      </c>
      <c r="F4497" s="559">
        <v>700776</v>
      </c>
      <c r="G4497" s="558" t="s">
        <v>651</v>
      </c>
      <c r="H4497" s="564">
        <v>40015</v>
      </c>
      <c r="I4497" s="563">
        <v>337.35</v>
      </c>
      <c r="J4497" s="563">
        <v>-337.35</v>
      </c>
      <c r="K4497" s="582">
        <f t="shared" si="207"/>
        <v>0</v>
      </c>
      <c r="L4497" s="563">
        <f t="shared" si="208"/>
        <v>0</v>
      </c>
      <c r="M4497" s="563">
        <f t="shared" si="209"/>
        <v>371.08500000000004</v>
      </c>
      <c r="N4497" s="580"/>
    </row>
    <row r="4498" spans="4:14" x14ac:dyDescent="0.25">
      <c r="D4498" s="559" t="s">
        <v>867</v>
      </c>
      <c r="E4498" s="558" t="s">
        <v>655</v>
      </c>
      <c r="F4498" s="559">
        <v>700778</v>
      </c>
      <c r="G4498" s="558" t="s">
        <v>651</v>
      </c>
      <c r="H4498" s="564">
        <v>40015</v>
      </c>
      <c r="I4498" s="563">
        <v>688.35</v>
      </c>
      <c r="J4498" s="563">
        <v>-585</v>
      </c>
      <c r="K4498" s="582">
        <f t="shared" si="207"/>
        <v>103.35000000000002</v>
      </c>
      <c r="L4498" s="563">
        <f t="shared" si="208"/>
        <v>113.68500000000003</v>
      </c>
      <c r="M4498" s="563">
        <f t="shared" si="209"/>
        <v>757.18500000000006</v>
      </c>
      <c r="N4498" s="580"/>
    </row>
    <row r="4499" spans="4:14" x14ac:dyDescent="0.25">
      <c r="D4499" s="559" t="s">
        <v>867</v>
      </c>
      <c r="E4499" s="558" t="s">
        <v>656</v>
      </c>
      <c r="F4499" s="559">
        <v>700781</v>
      </c>
      <c r="G4499" s="558" t="s">
        <v>657</v>
      </c>
      <c r="H4499" s="564">
        <v>40015</v>
      </c>
      <c r="I4499" s="563">
        <v>766.35</v>
      </c>
      <c r="J4499" s="563">
        <v>-585</v>
      </c>
      <c r="K4499" s="582">
        <f t="shared" si="207"/>
        <v>181.35000000000002</v>
      </c>
      <c r="L4499" s="563">
        <f t="shared" si="208"/>
        <v>199.48500000000004</v>
      </c>
      <c r="M4499" s="563">
        <f t="shared" si="209"/>
        <v>842.98500000000013</v>
      </c>
      <c r="N4499" s="580"/>
    </row>
    <row r="4500" spans="4:14" x14ac:dyDescent="0.25">
      <c r="D4500" s="559" t="s">
        <v>867</v>
      </c>
      <c r="E4500" s="558" t="s">
        <v>658</v>
      </c>
      <c r="F4500" s="559">
        <v>700782</v>
      </c>
      <c r="G4500" s="558" t="s">
        <v>657</v>
      </c>
      <c r="H4500" s="564">
        <v>40015</v>
      </c>
      <c r="I4500" s="563">
        <v>298.35000000000002</v>
      </c>
      <c r="J4500" s="563">
        <v>-298.35000000000002</v>
      </c>
      <c r="K4500" s="582">
        <f t="shared" si="207"/>
        <v>0</v>
      </c>
      <c r="L4500" s="563">
        <f t="shared" si="208"/>
        <v>0</v>
      </c>
      <c r="M4500" s="563">
        <f t="shared" si="209"/>
        <v>328.18500000000006</v>
      </c>
      <c r="N4500" s="580"/>
    </row>
    <row r="4501" spans="4:14" x14ac:dyDescent="0.25">
      <c r="D4501" s="559" t="s">
        <v>867</v>
      </c>
      <c r="E4501" s="558" t="s">
        <v>659</v>
      </c>
      <c r="F4501" s="559">
        <v>700785</v>
      </c>
      <c r="G4501" s="558" t="s">
        <v>657</v>
      </c>
      <c r="H4501" s="564">
        <v>40015</v>
      </c>
      <c r="I4501" s="563">
        <v>337.35</v>
      </c>
      <c r="J4501" s="563">
        <v>-337.35</v>
      </c>
      <c r="K4501" s="582">
        <f t="shared" si="207"/>
        <v>0</v>
      </c>
      <c r="L4501" s="563">
        <f t="shared" si="208"/>
        <v>0</v>
      </c>
      <c r="M4501" s="563">
        <f t="shared" si="209"/>
        <v>371.08500000000004</v>
      </c>
      <c r="N4501" s="580"/>
    </row>
    <row r="4502" spans="4:14" x14ac:dyDescent="0.25">
      <c r="D4502" s="559" t="s">
        <v>867</v>
      </c>
      <c r="E4502" s="558" t="s">
        <v>660</v>
      </c>
      <c r="F4502" s="559">
        <v>700787</v>
      </c>
      <c r="G4502" s="558" t="s">
        <v>657</v>
      </c>
      <c r="H4502" s="564">
        <v>40015</v>
      </c>
      <c r="I4502" s="563">
        <v>337.35</v>
      </c>
      <c r="J4502" s="563">
        <v>-337.35</v>
      </c>
      <c r="K4502" s="582">
        <f t="shared" si="207"/>
        <v>0</v>
      </c>
      <c r="L4502" s="563">
        <f t="shared" si="208"/>
        <v>0</v>
      </c>
      <c r="M4502" s="563">
        <f t="shared" si="209"/>
        <v>371.08500000000004</v>
      </c>
      <c r="N4502" s="580"/>
    </row>
    <row r="4503" spans="4:14" x14ac:dyDescent="0.25">
      <c r="D4503" s="559" t="s">
        <v>867</v>
      </c>
      <c r="E4503" s="558" t="s">
        <v>661</v>
      </c>
      <c r="F4503" s="559">
        <v>700789</v>
      </c>
      <c r="G4503" s="558" t="s">
        <v>657</v>
      </c>
      <c r="H4503" s="564">
        <v>40015</v>
      </c>
      <c r="I4503" s="563">
        <v>688.35</v>
      </c>
      <c r="J4503" s="563">
        <v>-585</v>
      </c>
      <c r="K4503" s="582">
        <f t="shared" si="207"/>
        <v>103.35000000000002</v>
      </c>
      <c r="L4503" s="563">
        <f t="shared" si="208"/>
        <v>113.68500000000003</v>
      </c>
      <c r="M4503" s="563">
        <f t="shared" si="209"/>
        <v>757.18500000000006</v>
      </c>
      <c r="N4503" s="580"/>
    </row>
    <row r="4504" spans="4:14" x14ac:dyDescent="0.25">
      <c r="D4504" s="559" t="s">
        <v>867</v>
      </c>
      <c r="E4504" s="558" t="s">
        <v>662</v>
      </c>
      <c r="F4504" s="559">
        <v>700790</v>
      </c>
      <c r="G4504" s="558" t="s">
        <v>987</v>
      </c>
      <c r="H4504" s="564">
        <v>40015</v>
      </c>
      <c r="I4504" s="563">
        <v>259.35000000000002</v>
      </c>
      <c r="J4504" s="563">
        <v>-259.35000000000002</v>
      </c>
      <c r="K4504" s="582">
        <f t="shared" si="207"/>
        <v>0</v>
      </c>
      <c r="L4504" s="563">
        <f t="shared" si="208"/>
        <v>0</v>
      </c>
      <c r="M4504" s="563">
        <f t="shared" si="209"/>
        <v>285.28500000000003</v>
      </c>
      <c r="N4504" s="580"/>
    </row>
    <row r="4505" spans="4:14" x14ac:dyDescent="0.25">
      <c r="D4505" s="559" t="s">
        <v>867</v>
      </c>
      <c r="E4505" s="558" t="s">
        <v>663</v>
      </c>
      <c r="F4505" s="559">
        <v>700792</v>
      </c>
      <c r="G4505" s="558" t="s">
        <v>987</v>
      </c>
      <c r="H4505" s="564">
        <v>40015</v>
      </c>
      <c r="I4505" s="563">
        <v>298.35000000000002</v>
      </c>
      <c r="J4505" s="563">
        <v>-298.35000000000002</v>
      </c>
      <c r="K4505" s="582">
        <f t="shared" si="207"/>
        <v>0</v>
      </c>
      <c r="L4505" s="563">
        <f t="shared" si="208"/>
        <v>0</v>
      </c>
      <c r="M4505" s="563">
        <f t="shared" si="209"/>
        <v>328.18500000000006</v>
      </c>
      <c r="N4505" s="580"/>
    </row>
    <row r="4506" spans="4:14" x14ac:dyDescent="0.25">
      <c r="D4506" s="559" t="s">
        <v>867</v>
      </c>
      <c r="E4506" s="558" t="s">
        <v>664</v>
      </c>
      <c r="F4506" s="559">
        <v>700793</v>
      </c>
      <c r="G4506" s="558" t="s">
        <v>987</v>
      </c>
      <c r="H4506" s="564">
        <v>40015</v>
      </c>
      <c r="I4506" s="563">
        <v>64.349999999999994</v>
      </c>
      <c r="J4506" s="563">
        <v>-64.349999999999994</v>
      </c>
      <c r="K4506" s="582">
        <f t="shared" si="207"/>
        <v>0</v>
      </c>
      <c r="L4506" s="563">
        <f t="shared" si="208"/>
        <v>0</v>
      </c>
      <c r="M4506" s="563">
        <f t="shared" si="209"/>
        <v>70.784999999999997</v>
      </c>
      <c r="N4506" s="580"/>
    </row>
    <row r="4507" spans="4:14" x14ac:dyDescent="0.25">
      <c r="D4507" s="559" t="s">
        <v>867</v>
      </c>
      <c r="E4507" s="558" t="s">
        <v>665</v>
      </c>
      <c r="F4507" s="559">
        <v>700797</v>
      </c>
      <c r="G4507" s="558" t="s">
        <v>987</v>
      </c>
      <c r="H4507" s="564">
        <v>40015</v>
      </c>
      <c r="I4507" s="563">
        <v>64.349999999999994</v>
      </c>
      <c r="J4507" s="563">
        <v>-64.349999999999994</v>
      </c>
      <c r="K4507" s="582">
        <f t="shared" si="207"/>
        <v>0</v>
      </c>
      <c r="L4507" s="563">
        <f t="shared" si="208"/>
        <v>0</v>
      </c>
      <c r="M4507" s="563">
        <f t="shared" si="209"/>
        <v>70.784999999999997</v>
      </c>
      <c r="N4507" s="580"/>
    </row>
    <row r="4508" spans="4:14" x14ac:dyDescent="0.25">
      <c r="D4508" s="559" t="s">
        <v>867</v>
      </c>
      <c r="E4508" s="558" t="s">
        <v>666</v>
      </c>
      <c r="F4508" s="559">
        <v>700799</v>
      </c>
      <c r="G4508" s="558" t="s">
        <v>987</v>
      </c>
      <c r="H4508" s="564">
        <v>40015</v>
      </c>
      <c r="I4508" s="563">
        <v>298.35000000000002</v>
      </c>
      <c r="J4508" s="563">
        <v>-298.35000000000002</v>
      </c>
      <c r="K4508" s="582">
        <f t="shared" si="207"/>
        <v>0</v>
      </c>
      <c r="L4508" s="563">
        <f t="shared" si="208"/>
        <v>0</v>
      </c>
      <c r="M4508" s="563">
        <f t="shared" si="209"/>
        <v>328.18500000000006</v>
      </c>
      <c r="N4508" s="580"/>
    </row>
    <row r="4509" spans="4:14" x14ac:dyDescent="0.25">
      <c r="D4509" s="559" t="s">
        <v>867</v>
      </c>
      <c r="E4509" s="558" t="s">
        <v>667</v>
      </c>
      <c r="F4509" s="559">
        <v>700803</v>
      </c>
      <c r="G4509" s="558" t="s">
        <v>668</v>
      </c>
      <c r="H4509" s="564">
        <v>40015</v>
      </c>
      <c r="I4509" s="563">
        <v>376.35</v>
      </c>
      <c r="J4509" s="563">
        <v>-376.35</v>
      </c>
      <c r="K4509" s="582">
        <f t="shared" si="207"/>
        <v>0</v>
      </c>
      <c r="L4509" s="563">
        <f t="shared" si="208"/>
        <v>0</v>
      </c>
      <c r="M4509" s="563">
        <f t="shared" si="209"/>
        <v>413.98500000000007</v>
      </c>
      <c r="N4509" s="580"/>
    </row>
    <row r="4510" spans="4:14" x14ac:dyDescent="0.25">
      <c r="D4510" s="559" t="s">
        <v>867</v>
      </c>
      <c r="E4510" s="558" t="s">
        <v>669</v>
      </c>
      <c r="F4510" s="559">
        <v>700804</v>
      </c>
      <c r="G4510" s="558" t="s">
        <v>668</v>
      </c>
      <c r="H4510" s="564">
        <v>40015</v>
      </c>
      <c r="I4510" s="563">
        <v>727.35</v>
      </c>
      <c r="J4510" s="563">
        <v>-585</v>
      </c>
      <c r="K4510" s="582">
        <f t="shared" si="207"/>
        <v>142.35000000000002</v>
      </c>
      <c r="L4510" s="563">
        <f t="shared" si="208"/>
        <v>156.58500000000004</v>
      </c>
      <c r="M4510" s="563">
        <f t="shared" si="209"/>
        <v>800.08500000000004</v>
      </c>
      <c r="N4510" s="580"/>
    </row>
    <row r="4511" spans="4:14" x14ac:dyDescent="0.25">
      <c r="D4511" s="559" t="s">
        <v>867</v>
      </c>
      <c r="E4511" s="558" t="s">
        <v>670</v>
      </c>
      <c r="F4511" s="559">
        <v>700805</v>
      </c>
      <c r="G4511" s="558" t="s">
        <v>668</v>
      </c>
      <c r="H4511" s="564">
        <v>40015</v>
      </c>
      <c r="I4511" s="563">
        <v>766.35</v>
      </c>
      <c r="J4511" s="563">
        <v>-585</v>
      </c>
      <c r="K4511" s="582">
        <f t="shared" si="207"/>
        <v>181.35000000000002</v>
      </c>
      <c r="L4511" s="563">
        <f t="shared" si="208"/>
        <v>199.48500000000004</v>
      </c>
      <c r="M4511" s="563">
        <f t="shared" si="209"/>
        <v>842.98500000000013</v>
      </c>
      <c r="N4511" s="580"/>
    </row>
    <row r="4512" spans="4:14" x14ac:dyDescent="0.25">
      <c r="D4512" s="559" t="s">
        <v>867</v>
      </c>
      <c r="E4512" s="558" t="s">
        <v>671</v>
      </c>
      <c r="F4512" s="559">
        <v>700806</v>
      </c>
      <c r="G4512" s="558" t="s">
        <v>668</v>
      </c>
      <c r="H4512" s="564">
        <v>40015</v>
      </c>
      <c r="I4512" s="563">
        <v>181.35</v>
      </c>
      <c r="J4512" s="563">
        <v>-181.35</v>
      </c>
      <c r="K4512" s="582">
        <f t="shared" si="207"/>
        <v>0</v>
      </c>
      <c r="L4512" s="563">
        <f t="shared" si="208"/>
        <v>0</v>
      </c>
      <c r="M4512" s="563">
        <f t="shared" si="209"/>
        <v>199.48500000000001</v>
      </c>
      <c r="N4512" s="580"/>
    </row>
    <row r="4513" spans="4:14" x14ac:dyDescent="0.25">
      <c r="D4513" s="559" t="s">
        <v>867</v>
      </c>
      <c r="E4513" s="558" t="s">
        <v>672</v>
      </c>
      <c r="F4513" s="559">
        <v>700808</v>
      </c>
      <c r="G4513" s="558" t="s">
        <v>668</v>
      </c>
      <c r="H4513" s="564">
        <v>40015</v>
      </c>
      <c r="I4513" s="563">
        <v>181.35</v>
      </c>
      <c r="J4513" s="563">
        <v>-181.35</v>
      </c>
      <c r="K4513" s="582">
        <f t="shared" si="207"/>
        <v>0</v>
      </c>
      <c r="L4513" s="563">
        <f t="shared" si="208"/>
        <v>0</v>
      </c>
      <c r="M4513" s="563">
        <f t="shared" si="209"/>
        <v>199.48500000000001</v>
      </c>
      <c r="N4513" s="580"/>
    </row>
    <row r="4514" spans="4:14" x14ac:dyDescent="0.25">
      <c r="D4514" s="559" t="s">
        <v>867</v>
      </c>
      <c r="E4514" s="558" t="s">
        <v>673</v>
      </c>
      <c r="F4514" s="559">
        <v>701380</v>
      </c>
      <c r="G4514" s="558" t="s">
        <v>674</v>
      </c>
      <c r="H4514" s="564">
        <v>40015</v>
      </c>
      <c r="I4514" s="563">
        <v>376.35</v>
      </c>
      <c r="J4514" s="563">
        <v>-376.35</v>
      </c>
      <c r="K4514" s="582">
        <f t="shared" si="207"/>
        <v>0</v>
      </c>
      <c r="L4514" s="563">
        <f t="shared" si="208"/>
        <v>0</v>
      </c>
      <c r="M4514" s="563">
        <f t="shared" si="209"/>
        <v>413.98500000000007</v>
      </c>
      <c r="N4514" s="580"/>
    </row>
    <row r="4515" spans="4:14" x14ac:dyDescent="0.25">
      <c r="D4515" s="559" t="s">
        <v>867</v>
      </c>
      <c r="E4515" s="558" t="s">
        <v>675</v>
      </c>
      <c r="F4515" s="559">
        <v>700810</v>
      </c>
      <c r="G4515" s="558" t="s">
        <v>674</v>
      </c>
      <c r="H4515" s="564">
        <v>40015</v>
      </c>
      <c r="I4515" s="563">
        <v>220.35</v>
      </c>
      <c r="J4515" s="563">
        <v>-220.35</v>
      </c>
      <c r="K4515" s="582">
        <f t="shared" si="207"/>
        <v>0</v>
      </c>
      <c r="L4515" s="563">
        <f t="shared" si="208"/>
        <v>0</v>
      </c>
      <c r="M4515" s="563">
        <f t="shared" si="209"/>
        <v>242.38500000000002</v>
      </c>
      <c r="N4515" s="580"/>
    </row>
    <row r="4516" spans="4:14" x14ac:dyDescent="0.25">
      <c r="D4516" s="559" t="s">
        <v>867</v>
      </c>
      <c r="E4516" s="558" t="s">
        <v>676</v>
      </c>
      <c r="F4516" s="559">
        <v>700812</v>
      </c>
      <c r="G4516" s="558" t="s">
        <v>674</v>
      </c>
      <c r="H4516" s="564">
        <v>40015</v>
      </c>
      <c r="I4516" s="563">
        <v>64.349999999999994</v>
      </c>
      <c r="J4516" s="563">
        <v>-64.349999999999994</v>
      </c>
      <c r="K4516" s="582">
        <f t="shared" si="207"/>
        <v>0</v>
      </c>
      <c r="L4516" s="563">
        <f t="shared" si="208"/>
        <v>0</v>
      </c>
      <c r="M4516" s="563">
        <f t="shared" si="209"/>
        <v>70.784999999999997</v>
      </c>
      <c r="N4516" s="580"/>
    </row>
    <row r="4517" spans="4:14" x14ac:dyDescent="0.25">
      <c r="D4517" s="559" t="s">
        <v>867</v>
      </c>
      <c r="E4517" s="558" t="s">
        <v>677</v>
      </c>
      <c r="F4517" s="559">
        <v>700816</v>
      </c>
      <c r="G4517" s="558" t="s">
        <v>674</v>
      </c>
      <c r="H4517" s="564">
        <v>40015</v>
      </c>
      <c r="I4517" s="563">
        <v>688.35</v>
      </c>
      <c r="J4517" s="563">
        <v>-585</v>
      </c>
      <c r="K4517" s="582">
        <f t="shared" si="207"/>
        <v>103.35000000000002</v>
      </c>
      <c r="L4517" s="563">
        <f t="shared" si="208"/>
        <v>113.68500000000003</v>
      </c>
      <c r="M4517" s="563">
        <f t="shared" si="209"/>
        <v>757.18500000000006</v>
      </c>
      <c r="N4517" s="580"/>
    </row>
    <row r="4518" spans="4:14" x14ac:dyDescent="0.25">
      <c r="D4518" s="559" t="s">
        <v>867</v>
      </c>
      <c r="E4518" s="558" t="s">
        <v>678</v>
      </c>
      <c r="F4518" s="559">
        <v>700817</v>
      </c>
      <c r="G4518" s="558" t="s">
        <v>674</v>
      </c>
      <c r="H4518" s="564">
        <v>40015</v>
      </c>
      <c r="I4518" s="563">
        <v>1507.35</v>
      </c>
      <c r="J4518" s="563">
        <v>-585</v>
      </c>
      <c r="K4518" s="582">
        <f t="shared" si="207"/>
        <v>922.34999999999991</v>
      </c>
      <c r="L4518" s="563">
        <f t="shared" si="208"/>
        <v>1014.585</v>
      </c>
      <c r="M4518" s="563">
        <f t="shared" si="209"/>
        <v>1658.085</v>
      </c>
      <c r="N4518" s="580"/>
    </row>
    <row r="4519" spans="4:14" x14ac:dyDescent="0.25">
      <c r="D4519" s="559" t="s">
        <v>867</v>
      </c>
      <c r="E4519" s="558" t="s">
        <v>679</v>
      </c>
      <c r="F4519" s="559">
        <v>700818</v>
      </c>
      <c r="G4519" s="558" t="s">
        <v>680</v>
      </c>
      <c r="H4519" s="564">
        <v>40015</v>
      </c>
      <c r="I4519" s="563">
        <v>298.35000000000002</v>
      </c>
      <c r="J4519" s="563">
        <v>-298.35000000000002</v>
      </c>
      <c r="K4519" s="582">
        <f t="shared" si="207"/>
        <v>0</v>
      </c>
      <c r="L4519" s="563">
        <f t="shared" si="208"/>
        <v>0</v>
      </c>
      <c r="M4519" s="563">
        <f t="shared" si="209"/>
        <v>328.18500000000006</v>
      </c>
      <c r="N4519" s="580"/>
    </row>
    <row r="4520" spans="4:14" x14ac:dyDescent="0.25">
      <c r="D4520" s="559" t="s">
        <v>867</v>
      </c>
      <c r="E4520" s="558" t="s">
        <v>681</v>
      </c>
      <c r="F4520" s="559">
        <v>700821</v>
      </c>
      <c r="G4520" s="558" t="s">
        <v>680</v>
      </c>
      <c r="H4520" s="564">
        <v>40015</v>
      </c>
      <c r="I4520" s="563">
        <v>454.35</v>
      </c>
      <c r="J4520" s="563">
        <v>-454.35</v>
      </c>
      <c r="K4520" s="582">
        <f t="shared" si="207"/>
        <v>0</v>
      </c>
      <c r="L4520" s="563">
        <f t="shared" si="208"/>
        <v>0</v>
      </c>
      <c r="M4520" s="563">
        <f t="shared" si="209"/>
        <v>499.78500000000008</v>
      </c>
      <c r="N4520" s="580"/>
    </row>
    <row r="4521" spans="4:14" x14ac:dyDescent="0.25">
      <c r="D4521" s="559" t="s">
        <v>867</v>
      </c>
      <c r="E4521" s="558" t="s">
        <v>682</v>
      </c>
      <c r="F4521" s="559">
        <v>700824</v>
      </c>
      <c r="G4521" s="558" t="s">
        <v>680</v>
      </c>
      <c r="H4521" s="564">
        <v>40015</v>
      </c>
      <c r="I4521" s="563">
        <v>922.35</v>
      </c>
      <c r="J4521" s="563">
        <v>-585</v>
      </c>
      <c r="K4521" s="582">
        <f t="shared" ref="K4521:K4584" si="210">+I4521+J4521</f>
        <v>337.35</v>
      </c>
      <c r="L4521" s="563">
        <f t="shared" ref="L4521:L4584" si="211">+K4521*1.1</f>
        <v>371.08500000000004</v>
      </c>
      <c r="M4521" s="563">
        <f t="shared" ref="M4521:M4584" si="212">+I4521*1.1</f>
        <v>1014.5850000000002</v>
      </c>
      <c r="N4521" s="580"/>
    </row>
    <row r="4522" spans="4:14" x14ac:dyDescent="0.25">
      <c r="D4522" s="559" t="s">
        <v>867</v>
      </c>
      <c r="E4522" s="558" t="s">
        <v>683</v>
      </c>
      <c r="F4522" s="559">
        <v>700826</v>
      </c>
      <c r="G4522" s="558" t="s">
        <v>680</v>
      </c>
      <c r="H4522" s="564">
        <v>40015</v>
      </c>
      <c r="I4522" s="563">
        <v>142.35</v>
      </c>
      <c r="J4522" s="563">
        <v>-142.35</v>
      </c>
      <c r="K4522" s="582">
        <f t="shared" si="210"/>
        <v>0</v>
      </c>
      <c r="L4522" s="563">
        <f t="shared" si="211"/>
        <v>0</v>
      </c>
      <c r="M4522" s="563">
        <f t="shared" si="212"/>
        <v>156.58500000000001</v>
      </c>
      <c r="N4522" s="580"/>
    </row>
    <row r="4523" spans="4:14" x14ac:dyDescent="0.25">
      <c r="D4523" s="559" t="s">
        <v>867</v>
      </c>
      <c r="E4523" s="558" t="s">
        <v>684</v>
      </c>
      <c r="F4523" s="559">
        <v>700831</v>
      </c>
      <c r="G4523" s="558" t="s">
        <v>680</v>
      </c>
      <c r="H4523" s="564">
        <v>40015</v>
      </c>
      <c r="I4523" s="563">
        <v>142.35</v>
      </c>
      <c r="J4523" s="563">
        <v>-142.35</v>
      </c>
      <c r="K4523" s="582">
        <f t="shared" si="210"/>
        <v>0</v>
      </c>
      <c r="L4523" s="563">
        <f t="shared" si="211"/>
        <v>0</v>
      </c>
      <c r="M4523" s="563">
        <f t="shared" si="212"/>
        <v>156.58500000000001</v>
      </c>
      <c r="N4523" s="580"/>
    </row>
    <row r="4524" spans="4:14" x14ac:dyDescent="0.25">
      <c r="D4524" s="559" t="s">
        <v>867</v>
      </c>
      <c r="E4524" s="558" t="s">
        <v>685</v>
      </c>
      <c r="F4524" s="559">
        <v>700839</v>
      </c>
      <c r="G4524" s="558" t="s">
        <v>989</v>
      </c>
      <c r="H4524" s="564">
        <v>40015</v>
      </c>
      <c r="I4524" s="563">
        <v>298.35000000000002</v>
      </c>
      <c r="J4524" s="563">
        <v>-298.35000000000002</v>
      </c>
      <c r="K4524" s="582">
        <f t="shared" si="210"/>
        <v>0</v>
      </c>
      <c r="L4524" s="563">
        <f t="shared" si="211"/>
        <v>0</v>
      </c>
      <c r="M4524" s="563">
        <f t="shared" si="212"/>
        <v>328.18500000000006</v>
      </c>
      <c r="N4524" s="580"/>
    </row>
    <row r="4525" spans="4:14" x14ac:dyDescent="0.25">
      <c r="D4525" s="559" t="s">
        <v>867</v>
      </c>
      <c r="E4525" s="558" t="s">
        <v>686</v>
      </c>
      <c r="F4525" s="559">
        <v>700840</v>
      </c>
      <c r="G4525" s="558" t="s">
        <v>989</v>
      </c>
      <c r="H4525" s="564">
        <v>40015</v>
      </c>
      <c r="I4525" s="563">
        <v>688.35</v>
      </c>
      <c r="J4525" s="563">
        <v>-585</v>
      </c>
      <c r="K4525" s="582">
        <f t="shared" si="210"/>
        <v>103.35000000000002</v>
      </c>
      <c r="L4525" s="563">
        <f t="shared" si="211"/>
        <v>113.68500000000003</v>
      </c>
      <c r="M4525" s="563">
        <f t="shared" si="212"/>
        <v>757.18500000000006</v>
      </c>
      <c r="N4525" s="580"/>
    </row>
    <row r="4526" spans="4:14" x14ac:dyDescent="0.25">
      <c r="D4526" s="559" t="s">
        <v>867</v>
      </c>
      <c r="E4526" s="558" t="s">
        <v>687</v>
      </c>
      <c r="F4526" s="559">
        <v>701066</v>
      </c>
      <c r="G4526" s="558" t="s">
        <v>989</v>
      </c>
      <c r="H4526" s="564">
        <v>40015</v>
      </c>
      <c r="I4526" s="563">
        <v>25.35</v>
      </c>
      <c r="J4526" s="563">
        <v>-25.35</v>
      </c>
      <c r="K4526" s="582">
        <f t="shared" si="210"/>
        <v>0</v>
      </c>
      <c r="L4526" s="563">
        <f t="shared" si="211"/>
        <v>0</v>
      </c>
      <c r="M4526" s="563">
        <f t="shared" si="212"/>
        <v>27.885000000000005</v>
      </c>
      <c r="N4526" s="580"/>
    </row>
    <row r="4527" spans="4:14" x14ac:dyDescent="0.25">
      <c r="D4527" s="559" t="s">
        <v>867</v>
      </c>
      <c r="E4527" s="558" t="s">
        <v>688</v>
      </c>
      <c r="F4527" s="559">
        <v>700845</v>
      </c>
      <c r="G4527" s="558" t="s">
        <v>989</v>
      </c>
      <c r="H4527" s="564">
        <v>40015</v>
      </c>
      <c r="I4527" s="563">
        <v>766.35</v>
      </c>
      <c r="J4527" s="563">
        <v>-585</v>
      </c>
      <c r="K4527" s="582">
        <f t="shared" si="210"/>
        <v>181.35000000000002</v>
      </c>
      <c r="L4527" s="563">
        <f t="shared" si="211"/>
        <v>199.48500000000004</v>
      </c>
      <c r="M4527" s="563">
        <f t="shared" si="212"/>
        <v>842.98500000000013</v>
      </c>
      <c r="N4527" s="580"/>
    </row>
    <row r="4528" spans="4:14" x14ac:dyDescent="0.25">
      <c r="D4528" s="559" t="s">
        <v>867</v>
      </c>
      <c r="E4528" s="558" t="s">
        <v>689</v>
      </c>
      <c r="F4528" s="559">
        <v>700847</v>
      </c>
      <c r="G4528" s="558" t="s">
        <v>991</v>
      </c>
      <c r="H4528" s="564">
        <v>40015</v>
      </c>
      <c r="I4528" s="563">
        <v>688.35</v>
      </c>
      <c r="J4528" s="563">
        <v>-585</v>
      </c>
      <c r="K4528" s="582">
        <f t="shared" si="210"/>
        <v>103.35000000000002</v>
      </c>
      <c r="L4528" s="563">
        <f t="shared" si="211"/>
        <v>113.68500000000003</v>
      </c>
      <c r="M4528" s="563">
        <f t="shared" si="212"/>
        <v>757.18500000000006</v>
      </c>
      <c r="N4528" s="580"/>
    </row>
    <row r="4529" spans="4:14" x14ac:dyDescent="0.25">
      <c r="D4529" s="559" t="s">
        <v>867</v>
      </c>
      <c r="E4529" s="558" t="s">
        <v>690</v>
      </c>
      <c r="F4529" s="559">
        <v>700848</v>
      </c>
      <c r="G4529" s="558" t="s">
        <v>991</v>
      </c>
      <c r="H4529" s="564">
        <v>40015</v>
      </c>
      <c r="I4529" s="563">
        <v>688.35</v>
      </c>
      <c r="J4529" s="563">
        <v>-585</v>
      </c>
      <c r="K4529" s="582">
        <f t="shared" si="210"/>
        <v>103.35000000000002</v>
      </c>
      <c r="L4529" s="563">
        <f t="shared" si="211"/>
        <v>113.68500000000003</v>
      </c>
      <c r="M4529" s="563">
        <f t="shared" si="212"/>
        <v>757.18500000000006</v>
      </c>
      <c r="N4529" s="580"/>
    </row>
    <row r="4530" spans="4:14" x14ac:dyDescent="0.25">
      <c r="D4530" s="559" t="s">
        <v>867</v>
      </c>
      <c r="E4530" s="558" t="s">
        <v>691</v>
      </c>
      <c r="F4530" s="559">
        <v>700850</v>
      </c>
      <c r="G4530" s="558" t="s">
        <v>991</v>
      </c>
      <c r="H4530" s="564">
        <v>40015</v>
      </c>
      <c r="I4530" s="563">
        <v>298.35000000000002</v>
      </c>
      <c r="J4530" s="563">
        <v>-298.35000000000002</v>
      </c>
      <c r="K4530" s="582">
        <f t="shared" si="210"/>
        <v>0</v>
      </c>
      <c r="L4530" s="563">
        <f t="shared" si="211"/>
        <v>0</v>
      </c>
      <c r="M4530" s="563">
        <f t="shared" si="212"/>
        <v>328.18500000000006</v>
      </c>
      <c r="N4530" s="580"/>
    </row>
    <row r="4531" spans="4:14" x14ac:dyDescent="0.25">
      <c r="D4531" s="559" t="s">
        <v>867</v>
      </c>
      <c r="E4531" s="558" t="s">
        <v>692</v>
      </c>
      <c r="F4531" s="559">
        <v>700851</v>
      </c>
      <c r="G4531" s="558" t="s">
        <v>991</v>
      </c>
      <c r="H4531" s="564">
        <v>40015</v>
      </c>
      <c r="I4531" s="563">
        <v>64.349999999999994</v>
      </c>
      <c r="J4531" s="563">
        <v>-64.349999999999994</v>
      </c>
      <c r="K4531" s="582">
        <f t="shared" si="210"/>
        <v>0</v>
      </c>
      <c r="L4531" s="563">
        <f t="shared" si="211"/>
        <v>0</v>
      </c>
      <c r="M4531" s="563">
        <f t="shared" si="212"/>
        <v>70.784999999999997</v>
      </c>
      <c r="N4531" s="580"/>
    </row>
    <row r="4532" spans="4:14" x14ac:dyDescent="0.25">
      <c r="D4532" s="559" t="s">
        <v>867</v>
      </c>
      <c r="E4532" s="558" t="s">
        <v>693</v>
      </c>
      <c r="F4532" s="559">
        <v>700856</v>
      </c>
      <c r="G4532" s="558" t="s">
        <v>991</v>
      </c>
      <c r="H4532" s="564">
        <v>40015</v>
      </c>
      <c r="I4532" s="563">
        <v>688.35</v>
      </c>
      <c r="J4532" s="563">
        <v>-585</v>
      </c>
      <c r="K4532" s="582">
        <f t="shared" si="210"/>
        <v>103.35000000000002</v>
      </c>
      <c r="L4532" s="563">
        <f t="shared" si="211"/>
        <v>113.68500000000003</v>
      </c>
      <c r="M4532" s="563">
        <f t="shared" si="212"/>
        <v>757.18500000000006</v>
      </c>
      <c r="N4532" s="580"/>
    </row>
    <row r="4533" spans="4:14" x14ac:dyDescent="0.25">
      <c r="D4533" s="559" t="s">
        <v>867</v>
      </c>
      <c r="E4533" s="558" t="s">
        <v>694</v>
      </c>
      <c r="F4533" s="559">
        <v>700857</v>
      </c>
      <c r="G4533" s="558" t="s">
        <v>695</v>
      </c>
      <c r="H4533" s="564">
        <v>40015</v>
      </c>
      <c r="I4533" s="563">
        <v>688.35</v>
      </c>
      <c r="J4533" s="563">
        <v>-585</v>
      </c>
      <c r="K4533" s="582">
        <f t="shared" si="210"/>
        <v>103.35000000000002</v>
      </c>
      <c r="L4533" s="563">
        <f t="shared" si="211"/>
        <v>113.68500000000003</v>
      </c>
      <c r="M4533" s="563">
        <f t="shared" si="212"/>
        <v>757.18500000000006</v>
      </c>
      <c r="N4533" s="580"/>
    </row>
    <row r="4534" spans="4:14" x14ac:dyDescent="0.25">
      <c r="D4534" s="559" t="s">
        <v>867</v>
      </c>
      <c r="E4534" s="558" t="s">
        <v>696</v>
      </c>
      <c r="F4534" s="559">
        <v>700859</v>
      </c>
      <c r="G4534" s="558" t="s">
        <v>695</v>
      </c>
      <c r="H4534" s="564">
        <v>40015</v>
      </c>
      <c r="I4534" s="563">
        <v>688.35</v>
      </c>
      <c r="J4534" s="563">
        <v>-585</v>
      </c>
      <c r="K4534" s="582">
        <f t="shared" si="210"/>
        <v>103.35000000000002</v>
      </c>
      <c r="L4534" s="563">
        <f t="shared" si="211"/>
        <v>113.68500000000003</v>
      </c>
      <c r="M4534" s="563">
        <f t="shared" si="212"/>
        <v>757.18500000000006</v>
      </c>
      <c r="N4534" s="580"/>
    </row>
    <row r="4535" spans="4:14" x14ac:dyDescent="0.25">
      <c r="D4535" s="559" t="s">
        <v>867</v>
      </c>
      <c r="E4535" s="558" t="s">
        <v>697</v>
      </c>
      <c r="F4535" s="559">
        <v>700860</v>
      </c>
      <c r="G4535" s="558" t="s">
        <v>695</v>
      </c>
      <c r="H4535" s="564">
        <v>40015</v>
      </c>
      <c r="I4535" s="563">
        <v>688.35</v>
      </c>
      <c r="J4535" s="563">
        <v>-585</v>
      </c>
      <c r="K4535" s="582">
        <f t="shared" si="210"/>
        <v>103.35000000000002</v>
      </c>
      <c r="L4535" s="563">
        <f t="shared" si="211"/>
        <v>113.68500000000003</v>
      </c>
      <c r="M4535" s="563">
        <f t="shared" si="212"/>
        <v>757.18500000000006</v>
      </c>
      <c r="N4535" s="580"/>
    </row>
    <row r="4536" spans="4:14" x14ac:dyDescent="0.25">
      <c r="D4536" s="559" t="s">
        <v>867</v>
      </c>
      <c r="E4536" s="558" t="s">
        <v>698</v>
      </c>
      <c r="F4536" s="559">
        <v>700862</v>
      </c>
      <c r="G4536" s="558" t="s">
        <v>695</v>
      </c>
      <c r="H4536" s="564">
        <v>40015</v>
      </c>
      <c r="I4536" s="563">
        <v>688.35</v>
      </c>
      <c r="J4536" s="563">
        <v>-585</v>
      </c>
      <c r="K4536" s="582">
        <f t="shared" si="210"/>
        <v>103.35000000000002</v>
      </c>
      <c r="L4536" s="563">
        <f t="shared" si="211"/>
        <v>113.68500000000003</v>
      </c>
      <c r="M4536" s="563">
        <f t="shared" si="212"/>
        <v>757.18500000000006</v>
      </c>
      <c r="N4536" s="580"/>
    </row>
    <row r="4537" spans="4:14" x14ac:dyDescent="0.25">
      <c r="D4537" s="559" t="s">
        <v>867</v>
      </c>
      <c r="E4537" s="558" t="s">
        <v>699</v>
      </c>
      <c r="F4537" s="559">
        <v>700863</v>
      </c>
      <c r="G4537" s="558" t="s">
        <v>695</v>
      </c>
      <c r="H4537" s="564">
        <v>40015</v>
      </c>
      <c r="I4537" s="563">
        <v>688.35</v>
      </c>
      <c r="J4537" s="563">
        <v>-585</v>
      </c>
      <c r="K4537" s="582">
        <f t="shared" si="210"/>
        <v>103.35000000000002</v>
      </c>
      <c r="L4537" s="563">
        <f t="shared" si="211"/>
        <v>113.68500000000003</v>
      </c>
      <c r="M4537" s="563">
        <f t="shared" si="212"/>
        <v>757.18500000000006</v>
      </c>
      <c r="N4537" s="580"/>
    </row>
    <row r="4538" spans="4:14" x14ac:dyDescent="0.25">
      <c r="D4538" s="559" t="s">
        <v>867</v>
      </c>
      <c r="E4538" s="558" t="s">
        <v>700</v>
      </c>
      <c r="F4538" s="559">
        <v>700864</v>
      </c>
      <c r="G4538" s="558" t="s">
        <v>701</v>
      </c>
      <c r="H4538" s="564">
        <v>40015</v>
      </c>
      <c r="I4538" s="563">
        <v>493.35</v>
      </c>
      <c r="J4538" s="563">
        <v>-493.35</v>
      </c>
      <c r="K4538" s="582">
        <f t="shared" si="210"/>
        <v>0</v>
      </c>
      <c r="L4538" s="563">
        <f t="shared" si="211"/>
        <v>0</v>
      </c>
      <c r="M4538" s="563">
        <f t="shared" si="212"/>
        <v>542.68500000000006</v>
      </c>
      <c r="N4538" s="580"/>
    </row>
    <row r="4539" spans="4:14" x14ac:dyDescent="0.25">
      <c r="D4539" s="559" t="s">
        <v>867</v>
      </c>
      <c r="E4539" s="558" t="s">
        <v>702</v>
      </c>
      <c r="F4539" s="559">
        <v>700865</v>
      </c>
      <c r="G4539" s="558" t="s">
        <v>701</v>
      </c>
      <c r="H4539" s="564">
        <v>40015</v>
      </c>
      <c r="I4539" s="563">
        <v>688.35</v>
      </c>
      <c r="J4539" s="563">
        <v>-585</v>
      </c>
      <c r="K4539" s="582">
        <f t="shared" si="210"/>
        <v>103.35000000000002</v>
      </c>
      <c r="L4539" s="563">
        <f t="shared" si="211"/>
        <v>113.68500000000003</v>
      </c>
      <c r="M4539" s="563">
        <f t="shared" si="212"/>
        <v>757.18500000000006</v>
      </c>
      <c r="N4539" s="580"/>
    </row>
    <row r="4540" spans="4:14" x14ac:dyDescent="0.25">
      <c r="D4540" s="559" t="s">
        <v>867</v>
      </c>
      <c r="E4540" s="558" t="s">
        <v>703</v>
      </c>
      <c r="F4540" s="559">
        <v>700866</v>
      </c>
      <c r="G4540" s="558" t="s">
        <v>701</v>
      </c>
      <c r="H4540" s="564">
        <v>40015</v>
      </c>
      <c r="I4540" s="563">
        <v>688.35</v>
      </c>
      <c r="J4540" s="563">
        <v>-585</v>
      </c>
      <c r="K4540" s="582">
        <f t="shared" si="210"/>
        <v>103.35000000000002</v>
      </c>
      <c r="L4540" s="563">
        <f t="shared" si="211"/>
        <v>113.68500000000003</v>
      </c>
      <c r="M4540" s="563">
        <f t="shared" si="212"/>
        <v>757.18500000000006</v>
      </c>
      <c r="N4540" s="580"/>
    </row>
    <row r="4541" spans="4:14" x14ac:dyDescent="0.25">
      <c r="D4541" s="559" t="s">
        <v>867</v>
      </c>
      <c r="E4541" s="558" t="s">
        <v>704</v>
      </c>
      <c r="F4541" s="559">
        <v>700868</v>
      </c>
      <c r="G4541" s="558" t="s">
        <v>701</v>
      </c>
      <c r="H4541" s="564">
        <v>40015</v>
      </c>
      <c r="I4541" s="563">
        <v>25.35</v>
      </c>
      <c r="J4541" s="563">
        <v>-25.35</v>
      </c>
      <c r="K4541" s="582">
        <f t="shared" si="210"/>
        <v>0</v>
      </c>
      <c r="L4541" s="563">
        <f t="shared" si="211"/>
        <v>0</v>
      </c>
      <c r="M4541" s="563">
        <f t="shared" si="212"/>
        <v>27.885000000000005</v>
      </c>
      <c r="N4541" s="580"/>
    </row>
    <row r="4542" spans="4:14" x14ac:dyDescent="0.25">
      <c r="D4542" s="559" t="s">
        <v>867</v>
      </c>
      <c r="E4542" s="558" t="s">
        <v>705</v>
      </c>
      <c r="F4542" s="559">
        <v>700869</v>
      </c>
      <c r="G4542" s="558" t="s">
        <v>701</v>
      </c>
      <c r="H4542" s="564">
        <v>40015</v>
      </c>
      <c r="I4542" s="563">
        <v>688.35</v>
      </c>
      <c r="J4542" s="563">
        <v>-585</v>
      </c>
      <c r="K4542" s="582">
        <f t="shared" si="210"/>
        <v>103.35000000000002</v>
      </c>
      <c r="L4542" s="563">
        <f t="shared" si="211"/>
        <v>113.68500000000003</v>
      </c>
      <c r="M4542" s="563">
        <f t="shared" si="212"/>
        <v>757.18500000000006</v>
      </c>
      <c r="N4542" s="580"/>
    </row>
    <row r="4543" spans="4:14" x14ac:dyDescent="0.25">
      <c r="D4543" s="559" t="s">
        <v>867</v>
      </c>
      <c r="E4543" s="558" t="s">
        <v>706</v>
      </c>
      <c r="F4543" s="559">
        <v>700870</v>
      </c>
      <c r="G4543" s="558" t="s">
        <v>499</v>
      </c>
      <c r="H4543" s="564">
        <v>40015</v>
      </c>
      <c r="I4543" s="563">
        <v>688.35</v>
      </c>
      <c r="J4543" s="563">
        <v>-585</v>
      </c>
      <c r="K4543" s="582">
        <f t="shared" si="210"/>
        <v>103.35000000000002</v>
      </c>
      <c r="L4543" s="563">
        <f t="shared" si="211"/>
        <v>113.68500000000003</v>
      </c>
      <c r="M4543" s="563">
        <f t="shared" si="212"/>
        <v>757.18500000000006</v>
      </c>
      <c r="N4543" s="580"/>
    </row>
    <row r="4544" spans="4:14" x14ac:dyDescent="0.25">
      <c r="D4544" s="559" t="s">
        <v>867</v>
      </c>
      <c r="E4544" s="558" t="s">
        <v>500</v>
      </c>
      <c r="F4544" s="559">
        <v>700871</v>
      </c>
      <c r="G4544" s="558" t="s">
        <v>499</v>
      </c>
      <c r="H4544" s="564">
        <v>40015</v>
      </c>
      <c r="I4544" s="563">
        <v>688.35</v>
      </c>
      <c r="J4544" s="563">
        <v>-585</v>
      </c>
      <c r="K4544" s="582">
        <f t="shared" si="210"/>
        <v>103.35000000000002</v>
      </c>
      <c r="L4544" s="563">
        <f t="shared" si="211"/>
        <v>113.68500000000003</v>
      </c>
      <c r="M4544" s="563">
        <f t="shared" si="212"/>
        <v>757.18500000000006</v>
      </c>
      <c r="N4544" s="580"/>
    </row>
    <row r="4545" spans="4:14" x14ac:dyDescent="0.25">
      <c r="D4545" s="559" t="s">
        <v>867</v>
      </c>
      <c r="E4545" s="558" t="s">
        <v>501</v>
      </c>
      <c r="F4545" s="559">
        <v>700872</v>
      </c>
      <c r="G4545" s="558" t="s">
        <v>499</v>
      </c>
      <c r="H4545" s="564">
        <v>40015</v>
      </c>
      <c r="I4545" s="563">
        <v>688.35</v>
      </c>
      <c r="J4545" s="563">
        <v>-585</v>
      </c>
      <c r="K4545" s="582">
        <f t="shared" si="210"/>
        <v>103.35000000000002</v>
      </c>
      <c r="L4545" s="563">
        <f t="shared" si="211"/>
        <v>113.68500000000003</v>
      </c>
      <c r="M4545" s="563">
        <f t="shared" si="212"/>
        <v>757.18500000000006</v>
      </c>
      <c r="N4545" s="580"/>
    </row>
    <row r="4546" spans="4:14" x14ac:dyDescent="0.25">
      <c r="D4546" s="559" t="s">
        <v>867</v>
      </c>
      <c r="E4546" s="558" t="s">
        <v>502</v>
      </c>
      <c r="F4546" s="559">
        <v>700873</v>
      </c>
      <c r="G4546" s="558" t="s">
        <v>499</v>
      </c>
      <c r="H4546" s="564">
        <v>40015</v>
      </c>
      <c r="I4546" s="563">
        <v>688.35</v>
      </c>
      <c r="J4546" s="563">
        <v>-585</v>
      </c>
      <c r="K4546" s="582">
        <f t="shared" si="210"/>
        <v>103.35000000000002</v>
      </c>
      <c r="L4546" s="563">
        <f t="shared" si="211"/>
        <v>113.68500000000003</v>
      </c>
      <c r="M4546" s="563">
        <f t="shared" si="212"/>
        <v>757.18500000000006</v>
      </c>
      <c r="N4546" s="580"/>
    </row>
    <row r="4547" spans="4:14" x14ac:dyDescent="0.25">
      <c r="D4547" s="559" t="s">
        <v>867</v>
      </c>
      <c r="E4547" s="558" t="s">
        <v>503</v>
      </c>
      <c r="F4547" s="559">
        <v>700874</v>
      </c>
      <c r="G4547" s="558" t="s">
        <v>499</v>
      </c>
      <c r="H4547" s="564">
        <v>40015</v>
      </c>
      <c r="I4547" s="563">
        <v>688.35</v>
      </c>
      <c r="J4547" s="563">
        <v>-585</v>
      </c>
      <c r="K4547" s="582">
        <f t="shared" si="210"/>
        <v>103.35000000000002</v>
      </c>
      <c r="L4547" s="563">
        <f t="shared" si="211"/>
        <v>113.68500000000003</v>
      </c>
      <c r="M4547" s="563">
        <f t="shared" si="212"/>
        <v>757.18500000000006</v>
      </c>
      <c r="N4547" s="580"/>
    </row>
    <row r="4548" spans="4:14" x14ac:dyDescent="0.25">
      <c r="D4548" s="559" t="s">
        <v>867</v>
      </c>
      <c r="E4548" s="558" t="s">
        <v>504</v>
      </c>
      <c r="F4548" s="559">
        <v>700875</v>
      </c>
      <c r="G4548" s="558" t="s">
        <v>505</v>
      </c>
      <c r="H4548" s="564">
        <v>40015</v>
      </c>
      <c r="I4548" s="563">
        <v>688.35</v>
      </c>
      <c r="J4548" s="563">
        <v>-585</v>
      </c>
      <c r="K4548" s="582">
        <f t="shared" si="210"/>
        <v>103.35000000000002</v>
      </c>
      <c r="L4548" s="563">
        <f t="shared" si="211"/>
        <v>113.68500000000003</v>
      </c>
      <c r="M4548" s="563">
        <f t="shared" si="212"/>
        <v>757.18500000000006</v>
      </c>
      <c r="N4548" s="580"/>
    </row>
    <row r="4549" spans="4:14" x14ac:dyDescent="0.25">
      <c r="D4549" s="559" t="s">
        <v>867</v>
      </c>
      <c r="E4549" s="558" t="s">
        <v>506</v>
      </c>
      <c r="F4549" s="559">
        <v>701674</v>
      </c>
      <c r="G4549" s="558" t="s">
        <v>505</v>
      </c>
      <c r="H4549" s="564">
        <v>40015</v>
      </c>
      <c r="I4549" s="563">
        <v>688.35</v>
      </c>
      <c r="J4549" s="563">
        <v>-585</v>
      </c>
      <c r="K4549" s="582">
        <f t="shared" si="210"/>
        <v>103.35000000000002</v>
      </c>
      <c r="L4549" s="563">
        <f t="shared" si="211"/>
        <v>113.68500000000003</v>
      </c>
      <c r="M4549" s="563">
        <f t="shared" si="212"/>
        <v>757.18500000000006</v>
      </c>
      <c r="N4549" s="580"/>
    </row>
    <row r="4550" spans="4:14" x14ac:dyDescent="0.25">
      <c r="D4550" s="559" t="s">
        <v>867</v>
      </c>
      <c r="E4550" s="558" t="s">
        <v>507</v>
      </c>
      <c r="F4550" s="559">
        <v>700877</v>
      </c>
      <c r="G4550" s="558" t="s">
        <v>505</v>
      </c>
      <c r="H4550" s="564">
        <v>40015</v>
      </c>
      <c r="I4550" s="563">
        <v>688.35</v>
      </c>
      <c r="J4550" s="563">
        <v>-585</v>
      </c>
      <c r="K4550" s="582">
        <f t="shared" si="210"/>
        <v>103.35000000000002</v>
      </c>
      <c r="L4550" s="563">
        <f t="shared" si="211"/>
        <v>113.68500000000003</v>
      </c>
      <c r="M4550" s="563">
        <f t="shared" si="212"/>
        <v>757.18500000000006</v>
      </c>
      <c r="N4550" s="580"/>
    </row>
    <row r="4551" spans="4:14" x14ac:dyDescent="0.25">
      <c r="D4551" s="559" t="s">
        <v>867</v>
      </c>
      <c r="E4551" s="558" t="s">
        <v>508</v>
      </c>
      <c r="F4551" s="559">
        <v>700878</v>
      </c>
      <c r="G4551" s="558" t="s">
        <v>505</v>
      </c>
      <c r="H4551" s="564">
        <v>40015</v>
      </c>
      <c r="I4551" s="563">
        <v>64.349999999999994</v>
      </c>
      <c r="J4551" s="563">
        <v>-64.349999999999994</v>
      </c>
      <c r="K4551" s="582">
        <f t="shared" si="210"/>
        <v>0</v>
      </c>
      <c r="L4551" s="563">
        <f t="shared" si="211"/>
        <v>0</v>
      </c>
      <c r="M4551" s="563">
        <f t="shared" si="212"/>
        <v>70.784999999999997</v>
      </c>
      <c r="N4551" s="580"/>
    </row>
    <row r="4552" spans="4:14" x14ac:dyDescent="0.25">
      <c r="D4552" s="559" t="s">
        <v>867</v>
      </c>
      <c r="E4552" s="558" t="s">
        <v>509</v>
      </c>
      <c r="F4552" s="559">
        <v>700879</v>
      </c>
      <c r="G4552" s="558" t="s">
        <v>505</v>
      </c>
      <c r="H4552" s="564">
        <v>40015</v>
      </c>
      <c r="I4552" s="563">
        <v>688.35</v>
      </c>
      <c r="J4552" s="563">
        <v>-585</v>
      </c>
      <c r="K4552" s="582">
        <f t="shared" si="210"/>
        <v>103.35000000000002</v>
      </c>
      <c r="L4552" s="563">
        <f t="shared" si="211"/>
        <v>113.68500000000003</v>
      </c>
      <c r="M4552" s="563">
        <f t="shared" si="212"/>
        <v>757.18500000000006</v>
      </c>
      <c r="N4552" s="580"/>
    </row>
    <row r="4553" spans="4:14" x14ac:dyDescent="0.25">
      <c r="D4553" s="559" t="s">
        <v>867</v>
      </c>
      <c r="E4553" s="558" t="s">
        <v>510</v>
      </c>
      <c r="F4553" s="559">
        <v>700880</v>
      </c>
      <c r="G4553" s="558" t="s">
        <v>511</v>
      </c>
      <c r="H4553" s="564">
        <v>40015</v>
      </c>
      <c r="I4553" s="563">
        <v>688.35</v>
      </c>
      <c r="J4553" s="563">
        <v>-585</v>
      </c>
      <c r="K4553" s="582">
        <f t="shared" si="210"/>
        <v>103.35000000000002</v>
      </c>
      <c r="L4553" s="563">
        <f t="shared" si="211"/>
        <v>113.68500000000003</v>
      </c>
      <c r="M4553" s="563">
        <f t="shared" si="212"/>
        <v>757.18500000000006</v>
      </c>
      <c r="N4553" s="580"/>
    </row>
    <row r="4554" spans="4:14" x14ac:dyDescent="0.25">
      <c r="D4554" s="559" t="s">
        <v>867</v>
      </c>
      <c r="E4554" s="558" t="s">
        <v>512</v>
      </c>
      <c r="F4554" s="559">
        <v>700881</v>
      </c>
      <c r="G4554" s="558" t="s">
        <v>511</v>
      </c>
      <c r="H4554" s="564">
        <v>40015</v>
      </c>
      <c r="I4554" s="563">
        <v>688.35</v>
      </c>
      <c r="J4554" s="563">
        <v>-585</v>
      </c>
      <c r="K4554" s="582">
        <f t="shared" si="210"/>
        <v>103.35000000000002</v>
      </c>
      <c r="L4554" s="563">
        <f t="shared" si="211"/>
        <v>113.68500000000003</v>
      </c>
      <c r="M4554" s="563">
        <f t="shared" si="212"/>
        <v>757.18500000000006</v>
      </c>
      <c r="N4554" s="580"/>
    </row>
    <row r="4555" spans="4:14" x14ac:dyDescent="0.25">
      <c r="D4555" s="559" t="s">
        <v>867</v>
      </c>
      <c r="E4555" s="558" t="s">
        <v>513</v>
      </c>
      <c r="F4555" s="559">
        <v>701647</v>
      </c>
      <c r="G4555" s="558" t="s">
        <v>511</v>
      </c>
      <c r="H4555" s="564">
        <v>40015</v>
      </c>
      <c r="I4555" s="563">
        <v>64.349999999999994</v>
      </c>
      <c r="J4555" s="563">
        <v>-64.349999999999994</v>
      </c>
      <c r="K4555" s="582">
        <f t="shared" si="210"/>
        <v>0</v>
      </c>
      <c r="L4555" s="563">
        <f t="shared" si="211"/>
        <v>0</v>
      </c>
      <c r="M4555" s="563">
        <f t="shared" si="212"/>
        <v>70.784999999999997</v>
      </c>
      <c r="N4555" s="580"/>
    </row>
    <row r="4556" spans="4:14" x14ac:dyDescent="0.25">
      <c r="D4556" s="559" t="s">
        <v>867</v>
      </c>
      <c r="E4556" s="558" t="s">
        <v>514</v>
      </c>
      <c r="F4556" s="559">
        <v>701433</v>
      </c>
      <c r="G4556" s="558" t="s">
        <v>511</v>
      </c>
      <c r="H4556" s="564">
        <v>40015</v>
      </c>
      <c r="I4556" s="563">
        <v>688.35</v>
      </c>
      <c r="J4556" s="563">
        <v>-585</v>
      </c>
      <c r="K4556" s="582">
        <f t="shared" si="210"/>
        <v>103.35000000000002</v>
      </c>
      <c r="L4556" s="563">
        <f t="shared" si="211"/>
        <v>113.68500000000003</v>
      </c>
      <c r="M4556" s="563">
        <f t="shared" si="212"/>
        <v>757.18500000000006</v>
      </c>
      <c r="N4556" s="580"/>
    </row>
    <row r="4557" spans="4:14" x14ac:dyDescent="0.25">
      <c r="D4557" s="559" t="s">
        <v>867</v>
      </c>
      <c r="E4557" s="558" t="s">
        <v>515</v>
      </c>
      <c r="F4557" s="559">
        <v>700882</v>
      </c>
      <c r="G4557" s="558" t="s">
        <v>511</v>
      </c>
      <c r="H4557" s="564">
        <v>40015</v>
      </c>
      <c r="I4557" s="563">
        <v>688.35</v>
      </c>
      <c r="J4557" s="563">
        <v>-585</v>
      </c>
      <c r="K4557" s="582">
        <f t="shared" si="210"/>
        <v>103.35000000000002</v>
      </c>
      <c r="L4557" s="563">
        <f t="shared" si="211"/>
        <v>113.68500000000003</v>
      </c>
      <c r="M4557" s="563">
        <f t="shared" si="212"/>
        <v>757.18500000000006</v>
      </c>
      <c r="N4557" s="580"/>
    </row>
    <row r="4558" spans="4:14" x14ac:dyDescent="0.25">
      <c r="D4558" s="559" t="s">
        <v>867</v>
      </c>
      <c r="E4558" s="558" t="s">
        <v>516</v>
      </c>
      <c r="F4558" s="559">
        <v>700883</v>
      </c>
      <c r="G4558" s="558" t="s">
        <v>517</v>
      </c>
      <c r="H4558" s="564">
        <v>40015</v>
      </c>
      <c r="I4558" s="563">
        <v>688.35</v>
      </c>
      <c r="J4558" s="563">
        <v>-585</v>
      </c>
      <c r="K4558" s="582">
        <f t="shared" si="210"/>
        <v>103.35000000000002</v>
      </c>
      <c r="L4558" s="563">
        <f t="shared" si="211"/>
        <v>113.68500000000003</v>
      </c>
      <c r="M4558" s="563">
        <f t="shared" si="212"/>
        <v>757.18500000000006</v>
      </c>
      <c r="N4558" s="580"/>
    </row>
    <row r="4559" spans="4:14" x14ac:dyDescent="0.25">
      <c r="D4559" s="559" t="s">
        <v>867</v>
      </c>
      <c r="E4559" s="558" t="s">
        <v>518</v>
      </c>
      <c r="F4559" s="559">
        <v>700884</v>
      </c>
      <c r="G4559" s="558" t="s">
        <v>517</v>
      </c>
      <c r="H4559" s="564">
        <v>40015</v>
      </c>
      <c r="I4559" s="563">
        <v>688.35</v>
      </c>
      <c r="J4559" s="563">
        <v>-585</v>
      </c>
      <c r="K4559" s="582">
        <f t="shared" si="210"/>
        <v>103.35000000000002</v>
      </c>
      <c r="L4559" s="563">
        <f t="shared" si="211"/>
        <v>113.68500000000003</v>
      </c>
      <c r="M4559" s="563">
        <f t="shared" si="212"/>
        <v>757.18500000000006</v>
      </c>
      <c r="N4559" s="580"/>
    </row>
    <row r="4560" spans="4:14" x14ac:dyDescent="0.25">
      <c r="D4560" s="559" t="s">
        <v>867</v>
      </c>
      <c r="E4560" s="558" t="s">
        <v>519</v>
      </c>
      <c r="F4560" s="559">
        <v>700885</v>
      </c>
      <c r="G4560" s="558" t="s">
        <v>517</v>
      </c>
      <c r="H4560" s="564">
        <v>40015</v>
      </c>
      <c r="I4560" s="563">
        <v>688.35</v>
      </c>
      <c r="J4560" s="563">
        <v>-585</v>
      </c>
      <c r="K4560" s="582">
        <f t="shared" si="210"/>
        <v>103.35000000000002</v>
      </c>
      <c r="L4560" s="563">
        <f t="shared" si="211"/>
        <v>113.68500000000003</v>
      </c>
      <c r="M4560" s="563">
        <f t="shared" si="212"/>
        <v>757.18500000000006</v>
      </c>
      <c r="N4560" s="580"/>
    </row>
    <row r="4561" spans="4:14" x14ac:dyDescent="0.25">
      <c r="D4561" s="559" t="s">
        <v>867</v>
      </c>
      <c r="E4561" s="558" t="s">
        <v>520</v>
      </c>
      <c r="F4561" s="559">
        <v>700886</v>
      </c>
      <c r="G4561" s="558" t="s">
        <v>517</v>
      </c>
      <c r="H4561" s="564">
        <v>40015</v>
      </c>
      <c r="I4561" s="563">
        <v>688.35</v>
      </c>
      <c r="J4561" s="563">
        <v>-585</v>
      </c>
      <c r="K4561" s="582">
        <f t="shared" si="210"/>
        <v>103.35000000000002</v>
      </c>
      <c r="L4561" s="563">
        <f t="shared" si="211"/>
        <v>113.68500000000003</v>
      </c>
      <c r="M4561" s="563">
        <f t="shared" si="212"/>
        <v>757.18500000000006</v>
      </c>
      <c r="N4561" s="580"/>
    </row>
    <row r="4562" spans="4:14" x14ac:dyDescent="0.25">
      <c r="D4562" s="559" t="s">
        <v>867</v>
      </c>
      <c r="E4562" s="558" t="s">
        <v>521</v>
      </c>
      <c r="F4562" s="559">
        <v>700887</v>
      </c>
      <c r="G4562" s="558" t="s">
        <v>517</v>
      </c>
      <c r="H4562" s="564">
        <v>40015</v>
      </c>
      <c r="I4562" s="563">
        <v>688.35</v>
      </c>
      <c r="J4562" s="563">
        <v>-585</v>
      </c>
      <c r="K4562" s="582">
        <f t="shared" si="210"/>
        <v>103.35000000000002</v>
      </c>
      <c r="L4562" s="563">
        <f t="shared" si="211"/>
        <v>113.68500000000003</v>
      </c>
      <c r="M4562" s="563">
        <f t="shared" si="212"/>
        <v>757.18500000000006</v>
      </c>
      <c r="N4562" s="580"/>
    </row>
    <row r="4563" spans="4:14" x14ac:dyDescent="0.25">
      <c r="D4563" s="559" t="s">
        <v>867</v>
      </c>
      <c r="E4563" s="558" t="s">
        <v>522</v>
      </c>
      <c r="F4563" s="559">
        <v>700889</v>
      </c>
      <c r="G4563" s="558" t="s">
        <v>523</v>
      </c>
      <c r="H4563" s="564">
        <v>40015</v>
      </c>
      <c r="I4563" s="563">
        <v>688.35</v>
      </c>
      <c r="J4563" s="563">
        <v>-585</v>
      </c>
      <c r="K4563" s="582">
        <f t="shared" si="210"/>
        <v>103.35000000000002</v>
      </c>
      <c r="L4563" s="563">
        <f t="shared" si="211"/>
        <v>113.68500000000003</v>
      </c>
      <c r="M4563" s="563">
        <f t="shared" si="212"/>
        <v>757.18500000000006</v>
      </c>
      <c r="N4563" s="580"/>
    </row>
    <row r="4564" spans="4:14" x14ac:dyDescent="0.25">
      <c r="D4564" s="559" t="s">
        <v>867</v>
      </c>
      <c r="E4564" s="558" t="s">
        <v>524</v>
      </c>
      <c r="F4564" s="559">
        <v>700890</v>
      </c>
      <c r="G4564" s="558" t="s">
        <v>523</v>
      </c>
      <c r="H4564" s="564">
        <v>40015</v>
      </c>
      <c r="I4564" s="563">
        <v>688.35</v>
      </c>
      <c r="J4564" s="563">
        <v>-585</v>
      </c>
      <c r="K4564" s="582">
        <f t="shared" si="210"/>
        <v>103.35000000000002</v>
      </c>
      <c r="L4564" s="563">
        <f t="shared" si="211"/>
        <v>113.68500000000003</v>
      </c>
      <c r="M4564" s="563">
        <f t="shared" si="212"/>
        <v>757.18500000000006</v>
      </c>
      <c r="N4564" s="580"/>
    </row>
    <row r="4565" spans="4:14" x14ac:dyDescent="0.25">
      <c r="D4565" s="559" t="s">
        <v>867</v>
      </c>
      <c r="E4565" s="558" t="s">
        <v>525</v>
      </c>
      <c r="F4565" s="559">
        <v>700891</v>
      </c>
      <c r="G4565" s="558" t="s">
        <v>523</v>
      </c>
      <c r="H4565" s="564">
        <v>40015</v>
      </c>
      <c r="I4565" s="563">
        <v>688.35</v>
      </c>
      <c r="J4565" s="563">
        <v>-585</v>
      </c>
      <c r="K4565" s="582">
        <f t="shared" si="210"/>
        <v>103.35000000000002</v>
      </c>
      <c r="L4565" s="563">
        <f t="shared" si="211"/>
        <v>113.68500000000003</v>
      </c>
      <c r="M4565" s="563">
        <f t="shared" si="212"/>
        <v>757.18500000000006</v>
      </c>
      <c r="N4565" s="580"/>
    </row>
    <row r="4566" spans="4:14" x14ac:dyDescent="0.25">
      <c r="D4566" s="559" t="s">
        <v>867</v>
      </c>
      <c r="E4566" s="558" t="s">
        <v>526</v>
      </c>
      <c r="F4566" s="559">
        <v>700892</v>
      </c>
      <c r="G4566" s="558" t="s">
        <v>523</v>
      </c>
      <c r="H4566" s="564">
        <v>40015</v>
      </c>
      <c r="I4566" s="563">
        <v>688.35</v>
      </c>
      <c r="J4566" s="563">
        <v>-585</v>
      </c>
      <c r="K4566" s="582">
        <f t="shared" si="210"/>
        <v>103.35000000000002</v>
      </c>
      <c r="L4566" s="563">
        <f t="shared" si="211"/>
        <v>113.68500000000003</v>
      </c>
      <c r="M4566" s="563">
        <f t="shared" si="212"/>
        <v>757.18500000000006</v>
      </c>
      <c r="N4566" s="580"/>
    </row>
    <row r="4567" spans="4:14" x14ac:dyDescent="0.25">
      <c r="D4567" s="559" t="s">
        <v>867</v>
      </c>
      <c r="E4567" s="558" t="s">
        <v>527</v>
      </c>
      <c r="F4567" s="559">
        <v>700894</v>
      </c>
      <c r="G4567" s="558" t="s">
        <v>523</v>
      </c>
      <c r="H4567" s="564">
        <v>40015</v>
      </c>
      <c r="I4567" s="563">
        <v>688.35</v>
      </c>
      <c r="J4567" s="563">
        <v>-585</v>
      </c>
      <c r="K4567" s="582">
        <f t="shared" si="210"/>
        <v>103.35000000000002</v>
      </c>
      <c r="L4567" s="563">
        <f t="shared" si="211"/>
        <v>113.68500000000003</v>
      </c>
      <c r="M4567" s="563">
        <f t="shared" si="212"/>
        <v>757.18500000000006</v>
      </c>
      <c r="N4567" s="580"/>
    </row>
    <row r="4568" spans="4:14" x14ac:dyDescent="0.25">
      <c r="D4568" s="559" t="s">
        <v>867</v>
      </c>
      <c r="E4568" s="558" t="s">
        <v>528</v>
      </c>
      <c r="F4568" s="559">
        <v>700895</v>
      </c>
      <c r="G4568" s="558" t="s">
        <v>529</v>
      </c>
      <c r="H4568" s="564">
        <v>40015</v>
      </c>
      <c r="I4568" s="563">
        <v>688.35</v>
      </c>
      <c r="J4568" s="563">
        <v>-585</v>
      </c>
      <c r="K4568" s="582">
        <f t="shared" si="210"/>
        <v>103.35000000000002</v>
      </c>
      <c r="L4568" s="563">
        <f t="shared" si="211"/>
        <v>113.68500000000003</v>
      </c>
      <c r="M4568" s="563">
        <f t="shared" si="212"/>
        <v>757.18500000000006</v>
      </c>
      <c r="N4568" s="580"/>
    </row>
    <row r="4569" spans="4:14" x14ac:dyDescent="0.25">
      <c r="D4569" s="559" t="s">
        <v>867</v>
      </c>
      <c r="E4569" s="558" t="s">
        <v>530</v>
      </c>
      <c r="F4569" s="559">
        <v>700896</v>
      </c>
      <c r="G4569" s="558" t="s">
        <v>529</v>
      </c>
      <c r="H4569" s="564">
        <v>40015</v>
      </c>
      <c r="I4569" s="563">
        <v>688.35</v>
      </c>
      <c r="J4569" s="563">
        <v>-585</v>
      </c>
      <c r="K4569" s="582">
        <f t="shared" si="210"/>
        <v>103.35000000000002</v>
      </c>
      <c r="L4569" s="563">
        <f t="shared" si="211"/>
        <v>113.68500000000003</v>
      </c>
      <c r="M4569" s="563">
        <f t="shared" si="212"/>
        <v>757.18500000000006</v>
      </c>
      <c r="N4569" s="580"/>
    </row>
    <row r="4570" spans="4:14" x14ac:dyDescent="0.25">
      <c r="D4570" s="559" t="s">
        <v>867</v>
      </c>
      <c r="E4570" s="558" t="s">
        <v>531</v>
      </c>
      <c r="F4570" s="559">
        <v>700897</v>
      </c>
      <c r="G4570" s="558" t="s">
        <v>529</v>
      </c>
      <c r="H4570" s="564">
        <v>40015</v>
      </c>
      <c r="I4570" s="563">
        <v>688.35</v>
      </c>
      <c r="J4570" s="563">
        <v>-585</v>
      </c>
      <c r="K4570" s="582">
        <f t="shared" si="210"/>
        <v>103.35000000000002</v>
      </c>
      <c r="L4570" s="563">
        <f t="shared" si="211"/>
        <v>113.68500000000003</v>
      </c>
      <c r="M4570" s="563">
        <f t="shared" si="212"/>
        <v>757.18500000000006</v>
      </c>
      <c r="N4570" s="580"/>
    </row>
    <row r="4571" spans="4:14" x14ac:dyDescent="0.25">
      <c r="D4571" s="559" t="s">
        <v>867</v>
      </c>
      <c r="E4571" s="558" t="s">
        <v>532</v>
      </c>
      <c r="F4571" s="559">
        <v>700899</v>
      </c>
      <c r="G4571" s="558" t="s">
        <v>529</v>
      </c>
      <c r="H4571" s="564">
        <v>40015</v>
      </c>
      <c r="I4571" s="563">
        <v>64.349999999999994</v>
      </c>
      <c r="J4571" s="563">
        <v>-64.349999999999994</v>
      </c>
      <c r="K4571" s="582">
        <f t="shared" si="210"/>
        <v>0</v>
      </c>
      <c r="L4571" s="563">
        <f t="shared" si="211"/>
        <v>0</v>
      </c>
      <c r="M4571" s="563">
        <f t="shared" si="212"/>
        <v>70.784999999999997</v>
      </c>
      <c r="N4571" s="580"/>
    </row>
    <row r="4572" spans="4:14" x14ac:dyDescent="0.25">
      <c r="D4572" s="559" t="s">
        <v>867</v>
      </c>
      <c r="E4572" s="558" t="s">
        <v>533</v>
      </c>
      <c r="F4572" s="559">
        <v>700900</v>
      </c>
      <c r="G4572" s="558" t="s">
        <v>529</v>
      </c>
      <c r="H4572" s="564">
        <v>40015</v>
      </c>
      <c r="I4572" s="563">
        <v>688.35</v>
      </c>
      <c r="J4572" s="563">
        <v>-585</v>
      </c>
      <c r="K4572" s="582">
        <f t="shared" si="210"/>
        <v>103.35000000000002</v>
      </c>
      <c r="L4572" s="563">
        <f t="shared" si="211"/>
        <v>113.68500000000003</v>
      </c>
      <c r="M4572" s="563">
        <f t="shared" si="212"/>
        <v>757.18500000000006</v>
      </c>
      <c r="N4572" s="580"/>
    </row>
    <row r="4573" spans="4:14" x14ac:dyDescent="0.25">
      <c r="D4573" s="559" t="s">
        <v>867</v>
      </c>
      <c r="E4573" s="558" t="s">
        <v>534</v>
      </c>
      <c r="F4573" s="559">
        <v>700901</v>
      </c>
      <c r="G4573" s="558" t="s">
        <v>535</v>
      </c>
      <c r="H4573" s="564">
        <v>40015</v>
      </c>
      <c r="I4573" s="563">
        <v>688.35</v>
      </c>
      <c r="J4573" s="563">
        <v>-585</v>
      </c>
      <c r="K4573" s="582">
        <f t="shared" si="210"/>
        <v>103.35000000000002</v>
      </c>
      <c r="L4573" s="563">
        <f t="shared" si="211"/>
        <v>113.68500000000003</v>
      </c>
      <c r="M4573" s="563">
        <f t="shared" si="212"/>
        <v>757.18500000000006</v>
      </c>
      <c r="N4573" s="580"/>
    </row>
    <row r="4574" spans="4:14" x14ac:dyDescent="0.25">
      <c r="D4574" s="559" t="s">
        <v>867</v>
      </c>
      <c r="E4574" s="558" t="s">
        <v>536</v>
      </c>
      <c r="F4574" s="559">
        <v>700902</v>
      </c>
      <c r="G4574" s="558" t="s">
        <v>535</v>
      </c>
      <c r="H4574" s="564">
        <v>40015</v>
      </c>
      <c r="I4574" s="563">
        <v>688.35</v>
      </c>
      <c r="J4574" s="563">
        <v>-585</v>
      </c>
      <c r="K4574" s="582">
        <f t="shared" si="210"/>
        <v>103.35000000000002</v>
      </c>
      <c r="L4574" s="563">
        <f t="shared" si="211"/>
        <v>113.68500000000003</v>
      </c>
      <c r="M4574" s="563">
        <f t="shared" si="212"/>
        <v>757.18500000000006</v>
      </c>
      <c r="N4574" s="580"/>
    </row>
    <row r="4575" spans="4:14" x14ac:dyDescent="0.25">
      <c r="D4575" s="559" t="s">
        <v>867</v>
      </c>
      <c r="E4575" s="558" t="s">
        <v>537</v>
      </c>
      <c r="F4575" s="559">
        <v>700904</v>
      </c>
      <c r="G4575" s="558" t="s">
        <v>535</v>
      </c>
      <c r="H4575" s="564">
        <v>40015</v>
      </c>
      <c r="I4575" s="563">
        <v>688.35</v>
      </c>
      <c r="J4575" s="563">
        <v>-585</v>
      </c>
      <c r="K4575" s="582">
        <f t="shared" si="210"/>
        <v>103.35000000000002</v>
      </c>
      <c r="L4575" s="563">
        <f t="shared" si="211"/>
        <v>113.68500000000003</v>
      </c>
      <c r="M4575" s="563">
        <f t="shared" si="212"/>
        <v>757.18500000000006</v>
      </c>
      <c r="N4575" s="580"/>
    </row>
    <row r="4576" spans="4:14" x14ac:dyDescent="0.25">
      <c r="D4576" s="559" t="s">
        <v>867</v>
      </c>
      <c r="E4576" s="558" t="s">
        <v>538</v>
      </c>
      <c r="F4576" s="559">
        <v>700908</v>
      </c>
      <c r="G4576" s="558" t="s">
        <v>535</v>
      </c>
      <c r="H4576" s="564">
        <v>40015</v>
      </c>
      <c r="I4576" s="563">
        <v>688.35</v>
      </c>
      <c r="J4576" s="563">
        <v>-585</v>
      </c>
      <c r="K4576" s="582">
        <f t="shared" si="210"/>
        <v>103.35000000000002</v>
      </c>
      <c r="L4576" s="563">
        <f t="shared" si="211"/>
        <v>113.68500000000003</v>
      </c>
      <c r="M4576" s="563">
        <f t="shared" si="212"/>
        <v>757.18500000000006</v>
      </c>
      <c r="N4576" s="580"/>
    </row>
    <row r="4577" spans="4:14" x14ac:dyDescent="0.25">
      <c r="D4577" s="559" t="s">
        <v>867</v>
      </c>
      <c r="E4577" s="558" t="s">
        <v>539</v>
      </c>
      <c r="F4577" s="559">
        <v>700909</v>
      </c>
      <c r="G4577" s="558" t="s">
        <v>535</v>
      </c>
      <c r="H4577" s="564">
        <v>40015</v>
      </c>
      <c r="I4577" s="563">
        <v>688.35</v>
      </c>
      <c r="J4577" s="563">
        <v>-585</v>
      </c>
      <c r="K4577" s="582">
        <f t="shared" si="210"/>
        <v>103.35000000000002</v>
      </c>
      <c r="L4577" s="563">
        <f t="shared" si="211"/>
        <v>113.68500000000003</v>
      </c>
      <c r="M4577" s="563">
        <f t="shared" si="212"/>
        <v>757.18500000000006</v>
      </c>
      <c r="N4577" s="580"/>
    </row>
    <row r="4578" spans="4:14" x14ac:dyDescent="0.25">
      <c r="D4578" s="559" t="s">
        <v>867</v>
      </c>
      <c r="E4578" s="558" t="s">
        <v>540</v>
      </c>
      <c r="F4578" s="559">
        <v>700910</v>
      </c>
      <c r="G4578" s="558" t="s">
        <v>541</v>
      </c>
      <c r="H4578" s="564">
        <v>40015</v>
      </c>
      <c r="I4578" s="563">
        <v>688.35</v>
      </c>
      <c r="J4578" s="563">
        <v>-585</v>
      </c>
      <c r="K4578" s="582">
        <f t="shared" si="210"/>
        <v>103.35000000000002</v>
      </c>
      <c r="L4578" s="563">
        <f t="shared" si="211"/>
        <v>113.68500000000003</v>
      </c>
      <c r="M4578" s="563">
        <f t="shared" si="212"/>
        <v>757.18500000000006</v>
      </c>
      <c r="N4578" s="580"/>
    </row>
    <row r="4579" spans="4:14" x14ac:dyDescent="0.25">
      <c r="D4579" s="559" t="s">
        <v>867</v>
      </c>
      <c r="E4579" s="558" t="s">
        <v>542</v>
      </c>
      <c r="F4579" s="559">
        <v>700911</v>
      </c>
      <c r="G4579" s="558" t="s">
        <v>541</v>
      </c>
      <c r="H4579" s="564">
        <v>40015</v>
      </c>
      <c r="I4579" s="563">
        <v>688.35</v>
      </c>
      <c r="J4579" s="563">
        <v>-585</v>
      </c>
      <c r="K4579" s="582">
        <f t="shared" si="210"/>
        <v>103.35000000000002</v>
      </c>
      <c r="L4579" s="563">
        <f t="shared" si="211"/>
        <v>113.68500000000003</v>
      </c>
      <c r="M4579" s="563">
        <f t="shared" si="212"/>
        <v>757.18500000000006</v>
      </c>
      <c r="N4579" s="580"/>
    </row>
    <row r="4580" spans="4:14" x14ac:dyDescent="0.25">
      <c r="D4580" s="559" t="s">
        <v>867</v>
      </c>
      <c r="E4580" s="558" t="s">
        <v>543</v>
      </c>
      <c r="F4580" s="559">
        <v>700912</v>
      </c>
      <c r="G4580" s="558" t="s">
        <v>541</v>
      </c>
      <c r="H4580" s="564">
        <v>40015</v>
      </c>
      <c r="I4580" s="563">
        <v>688.35</v>
      </c>
      <c r="J4580" s="563">
        <v>-585</v>
      </c>
      <c r="K4580" s="582">
        <f t="shared" si="210"/>
        <v>103.35000000000002</v>
      </c>
      <c r="L4580" s="563">
        <f t="shared" si="211"/>
        <v>113.68500000000003</v>
      </c>
      <c r="M4580" s="563">
        <f t="shared" si="212"/>
        <v>757.18500000000006</v>
      </c>
      <c r="N4580" s="580"/>
    </row>
    <row r="4581" spans="4:14" x14ac:dyDescent="0.25">
      <c r="D4581" s="559" t="s">
        <v>867</v>
      </c>
      <c r="E4581" s="558" t="s">
        <v>544</v>
      </c>
      <c r="F4581" s="559">
        <v>700913</v>
      </c>
      <c r="G4581" s="558" t="s">
        <v>541</v>
      </c>
      <c r="H4581" s="564">
        <v>40015</v>
      </c>
      <c r="I4581" s="563">
        <v>25.35</v>
      </c>
      <c r="J4581" s="563">
        <v>-25.35</v>
      </c>
      <c r="K4581" s="582">
        <f t="shared" si="210"/>
        <v>0</v>
      </c>
      <c r="L4581" s="563">
        <f t="shared" si="211"/>
        <v>0</v>
      </c>
      <c r="M4581" s="563">
        <f t="shared" si="212"/>
        <v>27.885000000000005</v>
      </c>
      <c r="N4581" s="580"/>
    </row>
    <row r="4582" spans="4:14" x14ac:dyDescent="0.25">
      <c r="D4582" s="559" t="s">
        <v>867</v>
      </c>
      <c r="E4582" s="558" t="s">
        <v>545</v>
      </c>
      <c r="F4582" s="559">
        <v>701389</v>
      </c>
      <c r="G4582" s="558" t="s">
        <v>541</v>
      </c>
      <c r="H4582" s="564">
        <v>40015</v>
      </c>
      <c r="I4582" s="563">
        <v>25.35</v>
      </c>
      <c r="J4582" s="563">
        <v>-25.35</v>
      </c>
      <c r="K4582" s="582">
        <f t="shared" si="210"/>
        <v>0</v>
      </c>
      <c r="L4582" s="563">
        <f t="shared" si="211"/>
        <v>0</v>
      </c>
      <c r="M4582" s="563">
        <f t="shared" si="212"/>
        <v>27.885000000000005</v>
      </c>
      <c r="N4582" s="580"/>
    </row>
    <row r="4583" spans="4:14" x14ac:dyDescent="0.25">
      <c r="D4583" s="559" t="s">
        <v>867</v>
      </c>
      <c r="E4583" s="558" t="s">
        <v>546</v>
      </c>
      <c r="F4583" s="559">
        <v>700914</v>
      </c>
      <c r="G4583" s="558" t="s">
        <v>547</v>
      </c>
      <c r="H4583" s="564">
        <v>40015</v>
      </c>
      <c r="I4583" s="563">
        <v>25.35</v>
      </c>
      <c r="J4583" s="563">
        <v>-25.35</v>
      </c>
      <c r="K4583" s="582">
        <f t="shared" si="210"/>
        <v>0</v>
      </c>
      <c r="L4583" s="563">
        <f t="shared" si="211"/>
        <v>0</v>
      </c>
      <c r="M4583" s="563">
        <f t="shared" si="212"/>
        <v>27.885000000000005</v>
      </c>
      <c r="N4583" s="580"/>
    </row>
    <row r="4584" spans="4:14" x14ac:dyDescent="0.25">
      <c r="D4584" s="559" t="s">
        <v>867</v>
      </c>
      <c r="E4584" s="558" t="s">
        <v>548</v>
      </c>
      <c r="F4584" s="559">
        <v>700915</v>
      </c>
      <c r="G4584" s="558" t="s">
        <v>547</v>
      </c>
      <c r="H4584" s="564">
        <v>40015</v>
      </c>
      <c r="I4584" s="563">
        <v>688.35</v>
      </c>
      <c r="J4584" s="563">
        <v>-585</v>
      </c>
      <c r="K4584" s="582">
        <f t="shared" si="210"/>
        <v>103.35000000000002</v>
      </c>
      <c r="L4584" s="563">
        <f t="shared" si="211"/>
        <v>113.68500000000003</v>
      </c>
      <c r="M4584" s="563">
        <f t="shared" si="212"/>
        <v>757.18500000000006</v>
      </c>
      <c r="N4584" s="580"/>
    </row>
    <row r="4585" spans="4:14" x14ac:dyDescent="0.25">
      <c r="D4585" s="559" t="s">
        <v>867</v>
      </c>
      <c r="E4585" s="558" t="s">
        <v>549</v>
      </c>
      <c r="F4585" s="559">
        <v>700916</v>
      </c>
      <c r="G4585" s="558" t="s">
        <v>547</v>
      </c>
      <c r="H4585" s="564">
        <v>40015</v>
      </c>
      <c r="I4585" s="563">
        <v>688.35</v>
      </c>
      <c r="J4585" s="563">
        <v>-585</v>
      </c>
      <c r="K4585" s="582">
        <f t="shared" ref="K4585:K4648" si="213">+I4585+J4585</f>
        <v>103.35000000000002</v>
      </c>
      <c r="L4585" s="563">
        <f t="shared" ref="L4585:L4648" si="214">+K4585*1.1</f>
        <v>113.68500000000003</v>
      </c>
      <c r="M4585" s="563">
        <f t="shared" ref="M4585:M4648" si="215">+I4585*1.1</f>
        <v>757.18500000000006</v>
      </c>
      <c r="N4585" s="580"/>
    </row>
    <row r="4586" spans="4:14" x14ac:dyDescent="0.25">
      <c r="D4586" s="559" t="s">
        <v>867</v>
      </c>
      <c r="E4586" s="558" t="s">
        <v>550</v>
      </c>
      <c r="F4586" s="559">
        <v>700917</v>
      </c>
      <c r="G4586" s="558" t="s">
        <v>547</v>
      </c>
      <c r="H4586" s="564">
        <v>40015</v>
      </c>
      <c r="I4586" s="563">
        <v>688.35</v>
      </c>
      <c r="J4586" s="563">
        <v>-585</v>
      </c>
      <c r="K4586" s="582">
        <f t="shared" si="213"/>
        <v>103.35000000000002</v>
      </c>
      <c r="L4586" s="563">
        <f t="shared" si="214"/>
        <v>113.68500000000003</v>
      </c>
      <c r="M4586" s="563">
        <f t="shared" si="215"/>
        <v>757.18500000000006</v>
      </c>
      <c r="N4586" s="580"/>
    </row>
    <row r="4587" spans="4:14" x14ac:dyDescent="0.25">
      <c r="D4587" s="559" t="s">
        <v>867</v>
      </c>
      <c r="E4587" s="558" t="s">
        <v>551</v>
      </c>
      <c r="F4587" s="559">
        <v>700918</v>
      </c>
      <c r="G4587" s="558" t="s">
        <v>547</v>
      </c>
      <c r="H4587" s="564">
        <v>40015</v>
      </c>
      <c r="I4587" s="563">
        <v>688.35</v>
      </c>
      <c r="J4587" s="563">
        <v>-585</v>
      </c>
      <c r="K4587" s="582">
        <f t="shared" si="213"/>
        <v>103.35000000000002</v>
      </c>
      <c r="L4587" s="563">
        <f t="shared" si="214"/>
        <v>113.68500000000003</v>
      </c>
      <c r="M4587" s="563">
        <f t="shared" si="215"/>
        <v>757.18500000000006</v>
      </c>
      <c r="N4587" s="580"/>
    </row>
    <row r="4588" spans="4:14" x14ac:dyDescent="0.25">
      <c r="D4588" s="559" t="s">
        <v>867</v>
      </c>
      <c r="E4588" s="558" t="s">
        <v>552</v>
      </c>
      <c r="F4588" s="559">
        <v>700919</v>
      </c>
      <c r="G4588" s="558" t="s">
        <v>553</v>
      </c>
      <c r="H4588" s="564">
        <v>40015</v>
      </c>
      <c r="I4588" s="563">
        <v>688.35</v>
      </c>
      <c r="J4588" s="563">
        <v>-585</v>
      </c>
      <c r="K4588" s="582">
        <f t="shared" si="213"/>
        <v>103.35000000000002</v>
      </c>
      <c r="L4588" s="563">
        <f t="shared" si="214"/>
        <v>113.68500000000003</v>
      </c>
      <c r="M4588" s="563">
        <f t="shared" si="215"/>
        <v>757.18500000000006</v>
      </c>
      <c r="N4588" s="580"/>
    </row>
    <row r="4589" spans="4:14" x14ac:dyDescent="0.25">
      <c r="D4589" s="559" t="s">
        <v>867</v>
      </c>
      <c r="E4589" s="558" t="s">
        <v>554</v>
      </c>
      <c r="F4589" s="559">
        <v>700920</v>
      </c>
      <c r="G4589" s="558" t="s">
        <v>553</v>
      </c>
      <c r="H4589" s="564">
        <v>40015</v>
      </c>
      <c r="I4589" s="563">
        <v>688.35</v>
      </c>
      <c r="J4589" s="563">
        <v>-585</v>
      </c>
      <c r="K4589" s="582">
        <f t="shared" si="213"/>
        <v>103.35000000000002</v>
      </c>
      <c r="L4589" s="563">
        <f t="shared" si="214"/>
        <v>113.68500000000003</v>
      </c>
      <c r="M4589" s="563">
        <f t="shared" si="215"/>
        <v>757.18500000000006</v>
      </c>
      <c r="N4589" s="580"/>
    </row>
    <row r="4590" spans="4:14" x14ac:dyDescent="0.25">
      <c r="D4590" s="559" t="s">
        <v>867</v>
      </c>
      <c r="E4590" s="558" t="s">
        <v>555</v>
      </c>
      <c r="F4590" s="559">
        <v>700921</v>
      </c>
      <c r="G4590" s="558" t="s">
        <v>553</v>
      </c>
      <c r="H4590" s="564">
        <v>40015</v>
      </c>
      <c r="I4590" s="563">
        <v>688.35</v>
      </c>
      <c r="J4590" s="563">
        <v>-585</v>
      </c>
      <c r="K4590" s="582">
        <f t="shared" si="213"/>
        <v>103.35000000000002</v>
      </c>
      <c r="L4590" s="563">
        <f t="shared" si="214"/>
        <v>113.68500000000003</v>
      </c>
      <c r="M4590" s="563">
        <f t="shared" si="215"/>
        <v>757.18500000000006</v>
      </c>
      <c r="N4590" s="580"/>
    </row>
    <row r="4591" spans="4:14" x14ac:dyDescent="0.25">
      <c r="D4591" s="559" t="s">
        <v>867</v>
      </c>
      <c r="E4591" s="558" t="s">
        <v>556</v>
      </c>
      <c r="F4591" s="559">
        <v>701466</v>
      </c>
      <c r="G4591" s="558" t="s">
        <v>553</v>
      </c>
      <c r="H4591" s="564">
        <v>40015</v>
      </c>
      <c r="I4591" s="563">
        <v>688.35</v>
      </c>
      <c r="J4591" s="563">
        <v>-585</v>
      </c>
      <c r="K4591" s="582">
        <f t="shared" si="213"/>
        <v>103.35000000000002</v>
      </c>
      <c r="L4591" s="563">
        <f t="shared" si="214"/>
        <v>113.68500000000003</v>
      </c>
      <c r="M4591" s="563">
        <f t="shared" si="215"/>
        <v>757.18500000000006</v>
      </c>
      <c r="N4591" s="580"/>
    </row>
    <row r="4592" spans="4:14" x14ac:dyDescent="0.25">
      <c r="D4592" s="559" t="s">
        <v>867</v>
      </c>
      <c r="E4592" s="558" t="s">
        <v>557</v>
      </c>
      <c r="F4592" s="559">
        <v>700924</v>
      </c>
      <c r="G4592" s="558" t="s">
        <v>553</v>
      </c>
      <c r="H4592" s="564">
        <v>40015</v>
      </c>
      <c r="I4592" s="563">
        <v>688.35</v>
      </c>
      <c r="J4592" s="563">
        <v>-585</v>
      </c>
      <c r="K4592" s="582">
        <f t="shared" si="213"/>
        <v>103.35000000000002</v>
      </c>
      <c r="L4592" s="563">
        <f t="shared" si="214"/>
        <v>113.68500000000003</v>
      </c>
      <c r="M4592" s="563">
        <f t="shared" si="215"/>
        <v>757.18500000000006</v>
      </c>
      <c r="N4592" s="580"/>
    </row>
    <row r="4593" spans="4:14" x14ac:dyDescent="0.25">
      <c r="D4593" s="559" t="s">
        <v>867</v>
      </c>
      <c r="E4593" s="558" t="s">
        <v>558</v>
      </c>
      <c r="F4593" s="559">
        <v>700925</v>
      </c>
      <c r="G4593" s="558" t="s">
        <v>559</v>
      </c>
      <c r="H4593" s="564">
        <v>40015</v>
      </c>
      <c r="I4593" s="563">
        <v>688.35</v>
      </c>
      <c r="J4593" s="563">
        <v>-585</v>
      </c>
      <c r="K4593" s="582">
        <f t="shared" si="213"/>
        <v>103.35000000000002</v>
      </c>
      <c r="L4593" s="563">
        <f t="shared" si="214"/>
        <v>113.68500000000003</v>
      </c>
      <c r="M4593" s="563">
        <f t="shared" si="215"/>
        <v>757.18500000000006</v>
      </c>
      <c r="N4593" s="580"/>
    </row>
    <row r="4594" spans="4:14" x14ac:dyDescent="0.25">
      <c r="D4594" s="559" t="s">
        <v>867</v>
      </c>
      <c r="E4594" s="558" t="s">
        <v>560</v>
      </c>
      <c r="F4594" s="559">
        <v>700926</v>
      </c>
      <c r="G4594" s="558" t="s">
        <v>559</v>
      </c>
      <c r="H4594" s="564">
        <v>40015</v>
      </c>
      <c r="I4594" s="563">
        <v>688.35</v>
      </c>
      <c r="J4594" s="563">
        <v>-585</v>
      </c>
      <c r="K4594" s="582">
        <f t="shared" si="213"/>
        <v>103.35000000000002</v>
      </c>
      <c r="L4594" s="563">
        <f t="shared" si="214"/>
        <v>113.68500000000003</v>
      </c>
      <c r="M4594" s="563">
        <f t="shared" si="215"/>
        <v>757.18500000000006</v>
      </c>
      <c r="N4594" s="580"/>
    </row>
    <row r="4595" spans="4:14" x14ac:dyDescent="0.25">
      <c r="D4595" s="559" t="s">
        <v>867</v>
      </c>
      <c r="E4595" s="558" t="s">
        <v>561</v>
      </c>
      <c r="F4595" s="559">
        <v>700927</v>
      </c>
      <c r="G4595" s="558" t="s">
        <v>559</v>
      </c>
      <c r="H4595" s="564">
        <v>40015</v>
      </c>
      <c r="I4595" s="563">
        <v>688.35</v>
      </c>
      <c r="J4595" s="563">
        <v>-585</v>
      </c>
      <c r="K4595" s="582">
        <f t="shared" si="213"/>
        <v>103.35000000000002</v>
      </c>
      <c r="L4595" s="563">
        <f t="shared" si="214"/>
        <v>113.68500000000003</v>
      </c>
      <c r="M4595" s="563">
        <f t="shared" si="215"/>
        <v>757.18500000000006</v>
      </c>
      <c r="N4595" s="580"/>
    </row>
    <row r="4596" spans="4:14" x14ac:dyDescent="0.25">
      <c r="D4596" s="559" t="s">
        <v>867</v>
      </c>
      <c r="E4596" s="558" t="s">
        <v>562</v>
      </c>
      <c r="F4596" s="559">
        <v>700928</v>
      </c>
      <c r="G4596" s="558" t="s">
        <v>559</v>
      </c>
      <c r="H4596" s="564">
        <v>40015</v>
      </c>
      <c r="I4596" s="563">
        <v>688.35</v>
      </c>
      <c r="J4596" s="563">
        <v>-585</v>
      </c>
      <c r="K4596" s="582">
        <f t="shared" si="213"/>
        <v>103.35000000000002</v>
      </c>
      <c r="L4596" s="563">
        <f t="shared" si="214"/>
        <v>113.68500000000003</v>
      </c>
      <c r="M4596" s="563">
        <f t="shared" si="215"/>
        <v>757.18500000000006</v>
      </c>
      <c r="N4596" s="580"/>
    </row>
    <row r="4597" spans="4:14" x14ac:dyDescent="0.25">
      <c r="D4597" s="559" t="s">
        <v>867</v>
      </c>
      <c r="E4597" s="558" t="s">
        <v>563</v>
      </c>
      <c r="F4597" s="559">
        <v>700929</v>
      </c>
      <c r="G4597" s="558" t="s">
        <v>559</v>
      </c>
      <c r="H4597" s="564">
        <v>40015</v>
      </c>
      <c r="I4597" s="563">
        <v>688.35</v>
      </c>
      <c r="J4597" s="563">
        <v>-585</v>
      </c>
      <c r="K4597" s="582">
        <f t="shared" si="213"/>
        <v>103.35000000000002</v>
      </c>
      <c r="L4597" s="563">
        <f t="shared" si="214"/>
        <v>113.68500000000003</v>
      </c>
      <c r="M4597" s="563">
        <f t="shared" si="215"/>
        <v>757.18500000000006</v>
      </c>
      <c r="N4597" s="580"/>
    </row>
    <row r="4598" spans="4:14" x14ac:dyDescent="0.25">
      <c r="D4598" s="559" t="s">
        <v>867</v>
      </c>
      <c r="E4598" s="558" t="s">
        <v>564</v>
      </c>
      <c r="F4598" s="559">
        <v>700930</v>
      </c>
      <c r="G4598" s="558" t="s">
        <v>565</v>
      </c>
      <c r="H4598" s="564">
        <v>40015</v>
      </c>
      <c r="I4598" s="563">
        <v>688.35</v>
      </c>
      <c r="J4598" s="563">
        <v>-585</v>
      </c>
      <c r="K4598" s="582">
        <f t="shared" si="213"/>
        <v>103.35000000000002</v>
      </c>
      <c r="L4598" s="563">
        <f t="shared" si="214"/>
        <v>113.68500000000003</v>
      </c>
      <c r="M4598" s="563">
        <f t="shared" si="215"/>
        <v>757.18500000000006</v>
      </c>
      <c r="N4598" s="580"/>
    </row>
    <row r="4599" spans="4:14" x14ac:dyDescent="0.25">
      <c r="D4599" s="559" t="s">
        <v>867</v>
      </c>
      <c r="E4599" s="558" t="s">
        <v>566</v>
      </c>
      <c r="F4599" s="559">
        <v>700931</v>
      </c>
      <c r="G4599" s="558" t="s">
        <v>565</v>
      </c>
      <c r="H4599" s="564">
        <v>40015</v>
      </c>
      <c r="I4599" s="563">
        <v>688.35</v>
      </c>
      <c r="J4599" s="563">
        <v>-585</v>
      </c>
      <c r="K4599" s="582">
        <f t="shared" si="213"/>
        <v>103.35000000000002</v>
      </c>
      <c r="L4599" s="563">
        <f t="shared" si="214"/>
        <v>113.68500000000003</v>
      </c>
      <c r="M4599" s="563">
        <f t="shared" si="215"/>
        <v>757.18500000000006</v>
      </c>
      <c r="N4599" s="580"/>
    </row>
    <row r="4600" spans="4:14" x14ac:dyDescent="0.25">
      <c r="D4600" s="559" t="s">
        <v>867</v>
      </c>
      <c r="E4600" s="558" t="s">
        <v>567</v>
      </c>
      <c r="F4600" s="559">
        <v>700932</v>
      </c>
      <c r="G4600" s="558" t="s">
        <v>565</v>
      </c>
      <c r="H4600" s="564">
        <v>40015</v>
      </c>
      <c r="I4600" s="563">
        <v>103.35</v>
      </c>
      <c r="J4600" s="563">
        <v>-103.35</v>
      </c>
      <c r="K4600" s="582">
        <f t="shared" si="213"/>
        <v>0</v>
      </c>
      <c r="L4600" s="563">
        <f t="shared" si="214"/>
        <v>0</v>
      </c>
      <c r="M4600" s="563">
        <f t="shared" si="215"/>
        <v>113.685</v>
      </c>
      <c r="N4600" s="580"/>
    </row>
    <row r="4601" spans="4:14" x14ac:dyDescent="0.25">
      <c r="D4601" s="559" t="s">
        <v>867</v>
      </c>
      <c r="E4601" s="558" t="s">
        <v>568</v>
      </c>
      <c r="F4601" s="559">
        <v>700933</v>
      </c>
      <c r="G4601" s="558" t="s">
        <v>565</v>
      </c>
      <c r="H4601" s="564">
        <v>40015</v>
      </c>
      <c r="I4601" s="563">
        <v>1078.3499999999999</v>
      </c>
      <c r="J4601" s="563">
        <v>-585</v>
      </c>
      <c r="K4601" s="582">
        <f t="shared" si="213"/>
        <v>493.34999999999991</v>
      </c>
      <c r="L4601" s="563">
        <f t="shared" si="214"/>
        <v>542.68499999999995</v>
      </c>
      <c r="M4601" s="563">
        <f t="shared" si="215"/>
        <v>1186.1849999999999</v>
      </c>
      <c r="N4601" s="580"/>
    </row>
    <row r="4602" spans="4:14" x14ac:dyDescent="0.25">
      <c r="D4602" s="559" t="s">
        <v>867</v>
      </c>
      <c r="E4602" s="558" t="s">
        <v>569</v>
      </c>
      <c r="F4602" s="559">
        <v>700934</v>
      </c>
      <c r="G4602" s="558" t="s">
        <v>565</v>
      </c>
      <c r="H4602" s="564">
        <v>40015</v>
      </c>
      <c r="I4602" s="563">
        <v>25.35</v>
      </c>
      <c r="J4602" s="563">
        <v>-25.35</v>
      </c>
      <c r="K4602" s="582">
        <f t="shared" si="213"/>
        <v>0</v>
      </c>
      <c r="L4602" s="563">
        <f t="shared" si="214"/>
        <v>0</v>
      </c>
      <c r="M4602" s="563">
        <f t="shared" si="215"/>
        <v>27.885000000000005</v>
      </c>
      <c r="N4602" s="580"/>
    </row>
    <row r="4603" spans="4:14" x14ac:dyDescent="0.25">
      <c r="D4603" s="559" t="s">
        <v>867</v>
      </c>
      <c r="E4603" s="558" t="s">
        <v>570</v>
      </c>
      <c r="F4603" s="559">
        <v>700935</v>
      </c>
      <c r="G4603" s="558" t="s">
        <v>571</v>
      </c>
      <c r="H4603" s="564">
        <v>40015</v>
      </c>
      <c r="I4603" s="563">
        <v>688.35</v>
      </c>
      <c r="J4603" s="563">
        <v>-585</v>
      </c>
      <c r="K4603" s="582">
        <f t="shared" si="213"/>
        <v>103.35000000000002</v>
      </c>
      <c r="L4603" s="563">
        <f t="shared" si="214"/>
        <v>113.68500000000003</v>
      </c>
      <c r="M4603" s="563">
        <f t="shared" si="215"/>
        <v>757.18500000000006</v>
      </c>
      <c r="N4603" s="580"/>
    </row>
    <row r="4604" spans="4:14" x14ac:dyDescent="0.25">
      <c r="D4604" s="559" t="s">
        <v>867</v>
      </c>
      <c r="E4604" s="558" t="s">
        <v>572</v>
      </c>
      <c r="F4604" s="559">
        <v>700936</v>
      </c>
      <c r="G4604" s="558" t="s">
        <v>571</v>
      </c>
      <c r="H4604" s="564">
        <v>40015</v>
      </c>
      <c r="I4604" s="563">
        <v>688.35</v>
      </c>
      <c r="J4604" s="563">
        <v>-585</v>
      </c>
      <c r="K4604" s="582">
        <f t="shared" si="213"/>
        <v>103.35000000000002</v>
      </c>
      <c r="L4604" s="563">
        <f t="shared" si="214"/>
        <v>113.68500000000003</v>
      </c>
      <c r="M4604" s="563">
        <f t="shared" si="215"/>
        <v>757.18500000000006</v>
      </c>
      <c r="N4604" s="580"/>
    </row>
    <row r="4605" spans="4:14" x14ac:dyDescent="0.25">
      <c r="D4605" s="559" t="s">
        <v>867</v>
      </c>
      <c r="E4605" s="558" t="s">
        <v>573</v>
      </c>
      <c r="F4605" s="559">
        <v>700937</v>
      </c>
      <c r="G4605" s="558" t="s">
        <v>571</v>
      </c>
      <c r="H4605" s="564">
        <v>40015</v>
      </c>
      <c r="I4605" s="563">
        <v>688.35</v>
      </c>
      <c r="J4605" s="563">
        <v>-585</v>
      </c>
      <c r="K4605" s="582">
        <f t="shared" si="213"/>
        <v>103.35000000000002</v>
      </c>
      <c r="L4605" s="563">
        <f t="shared" si="214"/>
        <v>113.68500000000003</v>
      </c>
      <c r="M4605" s="563">
        <f t="shared" si="215"/>
        <v>757.18500000000006</v>
      </c>
      <c r="N4605" s="580"/>
    </row>
    <row r="4606" spans="4:14" x14ac:dyDescent="0.25">
      <c r="D4606" s="559" t="s">
        <v>867</v>
      </c>
      <c r="E4606" s="558" t="s">
        <v>574</v>
      </c>
      <c r="F4606" s="559">
        <v>700939</v>
      </c>
      <c r="G4606" s="558" t="s">
        <v>571</v>
      </c>
      <c r="H4606" s="564">
        <v>40015</v>
      </c>
      <c r="I4606" s="563">
        <v>64.349999999999994</v>
      </c>
      <c r="J4606" s="563">
        <v>-64.349999999999994</v>
      </c>
      <c r="K4606" s="582">
        <f t="shared" si="213"/>
        <v>0</v>
      </c>
      <c r="L4606" s="563">
        <f t="shared" si="214"/>
        <v>0</v>
      </c>
      <c r="M4606" s="563">
        <f t="shared" si="215"/>
        <v>70.784999999999997</v>
      </c>
      <c r="N4606" s="580"/>
    </row>
    <row r="4607" spans="4:14" x14ac:dyDescent="0.25">
      <c r="D4607" s="559" t="s">
        <v>867</v>
      </c>
      <c r="E4607" s="558" t="s">
        <v>575</v>
      </c>
      <c r="F4607" s="559">
        <v>700940</v>
      </c>
      <c r="G4607" s="558" t="s">
        <v>571</v>
      </c>
      <c r="H4607" s="564">
        <v>40015</v>
      </c>
      <c r="I4607" s="563">
        <v>493.35</v>
      </c>
      <c r="J4607" s="563">
        <v>-493.35</v>
      </c>
      <c r="K4607" s="582">
        <f t="shared" si="213"/>
        <v>0</v>
      </c>
      <c r="L4607" s="563">
        <f t="shared" si="214"/>
        <v>0</v>
      </c>
      <c r="M4607" s="563">
        <f t="shared" si="215"/>
        <v>542.68500000000006</v>
      </c>
      <c r="N4607" s="580"/>
    </row>
    <row r="4608" spans="4:14" x14ac:dyDescent="0.25">
      <c r="D4608" s="559" t="s">
        <v>867</v>
      </c>
      <c r="E4608" s="558" t="s">
        <v>576</v>
      </c>
      <c r="F4608" s="559">
        <v>700941</v>
      </c>
      <c r="G4608" s="558" t="s">
        <v>577</v>
      </c>
      <c r="H4608" s="564">
        <v>40015</v>
      </c>
      <c r="I4608" s="563">
        <v>688.35</v>
      </c>
      <c r="J4608" s="563">
        <v>-585</v>
      </c>
      <c r="K4608" s="582">
        <f t="shared" si="213"/>
        <v>103.35000000000002</v>
      </c>
      <c r="L4608" s="563">
        <f t="shared" si="214"/>
        <v>113.68500000000003</v>
      </c>
      <c r="M4608" s="563">
        <f t="shared" si="215"/>
        <v>757.18500000000006</v>
      </c>
      <c r="N4608" s="580"/>
    </row>
    <row r="4609" spans="4:14" x14ac:dyDescent="0.25">
      <c r="D4609" s="559" t="s">
        <v>867</v>
      </c>
      <c r="E4609" s="558" t="s">
        <v>578</v>
      </c>
      <c r="F4609" s="559">
        <v>700943</v>
      </c>
      <c r="G4609" s="558" t="s">
        <v>577</v>
      </c>
      <c r="H4609" s="564">
        <v>40015</v>
      </c>
      <c r="I4609" s="563">
        <v>688.35</v>
      </c>
      <c r="J4609" s="563">
        <v>-585</v>
      </c>
      <c r="K4609" s="582">
        <f t="shared" si="213"/>
        <v>103.35000000000002</v>
      </c>
      <c r="L4609" s="563">
        <f t="shared" si="214"/>
        <v>113.68500000000003</v>
      </c>
      <c r="M4609" s="563">
        <f t="shared" si="215"/>
        <v>757.18500000000006</v>
      </c>
      <c r="N4609" s="580"/>
    </row>
    <row r="4610" spans="4:14" x14ac:dyDescent="0.25">
      <c r="D4610" s="559" t="s">
        <v>867</v>
      </c>
      <c r="E4610" s="558" t="s">
        <v>579</v>
      </c>
      <c r="F4610" s="559">
        <v>700945</v>
      </c>
      <c r="G4610" s="558" t="s">
        <v>577</v>
      </c>
      <c r="H4610" s="564">
        <v>40015</v>
      </c>
      <c r="I4610" s="563">
        <v>688.35</v>
      </c>
      <c r="J4610" s="563">
        <v>-585</v>
      </c>
      <c r="K4610" s="582">
        <f t="shared" si="213"/>
        <v>103.35000000000002</v>
      </c>
      <c r="L4610" s="563">
        <f t="shared" si="214"/>
        <v>113.68500000000003</v>
      </c>
      <c r="M4610" s="563">
        <f t="shared" si="215"/>
        <v>757.18500000000006</v>
      </c>
      <c r="N4610" s="580"/>
    </row>
    <row r="4611" spans="4:14" x14ac:dyDescent="0.25">
      <c r="D4611" s="559" t="s">
        <v>867</v>
      </c>
      <c r="E4611" s="558" t="s">
        <v>580</v>
      </c>
      <c r="F4611" s="559">
        <v>700947</v>
      </c>
      <c r="G4611" s="558" t="s">
        <v>577</v>
      </c>
      <c r="H4611" s="564">
        <v>40015</v>
      </c>
      <c r="I4611" s="563">
        <v>688.35</v>
      </c>
      <c r="J4611" s="563">
        <v>-585</v>
      </c>
      <c r="K4611" s="582">
        <f t="shared" si="213"/>
        <v>103.35000000000002</v>
      </c>
      <c r="L4611" s="563">
        <f t="shared" si="214"/>
        <v>113.68500000000003</v>
      </c>
      <c r="M4611" s="563">
        <f t="shared" si="215"/>
        <v>757.18500000000006</v>
      </c>
      <c r="N4611" s="580"/>
    </row>
    <row r="4612" spans="4:14" x14ac:dyDescent="0.25">
      <c r="D4612" s="559" t="s">
        <v>867</v>
      </c>
      <c r="E4612" s="558" t="s">
        <v>581</v>
      </c>
      <c r="F4612" s="559">
        <v>700948</v>
      </c>
      <c r="G4612" s="558" t="s">
        <v>577</v>
      </c>
      <c r="H4612" s="564">
        <v>40015</v>
      </c>
      <c r="I4612" s="563">
        <v>688.35</v>
      </c>
      <c r="J4612" s="563">
        <v>-585</v>
      </c>
      <c r="K4612" s="582">
        <f t="shared" si="213"/>
        <v>103.35000000000002</v>
      </c>
      <c r="L4612" s="563">
        <f t="shared" si="214"/>
        <v>113.68500000000003</v>
      </c>
      <c r="M4612" s="563">
        <f t="shared" si="215"/>
        <v>757.18500000000006</v>
      </c>
      <c r="N4612" s="580"/>
    </row>
    <row r="4613" spans="4:14" x14ac:dyDescent="0.25">
      <c r="D4613" s="559" t="s">
        <v>867</v>
      </c>
      <c r="E4613" s="558" t="s">
        <v>582</v>
      </c>
      <c r="F4613" s="559">
        <v>700950</v>
      </c>
      <c r="G4613" s="558" t="s">
        <v>583</v>
      </c>
      <c r="H4613" s="564">
        <v>40015</v>
      </c>
      <c r="I4613" s="563">
        <v>688.35</v>
      </c>
      <c r="J4613" s="563">
        <v>-585</v>
      </c>
      <c r="K4613" s="582">
        <f t="shared" si="213"/>
        <v>103.35000000000002</v>
      </c>
      <c r="L4613" s="563">
        <f t="shared" si="214"/>
        <v>113.68500000000003</v>
      </c>
      <c r="M4613" s="563">
        <f t="shared" si="215"/>
        <v>757.18500000000006</v>
      </c>
      <c r="N4613" s="580"/>
    </row>
    <row r="4614" spans="4:14" x14ac:dyDescent="0.25">
      <c r="D4614" s="559" t="s">
        <v>867</v>
      </c>
      <c r="E4614" s="558" t="s">
        <v>584</v>
      </c>
      <c r="F4614" s="559">
        <v>700955</v>
      </c>
      <c r="G4614" s="558" t="s">
        <v>583</v>
      </c>
      <c r="H4614" s="564">
        <v>40015</v>
      </c>
      <c r="I4614" s="563">
        <v>688.35</v>
      </c>
      <c r="J4614" s="563">
        <v>-585</v>
      </c>
      <c r="K4614" s="582">
        <f t="shared" si="213"/>
        <v>103.35000000000002</v>
      </c>
      <c r="L4614" s="563">
        <f t="shared" si="214"/>
        <v>113.68500000000003</v>
      </c>
      <c r="M4614" s="563">
        <f t="shared" si="215"/>
        <v>757.18500000000006</v>
      </c>
      <c r="N4614" s="580"/>
    </row>
    <row r="4615" spans="4:14" x14ac:dyDescent="0.25">
      <c r="D4615" s="559" t="s">
        <v>867</v>
      </c>
      <c r="E4615" s="558" t="s">
        <v>585</v>
      </c>
      <c r="F4615" s="559">
        <v>700956</v>
      </c>
      <c r="G4615" s="558" t="s">
        <v>583</v>
      </c>
      <c r="H4615" s="564">
        <v>40015</v>
      </c>
      <c r="I4615" s="563">
        <v>688.35</v>
      </c>
      <c r="J4615" s="563">
        <v>-585</v>
      </c>
      <c r="K4615" s="582">
        <f t="shared" si="213"/>
        <v>103.35000000000002</v>
      </c>
      <c r="L4615" s="563">
        <f t="shared" si="214"/>
        <v>113.68500000000003</v>
      </c>
      <c r="M4615" s="563">
        <f t="shared" si="215"/>
        <v>757.18500000000006</v>
      </c>
      <c r="N4615" s="580"/>
    </row>
    <row r="4616" spans="4:14" x14ac:dyDescent="0.25">
      <c r="D4616" s="559" t="s">
        <v>867</v>
      </c>
      <c r="E4616" s="558" t="s">
        <v>586</v>
      </c>
      <c r="F4616" s="559">
        <v>700957</v>
      </c>
      <c r="G4616" s="558" t="s">
        <v>583</v>
      </c>
      <c r="H4616" s="564">
        <v>40015</v>
      </c>
      <c r="I4616" s="563">
        <v>688.35</v>
      </c>
      <c r="J4616" s="563">
        <v>-585</v>
      </c>
      <c r="K4616" s="582">
        <f t="shared" si="213"/>
        <v>103.35000000000002</v>
      </c>
      <c r="L4616" s="563">
        <f t="shared" si="214"/>
        <v>113.68500000000003</v>
      </c>
      <c r="M4616" s="563">
        <f t="shared" si="215"/>
        <v>757.18500000000006</v>
      </c>
      <c r="N4616" s="580"/>
    </row>
    <row r="4617" spans="4:14" x14ac:dyDescent="0.25">
      <c r="D4617" s="559" t="s">
        <v>867</v>
      </c>
      <c r="E4617" s="558" t="s">
        <v>587</v>
      </c>
      <c r="F4617" s="559">
        <v>700959</v>
      </c>
      <c r="G4617" s="558" t="s">
        <v>583</v>
      </c>
      <c r="H4617" s="564">
        <v>40015</v>
      </c>
      <c r="I4617" s="563">
        <v>688.35</v>
      </c>
      <c r="J4617" s="563">
        <v>-585</v>
      </c>
      <c r="K4617" s="582">
        <f t="shared" si="213"/>
        <v>103.35000000000002</v>
      </c>
      <c r="L4617" s="563">
        <f t="shared" si="214"/>
        <v>113.68500000000003</v>
      </c>
      <c r="M4617" s="563">
        <f t="shared" si="215"/>
        <v>757.18500000000006</v>
      </c>
      <c r="N4617" s="580"/>
    </row>
    <row r="4618" spans="4:14" x14ac:dyDescent="0.25">
      <c r="D4618" s="559" t="s">
        <v>867</v>
      </c>
      <c r="E4618" s="558" t="s">
        <v>588</v>
      </c>
      <c r="F4618" s="559">
        <v>700960</v>
      </c>
      <c r="G4618" s="558" t="s">
        <v>589</v>
      </c>
      <c r="H4618" s="564">
        <v>40015</v>
      </c>
      <c r="I4618" s="563">
        <v>688.35</v>
      </c>
      <c r="J4618" s="563">
        <v>-585</v>
      </c>
      <c r="K4618" s="582">
        <f t="shared" si="213"/>
        <v>103.35000000000002</v>
      </c>
      <c r="L4618" s="563">
        <f t="shared" si="214"/>
        <v>113.68500000000003</v>
      </c>
      <c r="M4618" s="563">
        <f t="shared" si="215"/>
        <v>757.18500000000006</v>
      </c>
      <c r="N4618" s="580"/>
    </row>
    <row r="4619" spans="4:14" x14ac:dyDescent="0.25">
      <c r="D4619" s="559" t="s">
        <v>867</v>
      </c>
      <c r="E4619" s="558" t="s">
        <v>590</v>
      </c>
      <c r="F4619" s="559">
        <v>701711</v>
      </c>
      <c r="G4619" s="558" t="s">
        <v>589</v>
      </c>
      <c r="H4619" s="564">
        <v>40015</v>
      </c>
      <c r="I4619" s="563">
        <v>688.35</v>
      </c>
      <c r="J4619" s="563">
        <v>-585</v>
      </c>
      <c r="K4619" s="582">
        <f t="shared" si="213"/>
        <v>103.35000000000002</v>
      </c>
      <c r="L4619" s="563">
        <f t="shared" si="214"/>
        <v>113.68500000000003</v>
      </c>
      <c r="M4619" s="563">
        <f t="shared" si="215"/>
        <v>757.18500000000006</v>
      </c>
      <c r="N4619" s="580"/>
    </row>
    <row r="4620" spans="4:14" x14ac:dyDescent="0.25">
      <c r="D4620" s="559" t="s">
        <v>867</v>
      </c>
      <c r="E4620" s="558" t="s">
        <v>591</v>
      </c>
      <c r="F4620" s="559">
        <v>701465</v>
      </c>
      <c r="G4620" s="558" t="s">
        <v>589</v>
      </c>
      <c r="H4620" s="564">
        <v>40015</v>
      </c>
      <c r="I4620" s="563">
        <v>688.35</v>
      </c>
      <c r="J4620" s="563">
        <v>-585</v>
      </c>
      <c r="K4620" s="582">
        <f t="shared" si="213"/>
        <v>103.35000000000002</v>
      </c>
      <c r="L4620" s="563">
        <f t="shared" si="214"/>
        <v>113.68500000000003</v>
      </c>
      <c r="M4620" s="563">
        <f t="shared" si="215"/>
        <v>757.18500000000006</v>
      </c>
      <c r="N4620" s="580"/>
    </row>
    <row r="4621" spans="4:14" x14ac:dyDescent="0.25">
      <c r="D4621" s="559" t="s">
        <v>867</v>
      </c>
      <c r="E4621" s="558" t="s">
        <v>592</v>
      </c>
      <c r="F4621" s="559">
        <v>700962</v>
      </c>
      <c r="G4621" s="558" t="s">
        <v>589</v>
      </c>
      <c r="H4621" s="564">
        <v>40015</v>
      </c>
      <c r="I4621" s="563">
        <v>688.35</v>
      </c>
      <c r="J4621" s="563">
        <v>-585</v>
      </c>
      <c r="K4621" s="582">
        <f t="shared" si="213"/>
        <v>103.35000000000002</v>
      </c>
      <c r="L4621" s="563">
        <f t="shared" si="214"/>
        <v>113.68500000000003</v>
      </c>
      <c r="M4621" s="563">
        <f t="shared" si="215"/>
        <v>757.18500000000006</v>
      </c>
      <c r="N4621" s="580"/>
    </row>
    <row r="4622" spans="4:14" x14ac:dyDescent="0.25">
      <c r="D4622" s="559" t="s">
        <v>867</v>
      </c>
      <c r="E4622" s="558" t="s">
        <v>593</v>
      </c>
      <c r="F4622" s="559">
        <v>700963</v>
      </c>
      <c r="G4622" s="558" t="s">
        <v>589</v>
      </c>
      <c r="H4622" s="564">
        <v>40015</v>
      </c>
      <c r="I4622" s="563">
        <v>688.35</v>
      </c>
      <c r="J4622" s="563">
        <v>-585</v>
      </c>
      <c r="K4622" s="582">
        <f t="shared" si="213"/>
        <v>103.35000000000002</v>
      </c>
      <c r="L4622" s="563">
        <f t="shared" si="214"/>
        <v>113.68500000000003</v>
      </c>
      <c r="M4622" s="563">
        <f t="shared" si="215"/>
        <v>757.18500000000006</v>
      </c>
      <c r="N4622" s="580"/>
    </row>
    <row r="4623" spans="4:14" x14ac:dyDescent="0.25">
      <c r="D4623" s="559" t="s">
        <v>867</v>
      </c>
      <c r="E4623" s="558" t="s">
        <v>594</v>
      </c>
      <c r="F4623" s="559">
        <v>700964</v>
      </c>
      <c r="G4623" s="558" t="s">
        <v>595</v>
      </c>
      <c r="H4623" s="564">
        <v>40015</v>
      </c>
      <c r="I4623" s="563">
        <v>64.349999999999994</v>
      </c>
      <c r="J4623" s="563">
        <v>-64.349999999999994</v>
      </c>
      <c r="K4623" s="582">
        <f t="shared" si="213"/>
        <v>0</v>
      </c>
      <c r="L4623" s="563">
        <f t="shared" si="214"/>
        <v>0</v>
      </c>
      <c r="M4623" s="563">
        <f t="shared" si="215"/>
        <v>70.784999999999997</v>
      </c>
      <c r="N4623" s="580"/>
    </row>
    <row r="4624" spans="4:14" x14ac:dyDescent="0.25">
      <c r="D4624" s="559" t="s">
        <v>867</v>
      </c>
      <c r="E4624" s="558" t="s">
        <v>596</v>
      </c>
      <c r="F4624" s="559">
        <v>700965</v>
      </c>
      <c r="G4624" s="558" t="s">
        <v>595</v>
      </c>
      <c r="H4624" s="564">
        <v>40015</v>
      </c>
      <c r="I4624" s="563">
        <v>688.35</v>
      </c>
      <c r="J4624" s="563">
        <v>-585</v>
      </c>
      <c r="K4624" s="582">
        <f t="shared" si="213"/>
        <v>103.35000000000002</v>
      </c>
      <c r="L4624" s="563">
        <f t="shared" si="214"/>
        <v>113.68500000000003</v>
      </c>
      <c r="M4624" s="563">
        <f t="shared" si="215"/>
        <v>757.18500000000006</v>
      </c>
      <c r="N4624" s="580"/>
    </row>
    <row r="4625" spans="4:14" x14ac:dyDescent="0.25">
      <c r="D4625" s="559" t="s">
        <v>867</v>
      </c>
      <c r="E4625" s="558" t="s">
        <v>597</v>
      </c>
      <c r="F4625" s="559">
        <v>700966</v>
      </c>
      <c r="G4625" s="558" t="s">
        <v>595</v>
      </c>
      <c r="H4625" s="564">
        <v>40015</v>
      </c>
      <c r="I4625" s="563">
        <v>688.35</v>
      </c>
      <c r="J4625" s="563">
        <v>-585</v>
      </c>
      <c r="K4625" s="582">
        <f t="shared" si="213"/>
        <v>103.35000000000002</v>
      </c>
      <c r="L4625" s="563">
        <f t="shared" si="214"/>
        <v>113.68500000000003</v>
      </c>
      <c r="M4625" s="563">
        <f t="shared" si="215"/>
        <v>757.18500000000006</v>
      </c>
      <c r="N4625" s="580"/>
    </row>
    <row r="4626" spans="4:14" x14ac:dyDescent="0.25">
      <c r="D4626" s="559" t="s">
        <v>867</v>
      </c>
      <c r="E4626" s="558" t="s">
        <v>598</v>
      </c>
      <c r="F4626" s="559">
        <v>700967</v>
      </c>
      <c r="G4626" s="558" t="s">
        <v>595</v>
      </c>
      <c r="H4626" s="564">
        <v>40015</v>
      </c>
      <c r="I4626" s="563">
        <v>844.35</v>
      </c>
      <c r="J4626" s="563">
        <v>-585</v>
      </c>
      <c r="K4626" s="582">
        <f t="shared" si="213"/>
        <v>259.35000000000002</v>
      </c>
      <c r="L4626" s="563">
        <f t="shared" si="214"/>
        <v>285.28500000000003</v>
      </c>
      <c r="M4626" s="563">
        <f t="shared" si="215"/>
        <v>928.78500000000008</v>
      </c>
      <c r="N4626" s="580"/>
    </row>
    <row r="4627" spans="4:14" x14ac:dyDescent="0.25">
      <c r="D4627" s="559" t="s">
        <v>867</v>
      </c>
      <c r="E4627" s="558" t="s">
        <v>599</v>
      </c>
      <c r="F4627" s="559">
        <v>700969</v>
      </c>
      <c r="G4627" s="558" t="s">
        <v>595</v>
      </c>
      <c r="H4627" s="564">
        <v>40015</v>
      </c>
      <c r="I4627" s="563">
        <v>688.35</v>
      </c>
      <c r="J4627" s="563">
        <v>-585</v>
      </c>
      <c r="K4627" s="582">
        <f t="shared" si="213"/>
        <v>103.35000000000002</v>
      </c>
      <c r="L4627" s="563">
        <f t="shared" si="214"/>
        <v>113.68500000000003</v>
      </c>
      <c r="M4627" s="563">
        <f t="shared" si="215"/>
        <v>757.18500000000006</v>
      </c>
      <c r="N4627" s="580"/>
    </row>
    <row r="4628" spans="4:14" x14ac:dyDescent="0.25">
      <c r="D4628" s="559" t="s">
        <v>867</v>
      </c>
      <c r="E4628" s="558" t="s">
        <v>3593</v>
      </c>
      <c r="F4628" s="559">
        <v>700970</v>
      </c>
      <c r="G4628" s="558" t="s">
        <v>3594</v>
      </c>
      <c r="H4628" s="564">
        <v>40015</v>
      </c>
      <c r="I4628" s="563">
        <v>688.35</v>
      </c>
      <c r="J4628" s="563">
        <v>-585</v>
      </c>
      <c r="K4628" s="582">
        <f t="shared" si="213"/>
        <v>103.35000000000002</v>
      </c>
      <c r="L4628" s="563">
        <f t="shared" si="214"/>
        <v>113.68500000000003</v>
      </c>
      <c r="M4628" s="563">
        <f t="shared" si="215"/>
        <v>757.18500000000006</v>
      </c>
      <c r="N4628" s="580"/>
    </row>
    <row r="4629" spans="4:14" x14ac:dyDescent="0.25">
      <c r="D4629" s="559" t="s">
        <v>867</v>
      </c>
      <c r="E4629" s="558" t="s">
        <v>3595</v>
      </c>
      <c r="F4629" s="559">
        <v>700971</v>
      </c>
      <c r="G4629" s="558" t="s">
        <v>3594</v>
      </c>
      <c r="H4629" s="564">
        <v>40015</v>
      </c>
      <c r="I4629" s="563">
        <v>64.349999999999994</v>
      </c>
      <c r="J4629" s="563">
        <v>-64.349999999999994</v>
      </c>
      <c r="K4629" s="582">
        <f t="shared" si="213"/>
        <v>0</v>
      </c>
      <c r="L4629" s="563">
        <f t="shared" si="214"/>
        <v>0</v>
      </c>
      <c r="M4629" s="563">
        <f t="shared" si="215"/>
        <v>70.784999999999997</v>
      </c>
      <c r="N4629" s="580"/>
    </row>
    <row r="4630" spans="4:14" x14ac:dyDescent="0.25">
      <c r="D4630" s="559" t="s">
        <v>867</v>
      </c>
      <c r="E4630" s="558" t="s">
        <v>3596</v>
      </c>
      <c r="F4630" s="559">
        <v>700972</v>
      </c>
      <c r="G4630" s="558" t="s">
        <v>3594</v>
      </c>
      <c r="H4630" s="564">
        <v>40015</v>
      </c>
      <c r="I4630" s="563">
        <v>688.35</v>
      </c>
      <c r="J4630" s="563">
        <v>-585</v>
      </c>
      <c r="K4630" s="582">
        <f t="shared" si="213"/>
        <v>103.35000000000002</v>
      </c>
      <c r="L4630" s="563">
        <f t="shared" si="214"/>
        <v>113.68500000000003</v>
      </c>
      <c r="M4630" s="563">
        <f t="shared" si="215"/>
        <v>757.18500000000006</v>
      </c>
      <c r="N4630" s="580"/>
    </row>
    <row r="4631" spans="4:14" x14ac:dyDescent="0.25">
      <c r="D4631" s="559" t="s">
        <v>867</v>
      </c>
      <c r="E4631" s="558" t="s">
        <v>3597</v>
      </c>
      <c r="F4631" s="559">
        <v>700974</v>
      </c>
      <c r="G4631" s="558" t="s">
        <v>3594</v>
      </c>
      <c r="H4631" s="564">
        <v>40015</v>
      </c>
      <c r="I4631" s="563">
        <v>688.35</v>
      </c>
      <c r="J4631" s="563">
        <v>-585</v>
      </c>
      <c r="K4631" s="582">
        <f t="shared" si="213"/>
        <v>103.35000000000002</v>
      </c>
      <c r="L4631" s="563">
        <f t="shared" si="214"/>
        <v>113.68500000000003</v>
      </c>
      <c r="M4631" s="563">
        <f t="shared" si="215"/>
        <v>757.18500000000006</v>
      </c>
      <c r="N4631" s="580"/>
    </row>
    <row r="4632" spans="4:14" x14ac:dyDescent="0.25">
      <c r="D4632" s="559" t="s">
        <v>867</v>
      </c>
      <c r="E4632" s="558" t="s">
        <v>3598</v>
      </c>
      <c r="F4632" s="559">
        <v>701464</v>
      </c>
      <c r="G4632" s="558" t="s">
        <v>3594</v>
      </c>
      <c r="H4632" s="564">
        <v>40015</v>
      </c>
      <c r="I4632" s="563">
        <v>688.35</v>
      </c>
      <c r="J4632" s="563">
        <v>-585</v>
      </c>
      <c r="K4632" s="582">
        <f t="shared" si="213"/>
        <v>103.35000000000002</v>
      </c>
      <c r="L4632" s="563">
        <f t="shared" si="214"/>
        <v>113.68500000000003</v>
      </c>
      <c r="M4632" s="563">
        <f t="shared" si="215"/>
        <v>757.18500000000006</v>
      </c>
      <c r="N4632" s="580"/>
    </row>
    <row r="4633" spans="4:14" x14ac:dyDescent="0.25">
      <c r="D4633" s="559" t="s">
        <v>867</v>
      </c>
      <c r="E4633" s="558" t="s">
        <v>3599</v>
      </c>
      <c r="F4633" s="559">
        <v>700975</v>
      </c>
      <c r="G4633" s="558" t="s">
        <v>3600</v>
      </c>
      <c r="H4633" s="564">
        <v>40015</v>
      </c>
      <c r="I4633" s="563">
        <v>688.35</v>
      </c>
      <c r="J4633" s="563">
        <v>-585</v>
      </c>
      <c r="K4633" s="582">
        <f t="shared" si="213"/>
        <v>103.35000000000002</v>
      </c>
      <c r="L4633" s="563">
        <f t="shared" si="214"/>
        <v>113.68500000000003</v>
      </c>
      <c r="M4633" s="563">
        <f t="shared" si="215"/>
        <v>757.18500000000006</v>
      </c>
      <c r="N4633" s="580"/>
    </row>
    <row r="4634" spans="4:14" x14ac:dyDescent="0.25">
      <c r="D4634" s="559" t="s">
        <v>867</v>
      </c>
      <c r="E4634" s="558" t="s">
        <v>3601</v>
      </c>
      <c r="F4634" s="559">
        <v>700976</v>
      </c>
      <c r="G4634" s="558" t="s">
        <v>3600</v>
      </c>
      <c r="H4634" s="564">
        <v>40015</v>
      </c>
      <c r="I4634" s="563">
        <v>688.35</v>
      </c>
      <c r="J4634" s="563">
        <v>-585</v>
      </c>
      <c r="K4634" s="582">
        <f t="shared" si="213"/>
        <v>103.35000000000002</v>
      </c>
      <c r="L4634" s="563">
        <f t="shared" si="214"/>
        <v>113.68500000000003</v>
      </c>
      <c r="M4634" s="563">
        <f t="shared" si="215"/>
        <v>757.18500000000006</v>
      </c>
      <c r="N4634" s="580"/>
    </row>
    <row r="4635" spans="4:14" x14ac:dyDescent="0.25">
      <c r="D4635" s="559" t="s">
        <v>867</v>
      </c>
      <c r="E4635" s="558" t="s">
        <v>3602</v>
      </c>
      <c r="F4635" s="559">
        <v>700977</v>
      </c>
      <c r="G4635" s="558" t="s">
        <v>3600</v>
      </c>
      <c r="H4635" s="564">
        <v>40015</v>
      </c>
      <c r="I4635" s="563">
        <v>688.35</v>
      </c>
      <c r="J4635" s="563">
        <v>-585</v>
      </c>
      <c r="K4635" s="582">
        <f t="shared" si="213"/>
        <v>103.35000000000002</v>
      </c>
      <c r="L4635" s="563">
        <f t="shared" si="214"/>
        <v>113.68500000000003</v>
      </c>
      <c r="M4635" s="563">
        <f t="shared" si="215"/>
        <v>757.18500000000006</v>
      </c>
      <c r="N4635" s="580"/>
    </row>
    <row r="4636" spans="4:14" x14ac:dyDescent="0.25">
      <c r="D4636" s="559" t="s">
        <v>867</v>
      </c>
      <c r="E4636" s="558" t="s">
        <v>3603</v>
      </c>
      <c r="F4636" s="559">
        <v>700978</v>
      </c>
      <c r="G4636" s="558" t="s">
        <v>3600</v>
      </c>
      <c r="H4636" s="564">
        <v>40015</v>
      </c>
      <c r="I4636" s="563">
        <v>688.35</v>
      </c>
      <c r="J4636" s="563">
        <v>-585</v>
      </c>
      <c r="K4636" s="582">
        <f t="shared" si="213"/>
        <v>103.35000000000002</v>
      </c>
      <c r="L4636" s="563">
        <f t="shared" si="214"/>
        <v>113.68500000000003</v>
      </c>
      <c r="M4636" s="563">
        <f t="shared" si="215"/>
        <v>757.18500000000006</v>
      </c>
      <c r="N4636" s="580"/>
    </row>
    <row r="4637" spans="4:14" x14ac:dyDescent="0.25">
      <c r="D4637" s="559" t="s">
        <v>867</v>
      </c>
      <c r="E4637" s="558" t="s">
        <v>3604</v>
      </c>
      <c r="F4637" s="559">
        <v>700979</v>
      </c>
      <c r="G4637" s="558" t="s">
        <v>3600</v>
      </c>
      <c r="H4637" s="564">
        <v>40015</v>
      </c>
      <c r="I4637" s="563">
        <v>688.35</v>
      </c>
      <c r="J4637" s="563">
        <v>-585</v>
      </c>
      <c r="K4637" s="582">
        <f t="shared" si="213"/>
        <v>103.35000000000002</v>
      </c>
      <c r="L4637" s="563">
        <f t="shared" si="214"/>
        <v>113.68500000000003</v>
      </c>
      <c r="M4637" s="563">
        <f t="shared" si="215"/>
        <v>757.18500000000006</v>
      </c>
      <c r="N4637" s="580"/>
    </row>
    <row r="4638" spans="4:14" x14ac:dyDescent="0.25">
      <c r="D4638" s="559" t="s">
        <v>867</v>
      </c>
      <c r="E4638" s="558" t="s">
        <v>3605</v>
      </c>
      <c r="F4638" s="559">
        <v>700980</v>
      </c>
      <c r="G4638" s="558" t="s">
        <v>3606</v>
      </c>
      <c r="H4638" s="564">
        <v>40015</v>
      </c>
      <c r="I4638" s="563">
        <v>688.35</v>
      </c>
      <c r="J4638" s="563">
        <v>-585</v>
      </c>
      <c r="K4638" s="582">
        <f t="shared" si="213"/>
        <v>103.35000000000002</v>
      </c>
      <c r="L4638" s="563">
        <f t="shared" si="214"/>
        <v>113.68500000000003</v>
      </c>
      <c r="M4638" s="563">
        <f t="shared" si="215"/>
        <v>757.18500000000006</v>
      </c>
      <c r="N4638" s="580"/>
    </row>
    <row r="4639" spans="4:14" x14ac:dyDescent="0.25">
      <c r="D4639" s="559" t="s">
        <v>867</v>
      </c>
      <c r="E4639" s="558" t="s">
        <v>3607</v>
      </c>
      <c r="F4639" s="559">
        <v>700998</v>
      </c>
      <c r="G4639" s="558" t="s">
        <v>3606</v>
      </c>
      <c r="H4639" s="564">
        <v>40015</v>
      </c>
      <c r="I4639" s="563">
        <v>64.349999999999994</v>
      </c>
      <c r="J4639" s="563">
        <v>-64.349999999999994</v>
      </c>
      <c r="K4639" s="582">
        <f t="shared" si="213"/>
        <v>0</v>
      </c>
      <c r="L4639" s="563">
        <f t="shared" si="214"/>
        <v>0</v>
      </c>
      <c r="M4639" s="563">
        <f t="shared" si="215"/>
        <v>70.784999999999997</v>
      </c>
      <c r="N4639" s="580"/>
    </row>
    <row r="4640" spans="4:14" x14ac:dyDescent="0.25">
      <c r="D4640" s="559" t="s">
        <v>867</v>
      </c>
      <c r="E4640" s="558" t="s">
        <v>3608</v>
      </c>
      <c r="F4640" s="559">
        <v>701390</v>
      </c>
      <c r="G4640" s="558" t="s">
        <v>3606</v>
      </c>
      <c r="H4640" s="564">
        <v>40015</v>
      </c>
      <c r="I4640" s="563">
        <v>181.35</v>
      </c>
      <c r="J4640" s="563">
        <v>-181.35</v>
      </c>
      <c r="K4640" s="582">
        <f t="shared" si="213"/>
        <v>0</v>
      </c>
      <c r="L4640" s="563">
        <f t="shared" si="214"/>
        <v>0</v>
      </c>
      <c r="M4640" s="563">
        <f t="shared" si="215"/>
        <v>199.48500000000001</v>
      </c>
      <c r="N4640" s="580"/>
    </row>
    <row r="4641" spans="4:14" x14ac:dyDescent="0.25">
      <c r="D4641" s="559" t="s">
        <v>867</v>
      </c>
      <c r="E4641" s="558" t="s">
        <v>3609</v>
      </c>
      <c r="F4641" s="559">
        <v>701467</v>
      </c>
      <c r="G4641" s="558" t="s">
        <v>3606</v>
      </c>
      <c r="H4641" s="564">
        <v>40015</v>
      </c>
      <c r="I4641" s="563">
        <v>688.35</v>
      </c>
      <c r="J4641" s="563">
        <v>-585</v>
      </c>
      <c r="K4641" s="582">
        <f t="shared" si="213"/>
        <v>103.35000000000002</v>
      </c>
      <c r="L4641" s="563">
        <f t="shared" si="214"/>
        <v>113.68500000000003</v>
      </c>
      <c r="M4641" s="563">
        <f t="shared" si="215"/>
        <v>757.18500000000006</v>
      </c>
      <c r="N4641" s="580"/>
    </row>
    <row r="4642" spans="4:14" x14ac:dyDescent="0.25">
      <c r="D4642" s="559" t="s">
        <v>867</v>
      </c>
      <c r="E4642" s="558" t="s">
        <v>3610</v>
      </c>
      <c r="F4642" s="559">
        <v>700983</v>
      </c>
      <c r="G4642" s="558" t="s">
        <v>3606</v>
      </c>
      <c r="H4642" s="564">
        <v>40015</v>
      </c>
      <c r="I4642" s="563">
        <v>688.35</v>
      </c>
      <c r="J4642" s="563">
        <v>-585</v>
      </c>
      <c r="K4642" s="582">
        <f t="shared" si="213"/>
        <v>103.35000000000002</v>
      </c>
      <c r="L4642" s="563">
        <f t="shared" si="214"/>
        <v>113.68500000000003</v>
      </c>
      <c r="M4642" s="563">
        <f t="shared" si="215"/>
        <v>757.18500000000006</v>
      </c>
      <c r="N4642" s="580"/>
    </row>
    <row r="4643" spans="4:14" x14ac:dyDescent="0.25">
      <c r="D4643" s="559" t="s">
        <v>867</v>
      </c>
      <c r="E4643" s="558" t="s">
        <v>3611</v>
      </c>
      <c r="F4643" s="559">
        <v>700984</v>
      </c>
      <c r="G4643" s="558" t="s">
        <v>3612</v>
      </c>
      <c r="H4643" s="564">
        <v>40015</v>
      </c>
      <c r="I4643" s="563">
        <v>688.35</v>
      </c>
      <c r="J4643" s="563">
        <v>-585</v>
      </c>
      <c r="K4643" s="582">
        <f t="shared" si="213"/>
        <v>103.35000000000002</v>
      </c>
      <c r="L4643" s="563">
        <f t="shared" si="214"/>
        <v>113.68500000000003</v>
      </c>
      <c r="M4643" s="563">
        <f t="shared" si="215"/>
        <v>757.18500000000006</v>
      </c>
      <c r="N4643" s="580"/>
    </row>
    <row r="4644" spans="4:14" x14ac:dyDescent="0.25">
      <c r="D4644" s="559" t="s">
        <v>867</v>
      </c>
      <c r="E4644" s="558" t="s">
        <v>3613</v>
      </c>
      <c r="F4644" s="559">
        <v>700985</v>
      </c>
      <c r="G4644" s="558" t="s">
        <v>3612</v>
      </c>
      <c r="H4644" s="564">
        <v>40015</v>
      </c>
      <c r="I4644" s="563">
        <v>688.35</v>
      </c>
      <c r="J4644" s="563">
        <v>-585</v>
      </c>
      <c r="K4644" s="582">
        <f t="shared" si="213"/>
        <v>103.35000000000002</v>
      </c>
      <c r="L4644" s="563">
        <f t="shared" si="214"/>
        <v>113.68500000000003</v>
      </c>
      <c r="M4644" s="563">
        <f t="shared" si="215"/>
        <v>757.18500000000006</v>
      </c>
      <c r="N4644" s="580"/>
    </row>
    <row r="4645" spans="4:14" x14ac:dyDescent="0.25">
      <c r="D4645" s="559" t="s">
        <v>867</v>
      </c>
      <c r="E4645" s="558" t="s">
        <v>3614</v>
      </c>
      <c r="F4645" s="559">
        <v>701468</v>
      </c>
      <c r="G4645" s="558" t="s">
        <v>3612</v>
      </c>
      <c r="H4645" s="564">
        <v>40015</v>
      </c>
      <c r="I4645" s="563">
        <v>688.35</v>
      </c>
      <c r="J4645" s="563">
        <v>-585</v>
      </c>
      <c r="K4645" s="582">
        <f t="shared" si="213"/>
        <v>103.35000000000002</v>
      </c>
      <c r="L4645" s="563">
        <f t="shared" si="214"/>
        <v>113.68500000000003</v>
      </c>
      <c r="M4645" s="563">
        <f t="shared" si="215"/>
        <v>757.18500000000006</v>
      </c>
      <c r="N4645" s="580"/>
    </row>
    <row r="4646" spans="4:14" x14ac:dyDescent="0.25">
      <c r="D4646" s="559" t="s">
        <v>867</v>
      </c>
      <c r="E4646" s="558" t="s">
        <v>3615</v>
      </c>
      <c r="F4646" s="559">
        <v>701469</v>
      </c>
      <c r="G4646" s="558" t="s">
        <v>3612</v>
      </c>
      <c r="H4646" s="564">
        <v>40015</v>
      </c>
      <c r="I4646" s="563">
        <v>688.35</v>
      </c>
      <c r="J4646" s="563">
        <v>-585</v>
      </c>
      <c r="K4646" s="582">
        <f t="shared" si="213"/>
        <v>103.35000000000002</v>
      </c>
      <c r="L4646" s="563">
        <f t="shared" si="214"/>
        <v>113.68500000000003</v>
      </c>
      <c r="M4646" s="563">
        <f t="shared" si="215"/>
        <v>757.18500000000006</v>
      </c>
      <c r="N4646" s="580"/>
    </row>
    <row r="4647" spans="4:14" x14ac:dyDescent="0.25">
      <c r="D4647" s="559" t="s">
        <v>867</v>
      </c>
      <c r="E4647" s="558" t="s">
        <v>3616</v>
      </c>
      <c r="F4647" s="559">
        <v>700987</v>
      </c>
      <c r="G4647" s="558" t="s">
        <v>3612</v>
      </c>
      <c r="H4647" s="564">
        <v>40015</v>
      </c>
      <c r="I4647" s="563">
        <v>688.35</v>
      </c>
      <c r="J4647" s="563">
        <v>-585</v>
      </c>
      <c r="K4647" s="582">
        <f t="shared" si="213"/>
        <v>103.35000000000002</v>
      </c>
      <c r="L4647" s="563">
        <f t="shared" si="214"/>
        <v>113.68500000000003</v>
      </c>
      <c r="M4647" s="563">
        <f t="shared" si="215"/>
        <v>757.18500000000006</v>
      </c>
      <c r="N4647" s="580"/>
    </row>
    <row r="4648" spans="4:14" x14ac:dyDescent="0.25">
      <c r="D4648" s="559" t="s">
        <v>867</v>
      </c>
      <c r="E4648" s="558" t="s">
        <v>3617</v>
      </c>
      <c r="F4648" s="559">
        <v>700988</v>
      </c>
      <c r="G4648" s="558" t="s">
        <v>3618</v>
      </c>
      <c r="H4648" s="564">
        <v>40015</v>
      </c>
      <c r="I4648" s="563">
        <v>688.35</v>
      </c>
      <c r="J4648" s="563">
        <v>-585</v>
      </c>
      <c r="K4648" s="582">
        <f t="shared" si="213"/>
        <v>103.35000000000002</v>
      </c>
      <c r="L4648" s="563">
        <f t="shared" si="214"/>
        <v>113.68500000000003</v>
      </c>
      <c r="M4648" s="563">
        <f t="shared" si="215"/>
        <v>757.18500000000006</v>
      </c>
      <c r="N4648" s="580"/>
    </row>
    <row r="4649" spans="4:14" x14ac:dyDescent="0.25">
      <c r="D4649" s="559" t="s">
        <v>867</v>
      </c>
      <c r="E4649" s="558" t="s">
        <v>3619</v>
      </c>
      <c r="F4649" s="559">
        <v>700989</v>
      </c>
      <c r="G4649" s="558" t="s">
        <v>3618</v>
      </c>
      <c r="H4649" s="564">
        <v>40015</v>
      </c>
      <c r="I4649" s="563">
        <v>688.35</v>
      </c>
      <c r="J4649" s="563">
        <v>-585</v>
      </c>
      <c r="K4649" s="582">
        <f t="shared" ref="K4649:K4712" si="216">+I4649+J4649</f>
        <v>103.35000000000002</v>
      </c>
      <c r="L4649" s="563">
        <f t="shared" ref="L4649:L4712" si="217">+K4649*1.1</f>
        <v>113.68500000000003</v>
      </c>
      <c r="M4649" s="563">
        <f t="shared" ref="M4649:M4712" si="218">+I4649*1.1</f>
        <v>757.18500000000006</v>
      </c>
      <c r="N4649" s="580"/>
    </row>
    <row r="4650" spans="4:14" x14ac:dyDescent="0.25">
      <c r="D4650" s="559" t="s">
        <v>867</v>
      </c>
      <c r="E4650" s="558" t="s">
        <v>3620</v>
      </c>
      <c r="F4650" s="559">
        <v>700991</v>
      </c>
      <c r="G4650" s="558" t="s">
        <v>3618</v>
      </c>
      <c r="H4650" s="564">
        <v>40015</v>
      </c>
      <c r="I4650" s="563">
        <v>688.35</v>
      </c>
      <c r="J4650" s="563">
        <v>-585</v>
      </c>
      <c r="K4650" s="582">
        <f t="shared" si="216"/>
        <v>103.35000000000002</v>
      </c>
      <c r="L4650" s="563">
        <f t="shared" si="217"/>
        <v>113.68500000000003</v>
      </c>
      <c r="M4650" s="563">
        <f t="shared" si="218"/>
        <v>757.18500000000006</v>
      </c>
      <c r="N4650" s="580"/>
    </row>
    <row r="4651" spans="4:14" x14ac:dyDescent="0.25">
      <c r="D4651" s="559" t="s">
        <v>867</v>
      </c>
      <c r="E4651" s="558" t="s">
        <v>3621</v>
      </c>
      <c r="F4651" s="559">
        <v>700992</v>
      </c>
      <c r="G4651" s="558" t="s">
        <v>3618</v>
      </c>
      <c r="H4651" s="564">
        <v>40015</v>
      </c>
      <c r="I4651" s="563">
        <v>688.35</v>
      </c>
      <c r="J4651" s="563">
        <v>-585</v>
      </c>
      <c r="K4651" s="582">
        <f t="shared" si="216"/>
        <v>103.35000000000002</v>
      </c>
      <c r="L4651" s="563">
        <f t="shared" si="217"/>
        <v>113.68500000000003</v>
      </c>
      <c r="M4651" s="563">
        <f t="shared" si="218"/>
        <v>757.18500000000006</v>
      </c>
      <c r="N4651" s="580"/>
    </row>
    <row r="4652" spans="4:14" x14ac:dyDescent="0.25">
      <c r="D4652" s="559" t="s">
        <v>867</v>
      </c>
      <c r="E4652" s="558" t="s">
        <v>3622</v>
      </c>
      <c r="F4652" s="559">
        <v>701470</v>
      </c>
      <c r="G4652" s="558" t="s">
        <v>3618</v>
      </c>
      <c r="H4652" s="564">
        <v>40015</v>
      </c>
      <c r="I4652" s="563">
        <v>688.35</v>
      </c>
      <c r="J4652" s="563">
        <v>-585</v>
      </c>
      <c r="K4652" s="582">
        <f t="shared" si="216"/>
        <v>103.35000000000002</v>
      </c>
      <c r="L4652" s="563">
        <f t="shared" si="217"/>
        <v>113.68500000000003</v>
      </c>
      <c r="M4652" s="563">
        <f t="shared" si="218"/>
        <v>757.18500000000006</v>
      </c>
      <c r="N4652" s="580"/>
    </row>
    <row r="4653" spans="4:14" x14ac:dyDescent="0.25">
      <c r="D4653" s="559" t="s">
        <v>867</v>
      </c>
      <c r="E4653" s="558" t="s">
        <v>3623</v>
      </c>
      <c r="F4653" s="559">
        <v>700995</v>
      </c>
      <c r="G4653" s="558" t="s">
        <v>3624</v>
      </c>
      <c r="H4653" s="564">
        <v>40015</v>
      </c>
      <c r="I4653" s="563">
        <v>688.35</v>
      </c>
      <c r="J4653" s="563">
        <v>-585</v>
      </c>
      <c r="K4653" s="582">
        <f t="shared" si="216"/>
        <v>103.35000000000002</v>
      </c>
      <c r="L4653" s="563">
        <f t="shared" si="217"/>
        <v>113.68500000000003</v>
      </c>
      <c r="M4653" s="563">
        <f t="shared" si="218"/>
        <v>757.18500000000006</v>
      </c>
      <c r="N4653" s="580"/>
    </row>
    <row r="4654" spans="4:14" x14ac:dyDescent="0.25">
      <c r="D4654" s="559" t="s">
        <v>867</v>
      </c>
      <c r="E4654" s="558" t="s">
        <v>3625</v>
      </c>
      <c r="F4654" s="559">
        <v>700996</v>
      </c>
      <c r="G4654" s="558" t="s">
        <v>3624</v>
      </c>
      <c r="H4654" s="564">
        <v>40015</v>
      </c>
      <c r="I4654" s="563">
        <v>688.35</v>
      </c>
      <c r="J4654" s="563">
        <v>-585</v>
      </c>
      <c r="K4654" s="582">
        <f t="shared" si="216"/>
        <v>103.35000000000002</v>
      </c>
      <c r="L4654" s="563">
        <f t="shared" si="217"/>
        <v>113.68500000000003</v>
      </c>
      <c r="M4654" s="563">
        <f t="shared" si="218"/>
        <v>757.18500000000006</v>
      </c>
      <c r="N4654" s="580"/>
    </row>
    <row r="4655" spans="4:14" x14ac:dyDescent="0.25">
      <c r="D4655" s="559" t="s">
        <v>867</v>
      </c>
      <c r="E4655" s="558" t="s">
        <v>3626</v>
      </c>
      <c r="F4655" s="559">
        <v>700997</v>
      </c>
      <c r="G4655" s="558" t="s">
        <v>3624</v>
      </c>
      <c r="H4655" s="564">
        <v>40015</v>
      </c>
      <c r="I4655" s="563">
        <v>688.35</v>
      </c>
      <c r="J4655" s="563">
        <v>-585</v>
      </c>
      <c r="K4655" s="582">
        <f t="shared" si="216"/>
        <v>103.35000000000002</v>
      </c>
      <c r="L4655" s="563">
        <f t="shared" si="217"/>
        <v>113.68500000000003</v>
      </c>
      <c r="M4655" s="563">
        <f t="shared" si="218"/>
        <v>757.18500000000006</v>
      </c>
      <c r="N4655" s="580"/>
    </row>
    <row r="4656" spans="4:14" x14ac:dyDescent="0.25">
      <c r="D4656" s="559" t="s">
        <v>867</v>
      </c>
      <c r="E4656" s="558" t="s">
        <v>3627</v>
      </c>
      <c r="F4656" s="559">
        <v>700998</v>
      </c>
      <c r="G4656" s="558" t="s">
        <v>3624</v>
      </c>
      <c r="H4656" s="564">
        <v>40015</v>
      </c>
      <c r="I4656" s="563">
        <v>688.35</v>
      </c>
      <c r="J4656" s="563">
        <v>-585</v>
      </c>
      <c r="K4656" s="582">
        <f t="shared" si="216"/>
        <v>103.35000000000002</v>
      </c>
      <c r="L4656" s="563">
        <f t="shared" si="217"/>
        <v>113.68500000000003</v>
      </c>
      <c r="M4656" s="563">
        <f t="shared" si="218"/>
        <v>757.18500000000006</v>
      </c>
      <c r="N4656" s="580"/>
    </row>
    <row r="4657" spans="4:14" x14ac:dyDescent="0.25">
      <c r="D4657" s="559" t="s">
        <v>867</v>
      </c>
      <c r="E4657" s="558" t="s">
        <v>3628</v>
      </c>
      <c r="F4657" s="559">
        <v>700999</v>
      </c>
      <c r="G4657" s="558" t="s">
        <v>3624</v>
      </c>
      <c r="H4657" s="564">
        <v>40015</v>
      </c>
      <c r="I4657" s="563">
        <v>688.35</v>
      </c>
      <c r="J4657" s="563">
        <v>-585</v>
      </c>
      <c r="K4657" s="582">
        <f t="shared" si="216"/>
        <v>103.35000000000002</v>
      </c>
      <c r="L4657" s="563">
        <f t="shared" si="217"/>
        <v>113.68500000000003</v>
      </c>
      <c r="M4657" s="563">
        <f t="shared" si="218"/>
        <v>757.18500000000006</v>
      </c>
      <c r="N4657" s="580"/>
    </row>
    <row r="4658" spans="4:14" x14ac:dyDescent="0.25">
      <c r="D4658" s="559" t="s">
        <v>867</v>
      </c>
      <c r="E4658" s="558" t="s">
        <v>3629</v>
      </c>
      <c r="F4658" s="559">
        <v>701393</v>
      </c>
      <c r="G4658" s="558" t="s">
        <v>3630</v>
      </c>
      <c r="H4658" s="564">
        <v>40015</v>
      </c>
      <c r="I4658" s="563">
        <v>688.35</v>
      </c>
      <c r="J4658" s="563">
        <v>-585</v>
      </c>
      <c r="K4658" s="582">
        <f t="shared" si="216"/>
        <v>103.35000000000002</v>
      </c>
      <c r="L4658" s="563">
        <f t="shared" si="217"/>
        <v>113.68500000000003</v>
      </c>
      <c r="M4658" s="563">
        <f t="shared" si="218"/>
        <v>757.18500000000006</v>
      </c>
      <c r="N4658" s="580"/>
    </row>
    <row r="4659" spans="4:14" x14ac:dyDescent="0.25">
      <c r="D4659" s="559" t="s">
        <v>867</v>
      </c>
      <c r="E4659" s="558" t="s">
        <v>3631</v>
      </c>
      <c r="F4659" s="559">
        <v>701003</v>
      </c>
      <c r="G4659" s="558" t="s">
        <v>3630</v>
      </c>
      <c r="H4659" s="564">
        <v>40015</v>
      </c>
      <c r="I4659" s="563">
        <v>688.35</v>
      </c>
      <c r="J4659" s="563">
        <v>-585</v>
      </c>
      <c r="K4659" s="582">
        <f t="shared" si="216"/>
        <v>103.35000000000002</v>
      </c>
      <c r="L4659" s="563">
        <f t="shared" si="217"/>
        <v>113.68500000000003</v>
      </c>
      <c r="M4659" s="563">
        <f t="shared" si="218"/>
        <v>757.18500000000006</v>
      </c>
      <c r="N4659" s="580"/>
    </row>
    <row r="4660" spans="4:14" x14ac:dyDescent="0.25">
      <c r="D4660" s="559" t="s">
        <v>867</v>
      </c>
      <c r="E4660" s="558" t="s">
        <v>3632</v>
      </c>
      <c r="F4660" s="559">
        <v>701004</v>
      </c>
      <c r="G4660" s="558" t="s">
        <v>3630</v>
      </c>
      <c r="H4660" s="564">
        <v>40015</v>
      </c>
      <c r="I4660" s="563">
        <v>688.35</v>
      </c>
      <c r="J4660" s="563">
        <v>-585</v>
      </c>
      <c r="K4660" s="582">
        <f t="shared" si="216"/>
        <v>103.35000000000002</v>
      </c>
      <c r="L4660" s="563">
        <f t="shared" si="217"/>
        <v>113.68500000000003</v>
      </c>
      <c r="M4660" s="563">
        <f t="shared" si="218"/>
        <v>757.18500000000006</v>
      </c>
      <c r="N4660" s="580"/>
    </row>
    <row r="4661" spans="4:14" x14ac:dyDescent="0.25">
      <c r="D4661" s="559" t="s">
        <v>867</v>
      </c>
      <c r="E4661" s="558" t="s">
        <v>3633</v>
      </c>
      <c r="F4661" s="559">
        <v>702129</v>
      </c>
      <c r="G4661" s="558" t="s">
        <v>3630</v>
      </c>
      <c r="H4661" s="564">
        <v>40015</v>
      </c>
      <c r="I4661" s="563">
        <v>688.35</v>
      </c>
      <c r="J4661" s="563">
        <v>-585</v>
      </c>
      <c r="K4661" s="582">
        <f t="shared" si="216"/>
        <v>103.35000000000002</v>
      </c>
      <c r="L4661" s="563">
        <f t="shared" si="217"/>
        <v>113.68500000000003</v>
      </c>
      <c r="M4661" s="563">
        <f t="shared" si="218"/>
        <v>757.18500000000006</v>
      </c>
      <c r="N4661" s="580"/>
    </row>
    <row r="4662" spans="4:14" x14ac:dyDescent="0.25">
      <c r="D4662" s="559" t="s">
        <v>867</v>
      </c>
      <c r="E4662" s="558" t="s">
        <v>3634</v>
      </c>
      <c r="F4662" s="559">
        <v>701006</v>
      </c>
      <c r="G4662" s="558" t="s">
        <v>3630</v>
      </c>
      <c r="H4662" s="564">
        <v>40015</v>
      </c>
      <c r="I4662" s="563">
        <v>688.35</v>
      </c>
      <c r="J4662" s="563">
        <v>-585</v>
      </c>
      <c r="K4662" s="582">
        <f t="shared" si="216"/>
        <v>103.35000000000002</v>
      </c>
      <c r="L4662" s="563">
        <f t="shared" si="217"/>
        <v>113.68500000000003</v>
      </c>
      <c r="M4662" s="563">
        <f t="shared" si="218"/>
        <v>757.18500000000006</v>
      </c>
      <c r="N4662" s="580"/>
    </row>
    <row r="4663" spans="4:14" x14ac:dyDescent="0.25">
      <c r="D4663" s="559" t="s">
        <v>867</v>
      </c>
      <c r="E4663" s="558" t="s">
        <v>3635</v>
      </c>
      <c r="F4663" s="559">
        <v>701007</v>
      </c>
      <c r="G4663" s="558" t="s">
        <v>3636</v>
      </c>
      <c r="H4663" s="564">
        <v>40015</v>
      </c>
      <c r="I4663" s="563">
        <v>688.35</v>
      </c>
      <c r="J4663" s="563">
        <v>-585</v>
      </c>
      <c r="K4663" s="582">
        <f t="shared" si="216"/>
        <v>103.35000000000002</v>
      </c>
      <c r="L4663" s="563">
        <f t="shared" si="217"/>
        <v>113.68500000000003</v>
      </c>
      <c r="M4663" s="563">
        <f t="shared" si="218"/>
        <v>757.18500000000006</v>
      </c>
      <c r="N4663" s="580"/>
    </row>
    <row r="4664" spans="4:14" x14ac:dyDescent="0.25">
      <c r="D4664" s="559" t="s">
        <v>867</v>
      </c>
      <c r="E4664" s="558" t="s">
        <v>3637</v>
      </c>
      <c r="F4664" s="559">
        <v>701009</v>
      </c>
      <c r="G4664" s="558" t="s">
        <v>3636</v>
      </c>
      <c r="H4664" s="564">
        <v>40015</v>
      </c>
      <c r="I4664" s="563">
        <v>688.35</v>
      </c>
      <c r="J4664" s="563">
        <v>-585</v>
      </c>
      <c r="K4664" s="582">
        <f t="shared" si="216"/>
        <v>103.35000000000002</v>
      </c>
      <c r="L4664" s="563">
        <f t="shared" si="217"/>
        <v>113.68500000000003</v>
      </c>
      <c r="M4664" s="563">
        <f t="shared" si="218"/>
        <v>757.18500000000006</v>
      </c>
      <c r="N4664" s="580"/>
    </row>
    <row r="4665" spans="4:14" x14ac:dyDescent="0.25">
      <c r="D4665" s="559" t="s">
        <v>867</v>
      </c>
      <c r="E4665" s="558" t="s">
        <v>3638</v>
      </c>
      <c r="F4665" s="559">
        <v>701011</v>
      </c>
      <c r="G4665" s="558" t="s">
        <v>3636</v>
      </c>
      <c r="H4665" s="564">
        <v>40015</v>
      </c>
      <c r="I4665" s="563">
        <v>454.35</v>
      </c>
      <c r="J4665" s="563">
        <v>-454.35</v>
      </c>
      <c r="K4665" s="582">
        <f t="shared" si="216"/>
        <v>0</v>
      </c>
      <c r="L4665" s="563">
        <f t="shared" si="217"/>
        <v>0</v>
      </c>
      <c r="M4665" s="563">
        <f t="shared" si="218"/>
        <v>499.78500000000008</v>
      </c>
      <c r="N4665" s="580"/>
    </row>
    <row r="4666" spans="4:14" x14ac:dyDescent="0.25">
      <c r="D4666" s="559" t="s">
        <v>867</v>
      </c>
      <c r="E4666" s="558" t="s">
        <v>3639</v>
      </c>
      <c r="F4666" s="559">
        <v>701012</v>
      </c>
      <c r="G4666" s="558" t="s">
        <v>3636</v>
      </c>
      <c r="H4666" s="564">
        <v>40015</v>
      </c>
      <c r="I4666" s="563">
        <v>688.35</v>
      </c>
      <c r="J4666" s="563">
        <v>-585</v>
      </c>
      <c r="K4666" s="582">
        <f t="shared" si="216"/>
        <v>103.35000000000002</v>
      </c>
      <c r="L4666" s="563">
        <f t="shared" si="217"/>
        <v>113.68500000000003</v>
      </c>
      <c r="M4666" s="563">
        <f t="shared" si="218"/>
        <v>757.18500000000006</v>
      </c>
      <c r="N4666" s="580"/>
    </row>
    <row r="4667" spans="4:14" x14ac:dyDescent="0.25">
      <c r="D4667" s="559" t="s">
        <v>867</v>
      </c>
      <c r="E4667" s="558" t="s">
        <v>3640</v>
      </c>
      <c r="F4667" s="559">
        <v>701016</v>
      </c>
      <c r="G4667" s="558" t="s">
        <v>3636</v>
      </c>
      <c r="H4667" s="564">
        <v>40015</v>
      </c>
      <c r="I4667" s="563">
        <v>103.35</v>
      </c>
      <c r="J4667" s="563">
        <v>-103.35</v>
      </c>
      <c r="K4667" s="582">
        <f t="shared" si="216"/>
        <v>0</v>
      </c>
      <c r="L4667" s="563">
        <f t="shared" si="217"/>
        <v>0</v>
      </c>
      <c r="M4667" s="563">
        <f t="shared" si="218"/>
        <v>113.685</v>
      </c>
      <c r="N4667" s="580"/>
    </row>
    <row r="4668" spans="4:14" x14ac:dyDescent="0.25">
      <c r="D4668" s="559" t="s">
        <v>867</v>
      </c>
      <c r="E4668" s="558" t="s">
        <v>3641</v>
      </c>
      <c r="F4668" s="559">
        <v>701715</v>
      </c>
      <c r="G4668" s="558" t="s">
        <v>3642</v>
      </c>
      <c r="H4668" s="564">
        <v>40015</v>
      </c>
      <c r="I4668" s="563">
        <v>64.349999999999994</v>
      </c>
      <c r="J4668" s="563">
        <v>-64.349999999999994</v>
      </c>
      <c r="K4668" s="582">
        <f t="shared" si="216"/>
        <v>0</v>
      </c>
      <c r="L4668" s="563">
        <f t="shared" si="217"/>
        <v>0</v>
      </c>
      <c r="M4668" s="563">
        <f t="shared" si="218"/>
        <v>70.784999999999997</v>
      </c>
      <c r="N4668" s="580"/>
    </row>
    <row r="4669" spans="4:14" x14ac:dyDescent="0.25">
      <c r="D4669" s="559" t="s">
        <v>867</v>
      </c>
      <c r="E4669" s="558" t="s">
        <v>3643</v>
      </c>
      <c r="F4669" s="559">
        <v>701020</v>
      </c>
      <c r="G4669" s="558" t="s">
        <v>3642</v>
      </c>
      <c r="H4669" s="564">
        <v>40015</v>
      </c>
      <c r="I4669" s="563">
        <v>64.349999999999994</v>
      </c>
      <c r="J4669" s="563">
        <v>-64.349999999999994</v>
      </c>
      <c r="K4669" s="582">
        <f t="shared" si="216"/>
        <v>0</v>
      </c>
      <c r="L4669" s="563">
        <f t="shared" si="217"/>
        <v>0</v>
      </c>
      <c r="M4669" s="563">
        <f t="shared" si="218"/>
        <v>70.784999999999997</v>
      </c>
      <c r="N4669" s="580"/>
    </row>
    <row r="4670" spans="4:14" x14ac:dyDescent="0.25">
      <c r="D4670" s="559" t="s">
        <v>867</v>
      </c>
      <c r="E4670" s="558" t="s">
        <v>3644</v>
      </c>
      <c r="F4670" s="559">
        <v>701438</v>
      </c>
      <c r="G4670" s="558" t="s">
        <v>3642</v>
      </c>
      <c r="H4670" s="564">
        <v>40015</v>
      </c>
      <c r="I4670" s="563">
        <v>64.349999999999994</v>
      </c>
      <c r="J4670" s="563">
        <v>-64.349999999999994</v>
      </c>
      <c r="K4670" s="582">
        <f t="shared" si="216"/>
        <v>0</v>
      </c>
      <c r="L4670" s="563">
        <f t="shared" si="217"/>
        <v>0</v>
      </c>
      <c r="M4670" s="563">
        <f t="shared" si="218"/>
        <v>70.784999999999997</v>
      </c>
      <c r="N4670" s="580"/>
    </row>
    <row r="4671" spans="4:14" x14ac:dyDescent="0.25">
      <c r="D4671" s="559" t="s">
        <v>867</v>
      </c>
      <c r="E4671" s="558" t="s">
        <v>3645</v>
      </c>
      <c r="F4671" s="559">
        <v>701070</v>
      </c>
      <c r="G4671" s="558" t="s">
        <v>3642</v>
      </c>
      <c r="H4671" s="564">
        <v>40015</v>
      </c>
      <c r="I4671" s="563">
        <v>688.35</v>
      </c>
      <c r="J4671" s="563">
        <v>-585</v>
      </c>
      <c r="K4671" s="582">
        <f t="shared" si="216"/>
        <v>103.35000000000002</v>
      </c>
      <c r="L4671" s="563">
        <f t="shared" si="217"/>
        <v>113.68500000000003</v>
      </c>
      <c r="M4671" s="563">
        <f t="shared" si="218"/>
        <v>757.18500000000006</v>
      </c>
      <c r="N4671" s="580"/>
    </row>
    <row r="4672" spans="4:14" x14ac:dyDescent="0.25">
      <c r="D4672" s="559" t="s">
        <v>867</v>
      </c>
      <c r="E4672" s="558" t="s">
        <v>3646</v>
      </c>
      <c r="F4672" s="559">
        <v>701471</v>
      </c>
      <c r="G4672" s="558" t="s">
        <v>3642</v>
      </c>
      <c r="H4672" s="564">
        <v>40015</v>
      </c>
      <c r="I4672" s="563">
        <v>688.35</v>
      </c>
      <c r="J4672" s="563">
        <v>-585</v>
      </c>
      <c r="K4672" s="582">
        <f t="shared" si="216"/>
        <v>103.35000000000002</v>
      </c>
      <c r="L4672" s="563">
        <f t="shared" si="217"/>
        <v>113.68500000000003</v>
      </c>
      <c r="M4672" s="563">
        <f t="shared" si="218"/>
        <v>757.18500000000006</v>
      </c>
      <c r="N4672" s="580"/>
    </row>
    <row r="4673" spans="4:14" x14ac:dyDescent="0.25">
      <c r="D4673" s="559" t="s">
        <v>867</v>
      </c>
      <c r="E4673" s="558" t="s">
        <v>3647</v>
      </c>
      <c r="F4673" s="559">
        <v>701442</v>
      </c>
      <c r="G4673" s="558" t="s">
        <v>3648</v>
      </c>
      <c r="H4673" s="564">
        <v>40015</v>
      </c>
      <c r="I4673" s="563">
        <v>64.349999999999994</v>
      </c>
      <c r="J4673" s="563">
        <v>-64.349999999999994</v>
      </c>
      <c r="K4673" s="582">
        <f t="shared" si="216"/>
        <v>0</v>
      </c>
      <c r="L4673" s="563">
        <f t="shared" si="217"/>
        <v>0</v>
      </c>
      <c r="M4673" s="563">
        <f t="shared" si="218"/>
        <v>70.784999999999997</v>
      </c>
      <c r="N4673" s="580"/>
    </row>
    <row r="4674" spans="4:14" x14ac:dyDescent="0.25">
      <c r="D4674" s="559" t="s">
        <v>867</v>
      </c>
      <c r="E4674" s="558" t="s">
        <v>3649</v>
      </c>
      <c r="F4674" s="559">
        <v>701662</v>
      </c>
      <c r="G4674" s="558" t="s">
        <v>3648</v>
      </c>
      <c r="H4674" s="564">
        <v>40015</v>
      </c>
      <c r="I4674" s="563">
        <v>64.349999999999994</v>
      </c>
      <c r="J4674" s="563">
        <v>-64.349999999999994</v>
      </c>
      <c r="K4674" s="582">
        <f t="shared" si="216"/>
        <v>0</v>
      </c>
      <c r="L4674" s="563">
        <f t="shared" si="217"/>
        <v>0</v>
      </c>
      <c r="M4674" s="563">
        <f t="shared" si="218"/>
        <v>70.784999999999997</v>
      </c>
      <c r="N4674" s="580"/>
    </row>
    <row r="4675" spans="4:14" x14ac:dyDescent="0.25">
      <c r="D4675" s="559" t="s">
        <v>867</v>
      </c>
      <c r="E4675" s="558" t="s">
        <v>3650</v>
      </c>
      <c r="F4675" s="559">
        <v>701023</v>
      </c>
      <c r="G4675" s="558" t="s">
        <v>3648</v>
      </c>
      <c r="H4675" s="564">
        <v>40015</v>
      </c>
      <c r="I4675" s="563">
        <v>64.349999999999994</v>
      </c>
      <c r="J4675" s="563">
        <v>-64.349999999999994</v>
      </c>
      <c r="K4675" s="582">
        <f t="shared" si="216"/>
        <v>0</v>
      </c>
      <c r="L4675" s="563">
        <f t="shared" si="217"/>
        <v>0</v>
      </c>
      <c r="M4675" s="563">
        <f t="shared" si="218"/>
        <v>70.784999999999997</v>
      </c>
      <c r="N4675" s="580"/>
    </row>
    <row r="4676" spans="4:14" x14ac:dyDescent="0.25">
      <c r="D4676" s="559" t="s">
        <v>867</v>
      </c>
      <c r="E4676" s="558" t="s">
        <v>3651</v>
      </c>
      <c r="F4676" s="559">
        <v>701663</v>
      </c>
      <c r="G4676" s="558" t="s">
        <v>3648</v>
      </c>
      <c r="H4676" s="564">
        <v>40015</v>
      </c>
      <c r="I4676" s="563">
        <v>64.349999999999994</v>
      </c>
      <c r="J4676" s="563">
        <v>-64.349999999999994</v>
      </c>
      <c r="K4676" s="582">
        <f t="shared" si="216"/>
        <v>0</v>
      </c>
      <c r="L4676" s="563">
        <f t="shared" si="217"/>
        <v>0</v>
      </c>
      <c r="M4676" s="563">
        <f t="shared" si="218"/>
        <v>70.784999999999997</v>
      </c>
      <c r="N4676" s="580"/>
    </row>
    <row r="4677" spans="4:14" x14ac:dyDescent="0.25">
      <c r="D4677" s="559" t="s">
        <v>867</v>
      </c>
      <c r="E4677" s="558" t="s">
        <v>3652</v>
      </c>
      <c r="F4677" s="559">
        <v>701024</v>
      </c>
      <c r="G4677" s="558" t="s">
        <v>3648</v>
      </c>
      <c r="H4677" s="564">
        <v>40015</v>
      </c>
      <c r="I4677" s="563">
        <v>64.349999999999994</v>
      </c>
      <c r="J4677" s="563">
        <v>-64.349999999999994</v>
      </c>
      <c r="K4677" s="582">
        <f t="shared" si="216"/>
        <v>0</v>
      </c>
      <c r="L4677" s="563">
        <f t="shared" si="217"/>
        <v>0</v>
      </c>
      <c r="M4677" s="563">
        <f t="shared" si="218"/>
        <v>70.784999999999997</v>
      </c>
      <c r="N4677" s="580"/>
    </row>
    <row r="4678" spans="4:14" x14ac:dyDescent="0.25">
      <c r="D4678" s="559" t="s">
        <v>867</v>
      </c>
      <c r="E4678" s="558" t="s">
        <v>3653</v>
      </c>
      <c r="F4678" s="559">
        <v>701449</v>
      </c>
      <c r="G4678" s="558" t="s">
        <v>3654</v>
      </c>
      <c r="H4678" s="564">
        <v>40015</v>
      </c>
      <c r="I4678" s="563">
        <v>688.35</v>
      </c>
      <c r="J4678" s="563">
        <v>-585</v>
      </c>
      <c r="K4678" s="582">
        <f t="shared" si="216"/>
        <v>103.35000000000002</v>
      </c>
      <c r="L4678" s="563">
        <f t="shared" si="217"/>
        <v>113.68500000000003</v>
      </c>
      <c r="M4678" s="563">
        <f t="shared" si="218"/>
        <v>757.18500000000006</v>
      </c>
      <c r="N4678" s="580"/>
    </row>
    <row r="4679" spans="4:14" x14ac:dyDescent="0.25">
      <c r="D4679" s="559" t="s">
        <v>867</v>
      </c>
      <c r="E4679" s="558" t="s">
        <v>3655</v>
      </c>
      <c r="F4679" s="559">
        <v>701414</v>
      </c>
      <c r="G4679" s="558" t="s">
        <v>3654</v>
      </c>
      <c r="H4679" s="564">
        <v>40015</v>
      </c>
      <c r="I4679" s="563">
        <v>64.349999999999994</v>
      </c>
      <c r="J4679" s="563">
        <v>-64.349999999999994</v>
      </c>
      <c r="K4679" s="582">
        <f t="shared" si="216"/>
        <v>0</v>
      </c>
      <c r="L4679" s="563">
        <f t="shared" si="217"/>
        <v>0</v>
      </c>
      <c r="M4679" s="563">
        <f t="shared" si="218"/>
        <v>70.784999999999997</v>
      </c>
      <c r="N4679" s="580"/>
    </row>
    <row r="4680" spans="4:14" x14ac:dyDescent="0.25">
      <c r="D4680" s="559" t="s">
        <v>867</v>
      </c>
      <c r="E4680" s="558" t="s">
        <v>3656</v>
      </c>
      <c r="F4680" s="559">
        <v>701415</v>
      </c>
      <c r="G4680" s="558" t="s">
        <v>3654</v>
      </c>
      <c r="H4680" s="564">
        <v>40015</v>
      </c>
      <c r="I4680" s="563">
        <v>64.349999999999994</v>
      </c>
      <c r="J4680" s="563">
        <v>-64.349999999999994</v>
      </c>
      <c r="K4680" s="582">
        <f t="shared" si="216"/>
        <v>0</v>
      </c>
      <c r="L4680" s="563">
        <f t="shared" si="217"/>
        <v>0</v>
      </c>
      <c r="M4680" s="563">
        <f t="shared" si="218"/>
        <v>70.784999999999997</v>
      </c>
      <c r="N4680" s="580"/>
    </row>
    <row r="4681" spans="4:14" x14ac:dyDescent="0.25">
      <c r="D4681" s="559" t="s">
        <v>867</v>
      </c>
      <c r="E4681" s="558" t="s">
        <v>3657</v>
      </c>
      <c r="F4681" s="559">
        <v>701026</v>
      </c>
      <c r="G4681" s="558" t="s">
        <v>3654</v>
      </c>
      <c r="H4681" s="564">
        <v>40015</v>
      </c>
      <c r="I4681" s="563">
        <v>64.349999999999994</v>
      </c>
      <c r="J4681" s="563">
        <v>-64.349999999999994</v>
      </c>
      <c r="K4681" s="582">
        <f t="shared" si="216"/>
        <v>0</v>
      </c>
      <c r="L4681" s="563">
        <f t="shared" si="217"/>
        <v>0</v>
      </c>
      <c r="M4681" s="563">
        <f t="shared" si="218"/>
        <v>70.784999999999997</v>
      </c>
      <c r="N4681" s="580"/>
    </row>
    <row r="4682" spans="4:14" x14ac:dyDescent="0.25">
      <c r="D4682" s="559" t="s">
        <v>867</v>
      </c>
      <c r="E4682" s="558" t="s">
        <v>3658</v>
      </c>
      <c r="F4682" s="559">
        <v>702127</v>
      </c>
      <c r="G4682" s="558" t="s">
        <v>3654</v>
      </c>
      <c r="H4682" s="564">
        <v>40015</v>
      </c>
      <c r="I4682" s="563">
        <v>64.349999999999994</v>
      </c>
      <c r="J4682" s="563">
        <v>-64.349999999999994</v>
      </c>
      <c r="K4682" s="582">
        <f t="shared" si="216"/>
        <v>0</v>
      </c>
      <c r="L4682" s="563">
        <f t="shared" si="217"/>
        <v>0</v>
      </c>
      <c r="M4682" s="563">
        <f t="shared" si="218"/>
        <v>70.784999999999997</v>
      </c>
      <c r="N4682" s="580"/>
    </row>
    <row r="4683" spans="4:14" x14ac:dyDescent="0.25">
      <c r="D4683" s="559" t="s">
        <v>867</v>
      </c>
      <c r="E4683" s="558" t="s">
        <v>3659</v>
      </c>
      <c r="F4683" s="559">
        <v>701568</v>
      </c>
      <c r="G4683" s="558" t="s">
        <v>3660</v>
      </c>
      <c r="H4683" s="564">
        <v>40015</v>
      </c>
      <c r="I4683" s="563">
        <v>64.349999999999994</v>
      </c>
      <c r="J4683" s="563">
        <v>-64.349999999999994</v>
      </c>
      <c r="K4683" s="582">
        <f t="shared" si="216"/>
        <v>0</v>
      </c>
      <c r="L4683" s="563">
        <f t="shared" si="217"/>
        <v>0</v>
      </c>
      <c r="M4683" s="563">
        <f t="shared" si="218"/>
        <v>70.784999999999997</v>
      </c>
      <c r="N4683" s="580"/>
    </row>
    <row r="4684" spans="4:14" x14ac:dyDescent="0.25">
      <c r="D4684" s="559" t="s">
        <v>867</v>
      </c>
      <c r="E4684" s="558" t="s">
        <v>3661</v>
      </c>
      <c r="F4684" s="559">
        <v>702130</v>
      </c>
      <c r="G4684" s="558" t="s">
        <v>3660</v>
      </c>
      <c r="H4684" s="564">
        <v>40015</v>
      </c>
      <c r="I4684" s="563">
        <v>64.349999999999994</v>
      </c>
      <c r="J4684" s="563">
        <v>-64.349999999999994</v>
      </c>
      <c r="K4684" s="582">
        <f t="shared" si="216"/>
        <v>0</v>
      </c>
      <c r="L4684" s="563">
        <f t="shared" si="217"/>
        <v>0</v>
      </c>
      <c r="M4684" s="563">
        <f t="shared" si="218"/>
        <v>70.784999999999997</v>
      </c>
      <c r="N4684" s="580"/>
    </row>
    <row r="4685" spans="4:14" x14ac:dyDescent="0.25">
      <c r="D4685" s="559" t="s">
        <v>867</v>
      </c>
      <c r="E4685" s="558" t="s">
        <v>3662</v>
      </c>
      <c r="F4685" s="559">
        <v>701028</v>
      </c>
      <c r="G4685" s="558" t="s">
        <v>3660</v>
      </c>
      <c r="H4685" s="564">
        <v>40015</v>
      </c>
      <c r="I4685" s="563">
        <v>64.349999999999994</v>
      </c>
      <c r="J4685" s="563">
        <v>-64.349999999999994</v>
      </c>
      <c r="K4685" s="582">
        <f t="shared" si="216"/>
        <v>0</v>
      </c>
      <c r="L4685" s="563">
        <f t="shared" si="217"/>
        <v>0</v>
      </c>
      <c r="M4685" s="563">
        <f t="shared" si="218"/>
        <v>70.784999999999997</v>
      </c>
      <c r="N4685" s="580"/>
    </row>
    <row r="4686" spans="4:14" x14ac:dyDescent="0.25">
      <c r="D4686" s="559" t="s">
        <v>867</v>
      </c>
      <c r="E4686" s="558" t="s">
        <v>3663</v>
      </c>
      <c r="F4686" s="559">
        <v>701029</v>
      </c>
      <c r="G4686" s="558" t="s">
        <v>3660</v>
      </c>
      <c r="H4686" s="564">
        <v>40015</v>
      </c>
      <c r="I4686" s="563">
        <v>64.349999999999994</v>
      </c>
      <c r="J4686" s="563">
        <v>-64.349999999999994</v>
      </c>
      <c r="K4686" s="582">
        <f t="shared" si="216"/>
        <v>0</v>
      </c>
      <c r="L4686" s="563">
        <f t="shared" si="217"/>
        <v>0</v>
      </c>
      <c r="M4686" s="563">
        <f t="shared" si="218"/>
        <v>70.784999999999997</v>
      </c>
      <c r="N4686" s="580"/>
    </row>
    <row r="4687" spans="4:14" x14ac:dyDescent="0.25">
      <c r="D4687" s="559" t="s">
        <v>867</v>
      </c>
      <c r="E4687" s="558" t="s">
        <v>3664</v>
      </c>
      <c r="F4687" s="559">
        <v>701030</v>
      </c>
      <c r="G4687" s="558" t="s">
        <v>3660</v>
      </c>
      <c r="H4687" s="564">
        <v>40015</v>
      </c>
      <c r="I4687" s="563">
        <v>64.349999999999994</v>
      </c>
      <c r="J4687" s="563">
        <v>-64.349999999999994</v>
      </c>
      <c r="K4687" s="582">
        <f t="shared" si="216"/>
        <v>0</v>
      </c>
      <c r="L4687" s="563">
        <f t="shared" si="217"/>
        <v>0</v>
      </c>
      <c r="M4687" s="563">
        <f t="shared" si="218"/>
        <v>70.784999999999997</v>
      </c>
      <c r="N4687" s="580"/>
    </row>
    <row r="4688" spans="4:14" x14ac:dyDescent="0.25">
      <c r="D4688" s="559" t="s">
        <v>867</v>
      </c>
      <c r="E4688" s="558" t="s">
        <v>3665</v>
      </c>
      <c r="F4688" s="559">
        <v>701032</v>
      </c>
      <c r="G4688" s="558" t="s">
        <v>3666</v>
      </c>
      <c r="H4688" s="564">
        <v>40015</v>
      </c>
      <c r="I4688" s="563">
        <v>64.349999999999994</v>
      </c>
      <c r="J4688" s="563">
        <v>-64.349999999999994</v>
      </c>
      <c r="K4688" s="582">
        <f t="shared" si="216"/>
        <v>0</v>
      </c>
      <c r="L4688" s="563">
        <f t="shared" si="217"/>
        <v>0</v>
      </c>
      <c r="M4688" s="563">
        <f t="shared" si="218"/>
        <v>70.784999999999997</v>
      </c>
      <c r="N4688" s="580"/>
    </row>
    <row r="4689" spans="4:14" x14ac:dyDescent="0.25">
      <c r="D4689" s="559" t="s">
        <v>867</v>
      </c>
      <c r="E4689" s="558" t="s">
        <v>3667</v>
      </c>
      <c r="F4689" s="559">
        <v>701641</v>
      </c>
      <c r="G4689" s="558" t="s">
        <v>3666</v>
      </c>
      <c r="H4689" s="564">
        <v>40015</v>
      </c>
      <c r="I4689" s="563">
        <v>64.349999999999994</v>
      </c>
      <c r="J4689" s="563">
        <v>-64.349999999999994</v>
      </c>
      <c r="K4689" s="582">
        <f t="shared" si="216"/>
        <v>0</v>
      </c>
      <c r="L4689" s="563">
        <f t="shared" si="217"/>
        <v>0</v>
      </c>
      <c r="M4689" s="563">
        <f t="shared" si="218"/>
        <v>70.784999999999997</v>
      </c>
      <c r="N4689" s="580"/>
    </row>
    <row r="4690" spans="4:14" x14ac:dyDescent="0.25">
      <c r="D4690" s="559" t="s">
        <v>867</v>
      </c>
      <c r="E4690" s="558" t="s">
        <v>3668</v>
      </c>
      <c r="F4690" s="559">
        <v>701407</v>
      </c>
      <c r="G4690" s="558" t="s">
        <v>3666</v>
      </c>
      <c r="H4690" s="564">
        <v>40015</v>
      </c>
      <c r="I4690" s="563">
        <v>64.349999999999994</v>
      </c>
      <c r="J4690" s="563">
        <v>-64.349999999999994</v>
      </c>
      <c r="K4690" s="582">
        <f t="shared" si="216"/>
        <v>0</v>
      </c>
      <c r="L4690" s="563">
        <f t="shared" si="217"/>
        <v>0</v>
      </c>
      <c r="M4690" s="563">
        <f t="shared" si="218"/>
        <v>70.784999999999997</v>
      </c>
      <c r="N4690" s="580"/>
    </row>
    <row r="4691" spans="4:14" x14ac:dyDescent="0.25">
      <c r="D4691" s="559" t="s">
        <v>867</v>
      </c>
      <c r="E4691" s="558" t="s">
        <v>3669</v>
      </c>
      <c r="F4691" s="559">
        <v>701637</v>
      </c>
      <c r="G4691" s="558" t="s">
        <v>3666</v>
      </c>
      <c r="H4691" s="564">
        <v>40015</v>
      </c>
      <c r="I4691" s="563">
        <v>64.349999999999994</v>
      </c>
      <c r="J4691" s="563">
        <v>-64.349999999999994</v>
      </c>
      <c r="K4691" s="582">
        <f t="shared" si="216"/>
        <v>0</v>
      </c>
      <c r="L4691" s="563">
        <f t="shared" si="217"/>
        <v>0</v>
      </c>
      <c r="M4691" s="563">
        <f t="shared" si="218"/>
        <v>70.784999999999997</v>
      </c>
      <c r="N4691" s="580"/>
    </row>
    <row r="4692" spans="4:14" x14ac:dyDescent="0.25">
      <c r="D4692" s="559" t="s">
        <v>867</v>
      </c>
      <c r="E4692" s="558" t="s">
        <v>3670</v>
      </c>
      <c r="F4692" s="559">
        <v>701034</v>
      </c>
      <c r="G4692" s="558" t="s">
        <v>3666</v>
      </c>
      <c r="H4692" s="564">
        <v>40015</v>
      </c>
      <c r="I4692" s="563">
        <v>64.349999999999994</v>
      </c>
      <c r="J4692" s="563">
        <v>-64.349999999999994</v>
      </c>
      <c r="K4692" s="582">
        <f t="shared" si="216"/>
        <v>0</v>
      </c>
      <c r="L4692" s="563">
        <f t="shared" si="217"/>
        <v>0</v>
      </c>
      <c r="M4692" s="563">
        <f t="shared" si="218"/>
        <v>70.784999999999997</v>
      </c>
      <c r="N4692" s="580"/>
    </row>
    <row r="4693" spans="4:14" x14ac:dyDescent="0.25">
      <c r="D4693" s="559" t="s">
        <v>867</v>
      </c>
      <c r="E4693" s="558" t="s">
        <v>3671</v>
      </c>
      <c r="F4693" s="559">
        <v>701413</v>
      </c>
      <c r="G4693" s="558" t="s">
        <v>3672</v>
      </c>
      <c r="H4693" s="564">
        <v>40015</v>
      </c>
      <c r="I4693" s="563">
        <v>64.349999999999994</v>
      </c>
      <c r="J4693" s="563">
        <v>-64.349999999999994</v>
      </c>
      <c r="K4693" s="582">
        <f t="shared" si="216"/>
        <v>0</v>
      </c>
      <c r="L4693" s="563">
        <f t="shared" si="217"/>
        <v>0</v>
      </c>
      <c r="M4693" s="563">
        <f t="shared" si="218"/>
        <v>70.784999999999997</v>
      </c>
      <c r="N4693" s="580"/>
    </row>
    <row r="4694" spans="4:14" x14ac:dyDescent="0.25">
      <c r="D4694" s="559" t="s">
        <v>867</v>
      </c>
      <c r="E4694" s="558" t="s">
        <v>3673</v>
      </c>
      <c r="F4694" s="559">
        <v>701035</v>
      </c>
      <c r="G4694" s="558" t="s">
        <v>3672</v>
      </c>
      <c r="H4694" s="564">
        <v>40015</v>
      </c>
      <c r="I4694" s="563">
        <v>64.349999999999994</v>
      </c>
      <c r="J4694" s="563">
        <v>-64.349999999999994</v>
      </c>
      <c r="K4694" s="582">
        <f t="shared" si="216"/>
        <v>0</v>
      </c>
      <c r="L4694" s="563">
        <f t="shared" si="217"/>
        <v>0</v>
      </c>
      <c r="M4694" s="563">
        <f t="shared" si="218"/>
        <v>70.784999999999997</v>
      </c>
      <c r="N4694" s="580"/>
    </row>
    <row r="4695" spans="4:14" x14ac:dyDescent="0.25">
      <c r="D4695" s="559" t="s">
        <v>867</v>
      </c>
      <c r="E4695" s="558" t="s">
        <v>3674</v>
      </c>
      <c r="F4695" s="559">
        <v>701036</v>
      </c>
      <c r="G4695" s="558" t="s">
        <v>3672</v>
      </c>
      <c r="H4695" s="564">
        <v>40015</v>
      </c>
      <c r="I4695" s="563">
        <v>688.35</v>
      </c>
      <c r="J4695" s="563">
        <v>-585</v>
      </c>
      <c r="K4695" s="582">
        <f t="shared" si="216"/>
        <v>103.35000000000002</v>
      </c>
      <c r="L4695" s="563">
        <f t="shared" si="217"/>
        <v>113.68500000000003</v>
      </c>
      <c r="M4695" s="563">
        <f t="shared" si="218"/>
        <v>757.18500000000006</v>
      </c>
      <c r="N4695" s="580"/>
    </row>
    <row r="4696" spans="4:14" x14ac:dyDescent="0.25">
      <c r="D4696" s="559" t="s">
        <v>867</v>
      </c>
      <c r="E4696" s="558" t="s">
        <v>3675</v>
      </c>
      <c r="F4696" s="559">
        <v>702263</v>
      </c>
      <c r="G4696" s="558" t="s">
        <v>3672</v>
      </c>
      <c r="H4696" s="564">
        <v>40015</v>
      </c>
      <c r="I4696" s="563">
        <v>64.349999999999994</v>
      </c>
      <c r="J4696" s="563">
        <v>-64.349999999999994</v>
      </c>
      <c r="K4696" s="582">
        <f t="shared" si="216"/>
        <v>0</v>
      </c>
      <c r="L4696" s="563">
        <f t="shared" si="217"/>
        <v>0</v>
      </c>
      <c r="M4696" s="563">
        <f t="shared" si="218"/>
        <v>70.784999999999997</v>
      </c>
      <c r="N4696" s="580"/>
    </row>
    <row r="4697" spans="4:14" x14ac:dyDescent="0.25">
      <c r="D4697" s="559" t="s">
        <v>867</v>
      </c>
      <c r="E4697" s="558" t="s">
        <v>3676</v>
      </c>
      <c r="F4697" s="559">
        <v>701037</v>
      </c>
      <c r="G4697" s="558" t="s">
        <v>3672</v>
      </c>
      <c r="H4697" s="564">
        <v>40015</v>
      </c>
      <c r="I4697" s="563">
        <v>64.349999999999994</v>
      </c>
      <c r="J4697" s="563">
        <v>-64.349999999999994</v>
      </c>
      <c r="K4697" s="582">
        <f t="shared" si="216"/>
        <v>0</v>
      </c>
      <c r="L4697" s="563">
        <f t="shared" si="217"/>
        <v>0</v>
      </c>
      <c r="M4697" s="563">
        <f t="shared" si="218"/>
        <v>70.784999999999997</v>
      </c>
      <c r="N4697" s="580"/>
    </row>
    <row r="4698" spans="4:14" x14ac:dyDescent="0.25">
      <c r="D4698" s="559" t="s">
        <v>867</v>
      </c>
      <c r="E4698" s="558" t="s">
        <v>3677</v>
      </c>
      <c r="F4698" s="559">
        <v>701450</v>
      </c>
      <c r="G4698" s="558" t="s">
        <v>3678</v>
      </c>
      <c r="H4698" s="564">
        <v>40015</v>
      </c>
      <c r="I4698" s="563">
        <v>64.349999999999994</v>
      </c>
      <c r="J4698" s="563">
        <v>-64.349999999999994</v>
      </c>
      <c r="K4698" s="582">
        <f t="shared" si="216"/>
        <v>0</v>
      </c>
      <c r="L4698" s="563">
        <f t="shared" si="217"/>
        <v>0</v>
      </c>
      <c r="M4698" s="563">
        <f t="shared" si="218"/>
        <v>70.784999999999997</v>
      </c>
      <c r="N4698" s="580"/>
    </row>
    <row r="4699" spans="4:14" x14ac:dyDescent="0.25">
      <c r="D4699" s="559" t="s">
        <v>867</v>
      </c>
      <c r="E4699" s="558" t="s">
        <v>3679</v>
      </c>
      <c r="F4699" s="559">
        <v>701664</v>
      </c>
      <c r="G4699" s="558" t="s">
        <v>3678</v>
      </c>
      <c r="H4699" s="564">
        <v>40015</v>
      </c>
      <c r="I4699" s="563">
        <v>64.349999999999994</v>
      </c>
      <c r="J4699" s="563">
        <v>-64.349999999999994</v>
      </c>
      <c r="K4699" s="582">
        <f t="shared" si="216"/>
        <v>0</v>
      </c>
      <c r="L4699" s="563">
        <f t="shared" si="217"/>
        <v>0</v>
      </c>
      <c r="M4699" s="563">
        <f t="shared" si="218"/>
        <v>70.784999999999997</v>
      </c>
      <c r="N4699" s="580"/>
    </row>
    <row r="4700" spans="4:14" x14ac:dyDescent="0.25">
      <c r="D4700" s="559" t="s">
        <v>867</v>
      </c>
      <c r="E4700" s="558" t="s">
        <v>3680</v>
      </c>
      <c r="F4700" s="559">
        <v>701039</v>
      </c>
      <c r="G4700" s="558" t="s">
        <v>3678</v>
      </c>
      <c r="H4700" s="564">
        <v>40015</v>
      </c>
      <c r="I4700" s="563">
        <v>688.35</v>
      </c>
      <c r="J4700" s="563">
        <v>-585</v>
      </c>
      <c r="K4700" s="582">
        <f t="shared" si="216"/>
        <v>103.35000000000002</v>
      </c>
      <c r="L4700" s="563">
        <f t="shared" si="217"/>
        <v>113.68500000000003</v>
      </c>
      <c r="M4700" s="563">
        <f t="shared" si="218"/>
        <v>757.18500000000006</v>
      </c>
      <c r="N4700" s="580"/>
    </row>
    <row r="4701" spans="4:14" x14ac:dyDescent="0.25">
      <c r="D4701" s="559" t="s">
        <v>867</v>
      </c>
      <c r="E4701" s="558" t="s">
        <v>3681</v>
      </c>
      <c r="F4701" s="559">
        <v>701665</v>
      </c>
      <c r="G4701" s="558" t="s">
        <v>3678</v>
      </c>
      <c r="H4701" s="564">
        <v>40015</v>
      </c>
      <c r="I4701" s="563">
        <v>64.349999999999994</v>
      </c>
      <c r="J4701" s="563">
        <v>-64.349999999999994</v>
      </c>
      <c r="K4701" s="582">
        <f t="shared" si="216"/>
        <v>0</v>
      </c>
      <c r="L4701" s="563">
        <f t="shared" si="217"/>
        <v>0</v>
      </c>
      <c r="M4701" s="563">
        <f t="shared" si="218"/>
        <v>70.784999999999997</v>
      </c>
      <c r="N4701" s="580"/>
    </row>
    <row r="4702" spans="4:14" x14ac:dyDescent="0.25">
      <c r="D4702" s="559" t="s">
        <v>867</v>
      </c>
      <c r="E4702" s="558" t="s">
        <v>3682</v>
      </c>
      <c r="F4702" s="559">
        <v>701455</v>
      </c>
      <c r="G4702" s="558" t="s">
        <v>3678</v>
      </c>
      <c r="H4702" s="564">
        <v>40015</v>
      </c>
      <c r="I4702" s="563">
        <v>688.35</v>
      </c>
      <c r="J4702" s="563">
        <v>-585</v>
      </c>
      <c r="K4702" s="582">
        <f t="shared" si="216"/>
        <v>103.35000000000002</v>
      </c>
      <c r="L4702" s="563">
        <f t="shared" si="217"/>
        <v>113.68500000000003</v>
      </c>
      <c r="M4702" s="563">
        <f t="shared" si="218"/>
        <v>757.18500000000006</v>
      </c>
      <c r="N4702" s="580"/>
    </row>
    <row r="4703" spans="4:14" x14ac:dyDescent="0.25">
      <c r="D4703" s="559" t="s">
        <v>867</v>
      </c>
      <c r="E4703" s="558" t="s">
        <v>3683</v>
      </c>
      <c r="F4703" s="559">
        <v>701658</v>
      </c>
      <c r="G4703" s="558" t="s">
        <v>3684</v>
      </c>
      <c r="H4703" s="564">
        <v>40015</v>
      </c>
      <c r="I4703" s="563">
        <v>64.349999999999994</v>
      </c>
      <c r="J4703" s="563">
        <v>-64.349999999999994</v>
      </c>
      <c r="K4703" s="582">
        <f t="shared" si="216"/>
        <v>0</v>
      </c>
      <c r="L4703" s="563">
        <f t="shared" si="217"/>
        <v>0</v>
      </c>
      <c r="M4703" s="563">
        <f t="shared" si="218"/>
        <v>70.784999999999997</v>
      </c>
      <c r="N4703" s="580"/>
    </row>
    <row r="4704" spans="4:14" x14ac:dyDescent="0.25">
      <c r="D4704" s="559" t="s">
        <v>867</v>
      </c>
      <c r="E4704" s="558" t="s">
        <v>3685</v>
      </c>
      <c r="F4704" s="559">
        <v>701041</v>
      </c>
      <c r="G4704" s="558" t="s">
        <v>3684</v>
      </c>
      <c r="H4704" s="564">
        <v>40015</v>
      </c>
      <c r="I4704" s="563">
        <v>64.349999999999994</v>
      </c>
      <c r="J4704" s="563">
        <v>-64.349999999999994</v>
      </c>
      <c r="K4704" s="582">
        <f t="shared" si="216"/>
        <v>0</v>
      </c>
      <c r="L4704" s="563">
        <f t="shared" si="217"/>
        <v>0</v>
      </c>
      <c r="M4704" s="563">
        <f t="shared" si="218"/>
        <v>70.784999999999997</v>
      </c>
      <c r="N4704" s="580"/>
    </row>
    <row r="4705" spans="4:16" x14ac:dyDescent="0.25">
      <c r="D4705" s="559" t="s">
        <v>867</v>
      </c>
      <c r="E4705" s="558" t="s">
        <v>3686</v>
      </c>
      <c r="F4705" s="559">
        <v>701042</v>
      </c>
      <c r="G4705" s="558" t="s">
        <v>3684</v>
      </c>
      <c r="H4705" s="564">
        <v>40015</v>
      </c>
      <c r="I4705" s="563">
        <v>64.349999999999994</v>
      </c>
      <c r="J4705" s="563">
        <v>-64.349999999999994</v>
      </c>
      <c r="K4705" s="582">
        <f t="shared" si="216"/>
        <v>0</v>
      </c>
      <c r="L4705" s="563">
        <f t="shared" si="217"/>
        <v>0</v>
      </c>
      <c r="M4705" s="563">
        <f t="shared" si="218"/>
        <v>70.784999999999997</v>
      </c>
      <c r="N4705" s="580"/>
    </row>
    <row r="4706" spans="4:16" x14ac:dyDescent="0.25">
      <c r="D4706" s="559" t="s">
        <v>867</v>
      </c>
      <c r="E4706" s="558" t="s">
        <v>3687</v>
      </c>
      <c r="F4706" s="559">
        <v>701645</v>
      </c>
      <c r="G4706" s="558" t="s">
        <v>3684</v>
      </c>
      <c r="H4706" s="564">
        <v>40015</v>
      </c>
      <c r="I4706" s="563">
        <v>688.35</v>
      </c>
      <c r="J4706" s="563">
        <v>-585</v>
      </c>
      <c r="K4706" s="582">
        <f t="shared" si="216"/>
        <v>103.35000000000002</v>
      </c>
      <c r="L4706" s="563">
        <f t="shared" si="217"/>
        <v>113.68500000000003</v>
      </c>
      <c r="M4706" s="563">
        <f t="shared" si="218"/>
        <v>757.18500000000006</v>
      </c>
      <c r="N4706" s="580"/>
    </row>
    <row r="4707" spans="4:16" x14ac:dyDescent="0.25">
      <c r="D4707" s="559" t="s">
        <v>867</v>
      </c>
      <c r="E4707" s="558" t="s">
        <v>3688</v>
      </c>
      <c r="F4707" s="559">
        <v>701451</v>
      </c>
      <c r="G4707" s="558" t="s">
        <v>3684</v>
      </c>
      <c r="H4707" s="564">
        <v>40015</v>
      </c>
      <c r="I4707" s="563">
        <v>25.35</v>
      </c>
      <c r="J4707" s="563">
        <v>-25.35</v>
      </c>
      <c r="K4707" s="582">
        <f t="shared" si="216"/>
        <v>0</v>
      </c>
      <c r="L4707" s="563">
        <f t="shared" si="217"/>
        <v>0</v>
      </c>
      <c r="M4707" s="563">
        <f t="shared" si="218"/>
        <v>27.885000000000005</v>
      </c>
      <c r="N4707" s="580"/>
    </row>
    <row r="4708" spans="4:16" x14ac:dyDescent="0.25">
      <c r="D4708" s="559" t="s">
        <v>867</v>
      </c>
      <c r="E4708" s="558" t="s">
        <v>3689</v>
      </c>
      <c r="F4708" s="559">
        <v>701411</v>
      </c>
      <c r="G4708" s="558" t="s">
        <v>3690</v>
      </c>
      <c r="H4708" s="564">
        <v>40015</v>
      </c>
      <c r="I4708" s="563">
        <v>688.35</v>
      </c>
      <c r="J4708" s="563">
        <v>-585</v>
      </c>
      <c r="K4708" s="582">
        <f t="shared" si="216"/>
        <v>103.35000000000002</v>
      </c>
      <c r="L4708" s="563">
        <f t="shared" si="217"/>
        <v>113.68500000000003</v>
      </c>
      <c r="M4708" s="563">
        <f t="shared" si="218"/>
        <v>757.18500000000006</v>
      </c>
      <c r="N4708" s="580"/>
    </row>
    <row r="4709" spans="4:16" x14ac:dyDescent="0.25">
      <c r="D4709" s="559" t="s">
        <v>867</v>
      </c>
      <c r="E4709" s="558" t="s">
        <v>3691</v>
      </c>
      <c r="F4709" s="559">
        <v>701685</v>
      </c>
      <c r="G4709" s="558" t="s">
        <v>3690</v>
      </c>
      <c r="H4709" s="564">
        <v>40015</v>
      </c>
      <c r="I4709" s="563">
        <v>688.35</v>
      </c>
      <c r="J4709" s="563">
        <v>-585</v>
      </c>
      <c r="K4709" s="582">
        <f t="shared" si="216"/>
        <v>103.35000000000002</v>
      </c>
      <c r="L4709" s="563">
        <f t="shared" si="217"/>
        <v>113.68500000000003</v>
      </c>
      <c r="M4709" s="563">
        <f t="shared" si="218"/>
        <v>757.18500000000006</v>
      </c>
      <c r="N4709" s="580"/>
    </row>
    <row r="4710" spans="4:16" x14ac:dyDescent="0.25">
      <c r="D4710" s="559" t="s">
        <v>867</v>
      </c>
      <c r="E4710" s="558" t="s">
        <v>3692</v>
      </c>
      <c r="F4710" s="559">
        <v>701046</v>
      </c>
      <c r="G4710" s="558" t="s">
        <v>3690</v>
      </c>
      <c r="H4710" s="564">
        <v>40015</v>
      </c>
      <c r="I4710" s="563">
        <v>64.349999999999994</v>
      </c>
      <c r="J4710" s="563">
        <v>-64.349999999999994</v>
      </c>
      <c r="K4710" s="582">
        <f t="shared" si="216"/>
        <v>0</v>
      </c>
      <c r="L4710" s="563">
        <f t="shared" si="217"/>
        <v>0</v>
      </c>
      <c r="M4710" s="563">
        <f t="shared" si="218"/>
        <v>70.784999999999997</v>
      </c>
      <c r="N4710" s="580"/>
    </row>
    <row r="4711" spans="4:16" x14ac:dyDescent="0.25">
      <c r="D4711" s="559" t="s">
        <v>867</v>
      </c>
      <c r="E4711" s="558" t="s">
        <v>3693</v>
      </c>
      <c r="F4711" s="559">
        <v>701459</v>
      </c>
      <c r="G4711" s="558" t="s">
        <v>3690</v>
      </c>
      <c r="H4711" s="564">
        <v>40015</v>
      </c>
      <c r="I4711" s="563">
        <v>64.349999999999994</v>
      </c>
      <c r="J4711" s="563">
        <v>-64.349999999999994</v>
      </c>
      <c r="K4711" s="582">
        <f t="shared" si="216"/>
        <v>0</v>
      </c>
      <c r="L4711" s="563">
        <f t="shared" si="217"/>
        <v>0</v>
      </c>
      <c r="M4711" s="563">
        <f t="shared" si="218"/>
        <v>70.784999999999997</v>
      </c>
      <c r="N4711" s="580"/>
    </row>
    <row r="4712" spans="4:16" x14ac:dyDescent="0.25">
      <c r="D4712" s="559" t="s">
        <v>867</v>
      </c>
      <c r="E4712" s="558" t="s">
        <v>3694</v>
      </c>
      <c r="F4712" s="559">
        <v>701049</v>
      </c>
      <c r="G4712" s="558" t="s">
        <v>3690</v>
      </c>
      <c r="H4712" s="564">
        <v>40015</v>
      </c>
      <c r="I4712" s="563">
        <v>64.349999999999994</v>
      </c>
      <c r="J4712" s="563">
        <v>-64.349999999999994</v>
      </c>
      <c r="K4712" s="582">
        <f t="shared" si="216"/>
        <v>0</v>
      </c>
      <c r="L4712" s="563">
        <f t="shared" si="217"/>
        <v>0</v>
      </c>
      <c r="M4712" s="563">
        <f t="shared" si="218"/>
        <v>70.784999999999997</v>
      </c>
      <c r="N4712" s="580"/>
    </row>
    <row r="4713" spans="4:16" x14ac:dyDescent="0.25">
      <c r="D4713" s="559" t="s">
        <v>867</v>
      </c>
      <c r="E4713" s="558" t="s">
        <v>1979</v>
      </c>
      <c r="F4713" s="559">
        <v>702276</v>
      </c>
      <c r="G4713" s="558" t="s">
        <v>1980</v>
      </c>
      <c r="H4713" s="564">
        <v>40015</v>
      </c>
      <c r="I4713" s="563">
        <v>688.35</v>
      </c>
      <c r="J4713" s="563">
        <v>-585</v>
      </c>
      <c r="K4713" s="563">
        <f t="shared" ref="K4713:K4776" si="219">+I4713+J4713</f>
        <v>103.35000000000002</v>
      </c>
      <c r="L4713" s="563">
        <f t="shared" ref="L4713:L4776" si="220">+K4713*1.1</f>
        <v>113.68500000000003</v>
      </c>
      <c r="M4713" s="563">
        <f t="shared" ref="M4713:M4776" si="221">+I4713*1.1</f>
        <v>757.18500000000006</v>
      </c>
      <c r="N4713" s="580"/>
      <c r="O4713" s="558"/>
      <c r="P4713" s="564"/>
    </row>
    <row r="4714" spans="4:16" x14ac:dyDescent="0.25">
      <c r="D4714" s="559" t="s">
        <v>867</v>
      </c>
      <c r="E4714" s="558" t="s">
        <v>3695</v>
      </c>
      <c r="F4714" s="559">
        <v>701050</v>
      </c>
      <c r="G4714" s="558" t="s">
        <v>1980</v>
      </c>
      <c r="H4714" s="564">
        <v>40015</v>
      </c>
      <c r="I4714" s="563">
        <v>64.349999999999994</v>
      </c>
      <c r="J4714" s="563">
        <v>-64.349999999999994</v>
      </c>
      <c r="K4714" s="582">
        <f t="shared" si="219"/>
        <v>0</v>
      </c>
      <c r="L4714" s="563">
        <f t="shared" si="220"/>
        <v>0</v>
      </c>
      <c r="M4714" s="563">
        <f t="shared" si="221"/>
        <v>70.784999999999997</v>
      </c>
      <c r="N4714" s="580"/>
    </row>
    <row r="4715" spans="4:16" x14ac:dyDescent="0.25">
      <c r="D4715" s="559" t="s">
        <v>867</v>
      </c>
      <c r="E4715" s="558" t="s">
        <v>3696</v>
      </c>
      <c r="F4715" s="559">
        <v>701410</v>
      </c>
      <c r="G4715" s="558" t="s">
        <v>1980</v>
      </c>
      <c r="H4715" s="564">
        <v>40015</v>
      </c>
      <c r="I4715" s="563">
        <v>688.35</v>
      </c>
      <c r="J4715" s="563">
        <v>-585</v>
      </c>
      <c r="K4715" s="582">
        <f t="shared" si="219"/>
        <v>103.35000000000002</v>
      </c>
      <c r="L4715" s="563">
        <f t="shared" si="220"/>
        <v>113.68500000000003</v>
      </c>
      <c r="M4715" s="563">
        <f t="shared" si="221"/>
        <v>757.18500000000006</v>
      </c>
      <c r="N4715" s="580"/>
    </row>
    <row r="4716" spans="4:16" x14ac:dyDescent="0.25">
      <c r="D4716" s="559" t="s">
        <v>867</v>
      </c>
      <c r="E4716" s="558" t="s">
        <v>3697</v>
      </c>
      <c r="F4716" s="559">
        <v>701728</v>
      </c>
      <c r="G4716" s="558" t="s">
        <v>1980</v>
      </c>
      <c r="H4716" s="564">
        <v>40015</v>
      </c>
      <c r="I4716" s="563">
        <v>64.349999999999994</v>
      </c>
      <c r="J4716" s="563">
        <v>-64.349999999999994</v>
      </c>
      <c r="K4716" s="582">
        <f t="shared" si="219"/>
        <v>0</v>
      </c>
      <c r="L4716" s="563">
        <f t="shared" si="220"/>
        <v>0</v>
      </c>
      <c r="M4716" s="563">
        <f t="shared" si="221"/>
        <v>70.784999999999997</v>
      </c>
      <c r="N4716" s="580"/>
    </row>
    <row r="4717" spans="4:16" x14ac:dyDescent="0.25">
      <c r="D4717" s="559" t="s">
        <v>867</v>
      </c>
      <c r="E4717" s="558" t="s">
        <v>3698</v>
      </c>
      <c r="F4717" s="559">
        <v>701659</v>
      </c>
      <c r="G4717" s="558" t="s">
        <v>1980</v>
      </c>
      <c r="H4717" s="564">
        <v>40015</v>
      </c>
      <c r="I4717" s="563">
        <v>25.35</v>
      </c>
      <c r="J4717" s="563">
        <v>-25.35</v>
      </c>
      <c r="K4717" s="582">
        <f t="shared" si="219"/>
        <v>0</v>
      </c>
      <c r="L4717" s="563">
        <f t="shared" si="220"/>
        <v>0</v>
      </c>
      <c r="M4717" s="563">
        <f t="shared" si="221"/>
        <v>27.885000000000005</v>
      </c>
      <c r="N4717" s="580"/>
    </row>
    <row r="4718" spans="4:16" x14ac:dyDescent="0.25">
      <c r="D4718" s="559" t="s">
        <v>867</v>
      </c>
      <c r="E4718" s="558" t="s">
        <v>3699</v>
      </c>
      <c r="F4718" s="559">
        <v>701424</v>
      </c>
      <c r="G4718" s="558" t="s">
        <v>1982</v>
      </c>
      <c r="H4718" s="564">
        <v>40015</v>
      </c>
      <c r="I4718" s="563">
        <v>64.349999999999994</v>
      </c>
      <c r="J4718" s="563">
        <v>-64.349999999999994</v>
      </c>
      <c r="K4718" s="582">
        <f t="shared" si="219"/>
        <v>0</v>
      </c>
      <c r="L4718" s="563">
        <f t="shared" si="220"/>
        <v>0</v>
      </c>
      <c r="M4718" s="563">
        <f t="shared" si="221"/>
        <v>70.784999999999997</v>
      </c>
      <c r="N4718" s="580"/>
    </row>
    <row r="4719" spans="4:16" x14ac:dyDescent="0.25">
      <c r="D4719" s="559" t="s">
        <v>867</v>
      </c>
      <c r="E4719" s="558" t="s">
        <v>3700</v>
      </c>
      <c r="F4719" s="559">
        <v>701420</v>
      </c>
      <c r="G4719" s="558" t="s">
        <v>1982</v>
      </c>
      <c r="H4719" s="564">
        <v>40015</v>
      </c>
      <c r="I4719" s="563">
        <v>64.349999999999994</v>
      </c>
      <c r="J4719" s="563">
        <v>-64.349999999999994</v>
      </c>
      <c r="K4719" s="582">
        <f t="shared" si="219"/>
        <v>0</v>
      </c>
      <c r="L4719" s="563">
        <f t="shared" si="220"/>
        <v>0</v>
      </c>
      <c r="M4719" s="563">
        <f t="shared" si="221"/>
        <v>70.784999999999997</v>
      </c>
      <c r="N4719" s="580"/>
    </row>
    <row r="4720" spans="4:16" x14ac:dyDescent="0.25">
      <c r="D4720" s="559" t="s">
        <v>867</v>
      </c>
      <c r="E4720" s="558" t="s">
        <v>3701</v>
      </c>
      <c r="F4720" s="559">
        <v>701053</v>
      </c>
      <c r="G4720" s="558" t="s">
        <v>1982</v>
      </c>
      <c r="H4720" s="564">
        <v>40015</v>
      </c>
      <c r="I4720" s="563">
        <v>64.349999999999994</v>
      </c>
      <c r="J4720" s="563">
        <v>-64.349999999999994</v>
      </c>
      <c r="K4720" s="582">
        <f t="shared" si="219"/>
        <v>0</v>
      </c>
      <c r="L4720" s="563">
        <f t="shared" si="220"/>
        <v>0</v>
      </c>
      <c r="M4720" s="563">
        <f t="shared" si="221"/>
        <v>70.784999999999997</v>
      </c>
      <c r="N4720" s="580"/>
    </row>
    <row r="4721" spans="4:16" x14ac:dyDescent="0.25">
      <c r="D4721" s="559" t="s">
        <v>867</v>
      </c>
      <c r="E4721" s="558" t="s">
        <v>3702</v>
      </c>
      <c r="F4721" s="559">
        <v>701460</v>
      </c>
      <c r="G4721" s="558" t="s">
        <v>1982</v>
      </c>
      <c r="H4721" s="564">
        <v>40015</v>
      </c>
      <c r="I4721" s="563">
        <v>64.349999999999994</v>
      </c>
      <c r="J4721" s="563">
        <v>-64.349999999999994</v>
      </c>
      <c r="K4721" s="582">
        <f t="shared" si="219"/>
        <v>0</v>
      </c>
      <c r="L4721" s="563">
        <f t="shared" si="220"/>
        <v>0</v>
      </c>
      <c r="M4721" s="563">
        <f t="shared" si="221"/>
        <v>70.784999999999997</v>
      </c>
      <c r="N4721" s="580"/>
    </row>
    <row r="4722" spans="4:16" x14ac:dyDescent="0.25">
      <c r="D4722" s="559" t="s">
        <v>867</v>
      </c>
      <c r="E4722" s="558" t="s">
        <v>1981</v>
      </c>
      <c r="F4722" s="559">
        <v>702145</v>
      </c>
      <c r="G4722" s="558" t="s">
        <v>1982</v>
      </c>
      <c r="H4722" s="564">
        <v>40015</v>
      </c>
      <c r="I4722" s="563">
        <v>688.35</v>
      </c>
      <c r="J4722" s="563">
        <v>-585</v>
      </c>
      <c r="K4722" s="563">
        <f t="shared" si="219"/>
        <v>103.35000000000002</v>
      </c>
      <c r="L4722" s="563">
        <f t="shared" si="220"/>
        <v>113.68500000000003</v>
      </c>
      <c r="M4722" s="563">
        <f t="shared" si="221"/>
        <v>757.18500000000006</v>
      </c>
      <c r="N4722" s="580"/>
      <c r="O4722" s="558"/>
      <c r="P4722" s="564"/>
    </row>
    <row r="4723" spans="4:16" x14ac:dyDescent="0.25">
      <c r="D4723" s="559" t="s">
        <v>867</v>
      </c>
      <c r="E4723" s="558" t="s">
        <v>3703</v>
      </c>
      <c r="F4723" s="559">
        <v>701421</v>
      </c>
      <c r="G4723" s="558" t="s">
        <v>3704</v>
      </c>
      <c r="H4723" s="564">
        <v>40015</v>
      </c>
      <c r="I4723" s="563">
        <v>64.349999999999994</v>
      </c>
      <c r="J4723" s="563">
        <v>-64.349999999999994</v>
      </c>
      <c r="K4723" s="582">
        <f t="shared" si="219"/>
        <v>0</v>
      </c>
      <c r="L4723" s="563">
        <f t="shared" si="220"/>
        <v>0</v>
      </c>
      <c r="M4723" s="563">
        <f t="shared" si="221"/>
        <v>70.784999999999997</v>
      </c>
      <c r="N4723" s="580"/>
    </row>
    <row r="4724" spans="4:16" x14ac:dyDescent="0.25">
      <c r="D4724" s="559" t="s">
        <v>867</v>
      </c>
      <c r="E4724" s="558" t="s">
        <v>3705</v>
      </c>
      <c r="F4724" s="559">
        <v>701660</v>
      </c>
      <c r="G4724" s="558" t="s">
        <v>3704</v>
      </c>
      <c r="H4724" s="564">
        <v>40015</v>
      </c>
      <c r="I4724" s="563">
        <v>64.349999999999994</v>
      </c>
      <c r="J4724" s="563">
        <v>-64.349999999999994</v>
      </c>
      <c r="K4724" s="582">
        <f t="shared" si="219"/>
        <v>0</v>
      </c>
      <c r="L4724" s="563">
        <f t="shared" si="220"/>
        <v>0</v>
      </c>
      <c r="M4724" s="563">
        <f t="shared" si="221"/>
        <v>70.784999999999997</v>
      </c>
      <c r="N4724" s="580"/>
    </row>
    <row r="4725" spans="4:16" x14ac:dyDescent="0.25">
      <c r="D4725" s="559" t="s">
        <v>867</v>
      </c>
      <c r="E4725" s="558" t="s">
        <v>3706</v>
      </c>
      <c r="F4725" s="559">
        <v>701425</v>
      </c>
      <c r="G4725" s="558" t="s">
        <v>3704</v>
      </c>
      <c r="H4725" s="564">
        <v>40015</v>
      </c>
      <c r="I4725" s="563">
        <v>688.35</v>
      </c>
      <c r="J4725" s="563">
        <v>-585</v>
      </c>
      <c r="K4725" s="582">
        <f t="shared" si="219"/>
        <v>103.35000000000002</v>
      </c>
      <c r="L4725" s="563">
        <f t="shared" si="220"/>
        <v>113.68500000000003</v>
      </c>
      <c r="M4725" s="563">
        <f t="shared" si="221"/>
        <v>757.18500000000006</v>
      </c>
      <c r="N4725" s="580"/>
    </row>
    <row r="4726" spans="4:16" x14ac:dyDescent="0.25">
      <c r="D4726" s="559" t="s">
        <v>867</v>
      </c>
      <c r="E4726" s="558" t="s">
        <v>3707</v>
      </c>
      <c r="F4726" s="559">
        <v>701744</v>
      </c>
      <c r="G4726" s="558" t="s">
        <v>3704</v>
      </c>
      <c r="H4726" s="564">
        <v>40015</v>
      </c>
      <c r="I4726" s="563">
        <v>25.35</v>
      </c>
      <c r="J4726" s="563">
        <v>-25.35</v>
      </c>
      <c r="K4726" s="582">
        <f t="shared" si="219"/>
        <v>0</v>
      </c>
      <c r="L4726" s="563">
        <f t="shared" si="220"/>
        <v>0</v>
      </c>
      <c r="M4726" s="563">
        <f t="shared" si="221"/>
        <v>27.885000000000005</v>
      </c>
      <c r="N4726" s="580"/>
    </row>
    <row r="4727" spans="4:16" x14ac:dyDescent="0.25">
      <c r="D4727" s="559" t="s">
        <v>867</v>
      </c>
      <c r="E4727" s="558" t="s">
        <v>3708</v>
      </c>
      <c r="F4727" s="559">
        <v>701054</v>
      </c>
      <c r="G4727" s="558" t="s">
        <v>3704</v>
      </c>
      <c r="H4727" s="564">
        <v>40015</v>
      </c>
      <c r="I4727" s="563">
        <v>688.35</v>
      </c>
      <c r="J4727" s="563">
        <v>-585</v>
      </c>
      <c r="K4727" s="582">
        <f t="shared" si="219"/>
        <v>103.35000000000002</v>
      </c>
      <c r="L4727" s="563">
        <f t="shared" si="220"/>
        <v>113.68500000000003</v>
      </c>
      <c r="M4727" s="563">
        <f t="shared" si="221"/>
        <v>757.18500000000006</v>
      </c>
      <c r="N4727" s="580"/>
    </row>
    <row r="4728" spans="4:16" x14ac:dyDescent="0.25">
      <c r="D4728" s="559" t="s">
        <v>867</v>
      </c>
      <c r="E4728" s="558" t="s">
        <v>3709</v>
      </c>
      <c r="F4728" s="559">
        <v>701462</v>
      </c>
      <c r="G4728" s="558" t="s">
        <v>3710</v>
      </c>
      <c r="H4728" s="564">
        <v>40015</v>
      </c>
      <c r="I4728" s="563">
        <v>25.35</v>
      </c>
      <c r="J4728" s="563">
        <v>-25.35</v>
      </c>
      <c r="K4728" s="582">
        <f t="shared" si="219"/>
        <v>0</v>
      </c>
      <c r="L4728" s="563">
        <f t="shared" si="220"/>
        <v>0</v>
      </c>
      <c r="M4728" s="563">
        <f t="shared" si="221"/>
        <v>27.885000000000005</v>
      </c>
      <c r="N4728" s="580"/>
    </row>
    <row r="4729" spans="4:16" x14ac:dyDescent="0.25">
      <c r="D4729" s="559" t="s">
        <v>867</v>
      </c>
      <c r="E4729" s="558" t="s">
        <v>3711</v>
      </c>
      <c r="F4729" s="559">
        <v>701446</v>
      </c>
      <c r="G4729" s="558" t="s">
        <v>3710</v>
      </c>
      <c r="H4729" s="564">
        <v>40015</v>
      </c>
      <c r="I4729" s="563">
        <v>25.35</v>
      </c>
      <c r="J4729" s="563">
        <v>-25.35</v>
      </c>
      <c r="K4729" s="582">
        <f t="shared" si="219"/>
        <v>0</v>
      </c>
      <c r="L4729" s="563">
        <f t="shared" si="220"/>
        <v>0</v>
      </c>
      <c r="M4729" s="563">
        <f t="shared" si="221"/>
        <v>27.885000000000005</v>
      </c>
      <c r="N4729" s="580"/>
    </row>
    <row r="4730" spans="4:16" x14ac:dyDescent="0.25">
      <c r="D4730" s="559" t="s">
        <v>867</v>
      </c>
      <c r="E4730" s="558" t="s">
        <v>3712</v>
      </c>
      <c r="F4730" s="559">
        <v>701447</v>
      </c>
      <c r="G4730" s="558" t="s">
        <v>3710</v>
      </c>
      <c r="H4730" s="564">
        <v>40015</v>
      </c>
      <c r="I4730" s="563">
        <v>25.35</v>
      </c>
      <c r="J4730" s="563">
        <v>-25.35</v>
      </c>
      <c r="K4730" s="582">
        <f t="shared" si="219"/>
        <v>0</v>
      </c>
      <c r="L4730" s="563">
        <f t="shared" si="220"/>
        <v>0</v>
      </c>
      <c r="M4730" s="563">
        <f t="shared" si="221"/>
        <v>27.885000000000005</v>
      </c>
      <c r="N4730" s="580"/>
    </row>
    <row r="4731" spans="4:16" x14ac:dyDescent="0.25">
      <c r="D4731" s="559" t="s">
        <v>867</v>
      </c>
      <c r="E4731" s="558" t="s">
        <v>3713</v>
      </c>
      <c r="F4731" s="559">
        <v>701445</v>
      </c>
      <c r="G4731" s="558" t="s">
        <v>3710</v>
      </c>
      <c r="H4731" s="564">
        <v>40015</v>
      </c>
      <c r="I4731" s="563">
        <v>25.35</v>
      </c>
      <c r="J4731" s="563">
        <v>-25.35</v>
      </c>
      <c r="K4731" s="582">
        <f t="shared" si="219"/>
        <v>0</v>
      </c>
      <c r="L4731" s="563">
        <f t="shared" si="220"/>
        <v>0</v>
      </c>
      <c r="M4731" s="563">
        <f t="shared" si="221"/>
        <v>27.885000000000005</v>
      </c>
      <c r="N4731" s="580"/>
    </row>
    <row r="4732" spans="4:16" x14ac:dyDescent="0.25">
      <c r="D4732" s="559" t="s">
        <v>867</v>
      </c>
      <c r="E4732" s="558" t="s">
        <v>3714</v>
      </c>
      <c r="F4732" s="559">
        <v>701661</v>
      </c>
      <c r="G4732" s="558" t="s">
        <v>3710</v>
      </c>
      <c r="H4732" s="564">
        <v>40015</v>
      </c>
      <c r="I4732" s="563">
        <v>25.35</v>
      </c>
      <c r="J4732" s="563">
        <v>-25.35</v>
      </c>
      <c r="K4732" s="582">
        <f t="shared" si="219"/>
        <v>0</v>
      </c>
      <c r="L4732" s="563">
        <f t="shared" si="220"/>
        <v>0</v>
      </c>
      <c r="M4732" s="563">
        <f t="shared" si="221"/>
        <v>27.885000000000005</v>
      </c>
      <c r="N4732" s="580"/>
    </row>
    <row r="4733" spans="4:16" x14ac:dyDescent="0.25">
      <c r="D4733" s="559" t="s">
        <v>867</v>
      </c>
      <c r="E4733" s="558" t="s">
        <v>3715</v>
      </c>
      <c r="F4733" s="559">
        <v>701657</v>
      </c>
      <c r="G4733" s="558" t="s">
        <v>993</v>
      </c>
      <c r="H4733" s="564">
        <v>40015</v>
      </c>
      <c r="I4733" s="563">
        <v>688.35</v>
      </c>
      <c r="J4733" s="563">
        <v>-585</v>
      </c>
      <c r="K4733" s="582">
        <f t="shared" si="219"/>
        <v>103.35000000000002</v>
      </c>
      <c r="L4733" s="563">
        <f t="shared" si="220"/>
        <v>113.68500000000003</v>
      </c>
      <c r="M4733" s="563">
        <f t="shared" si="221"/>
        <v>757.18500000000006</v>
      </c>
      <c r="N4733" s="580"/>
    </row>
    <row r="4734" spans="4:16" x14ac:dyDescent="0.25">
      <c r="D4734" s="559" t="s">
        <v>867</v>
      </c>
      <c r="E4734" s="558" t="s">
        <v>3716</v>
      </c>
      <c r="F4734" s="559">
        <v>701058</v>
      </c>
      <c r="G4734" s="558" t="s">
        <v>993</v>
      </c>
      <c r="H4734" s="564">
        <v>40015</v>
      </c>
      <c r="I4734" s="563">
        <v>688.35</v>
      </c>
      <c r="J4734" s="563">
        <v>-585</v>
      </c>
      <c r="K4734" s="582">
        <f t="shared" si="219"/>
        <v>103.35000000000002</v>
      </c>
      <c r="L4734" s="563">
        <f t="shared" si="220"/>
        <v>113.68500000000003</v>
      </c>
      <c r="M4734" s="563">
        <f t="shared" si="221"/>
        <v>757.18500000000006</v>
      </c>
      <c r="N4734" s="580"/>
    </row>
    <row r="4735" spans="4:16" x14ac:dyDescent="0.25">
      <c r="D4735" s="559" t="s">
        <v>867</v>
      </c>
      <c r="E4735" s="558" t="s">
        <v>3717</v>
      </c>
      <c r="F4735" s="559">
        <v>702356</v>
      </c>
      <c r="G4735" s="558" t="s">
        <v>993</v>
      </c>
      <c r="H4735" s="564">
        <v>40015</v>
      </c>
      <c r="I4735" s="563">
        <v>688.35</v>
      </c>
      <c r="J4735" s="563">
        <v>-585</v>
      </c>
      <c r="K4735" s="582">
        <f t="shared" si="219"/>
        <v>103.35000000000002</v>
      </c>
      <c r="L4735" s="563">
        <f t="shared" si="220"/>
        <v>113.68500000000003</v>
      </c>
      <c r="M4735" s="563">
        <f t="shared" si="221"/>
        <v>757.18500000000006</v>
      </c>
      <c r="N4735" s="580"/>
    </row>
    <row r="4736" spans="4:16" x14ac:dyDescent="0.25">
      <c r="D4736" s="559" t="s">
        <v>867</v>
      </c>
      <c r="E4736" s="558" t="s">
        <v>3718</v>
      </c>
      <c r="F4736" s="559">
        <v>700080</v>
      </c>
      <c r="G4736" s="558" t="s">
        <v>993</v>
      </c>
      <c r="H4736" s="564">
        <v>40015</v>
      </c>
      <c r="I4736" s="563">
        <v>16.55</v>
      </c>
      <c r="J4736" s="563">
        <v>-16.55</v>
      </c>
      <c r="K4736" s="582">
        <f t="shared" si="219"/>
        <v>0</v>
      </c>
      <c r="L4736" s="563">
        <f t="shared" si="220"/>
        <v>0</v>
      </c>
      <c r="M4736" s="563">
        <f t="shared" si="221"/>
        <v>18.205000000000002</v>
      </c>
      <c r="N4736" s="580"/>
    </row>
    <row r="4737" spans="4:16" x14ac:dyDescent="0.25">
      <c r="D4737" s="559" t="s">
        <v>867</v>
      </c>
      <c r="E4737" s="558" t="s">
        <v>3719</v>
      </c>
      <c r="F4737" s="559">
        <v>702217</v>
      </c>
      <c r="G4737" s="558" t="s">
        <v>820</v>
      </c>
      <c r="H4737" s="564">
        <v>40015</v>
      </c>
      <c r="I4737" s="563">
        <v>192.65</v>
      </c>
      <c r="J4737" s="563">
        <v>-192.65</v>
      </c>
      <c r="K4737" s="582">
        <f t="shared" si="219"/>
        <v>0</v>
      </c>
      <c r="L4737" s="563">
        <f t="shared" si="220"/>
        <v>0</v>
      </c>
      <c r="M4737" s="563">
        <f t="shared" si="221"/>
        <v>211.91500000000002</v>
      </c>
      <c r="N4737" s="580"/>
    </row>
    <row r="4738" spans="4:16" x14ac:dyDescent="0.25">
      <c r="D4738" s="559" t="s">
        <v>867</v>
      </c>
      <c r="E4738" s="558" t="s">
        <v>3720</v>
      </c>
      <c r="F4738" s="559">
        <v>700002</v>
      </c>
      <c r="G4738" s="558" t="s">
        <v>820</v>
      </c>
      <c r="H4738" s="564">
        <v>40015</v>
      </c>
      <c r="I4738" s="563">
        <v>3828.65</v>
      </c>
      <c r="J4738" s="563">
        <v>-585</v>
      </c>
      <c r="K4738" s="582">
        <f t="shared" si="219"/>
        <v>3243.65</v>
      </c>
      <c r="L4738" s="563">
        <f t="shared" si="220"/>
        <v>3568.0150000000003</v>
      </c>
      <c r="M4738" s="563">
        <f t="shared" si="221"/>
        <v>4211.5150000000003</v>
      </c>
      <c r="N4738" s="580"/>
    </row>
    <row r="4739" spans="4:16" x14ac:dyDescent="0.25">
      <c r="D4739" s="559" t="s">
        <v>867</v>
      </c>
      <c r="E4739" s="558" t="s">
        <v>1983</v>
      </c>
      <c r="F4739" s="559">
        <v>701481</v>
      </c>
      <c r="G4739" s="558" t="s">
        <v>820</v>
      </c>
      <c r="H4739" s="564">
        <v>40015</v>
      </c>
      <c r="I4739" s="563">
        <v>192.65</v>
      </c>
      <c r="J4739" s="563">
        <v>-192.65</v>
      </c>
      <c r="K4739" s="563">
        <f t="shared" si="219"/>
        <v>0</v>
      </c>
      <c r="L4739" s="563">
        <f t="shared" si="220"/>
        <v>0</v>
      </c>
      <c r="M4739" s="563">
        <f t="shared" si="221"/>
        <v>211.91500000000002</v>
      </c>
      <c r="N4739" s="580"/>
      <c r="O4739" s="558"/>
      <c r="P4739" s="564"/>
    </row>
    <row r="4740" spans="4:16" x14ac:dyDescent="0.25">
      <c r="D4740" s="559" t="s">
        <v>867</v>
      </c>
      <c r="E4740" s="558" t="s">
        <v>3721</v>
      </c>
      <c r="F4740" s="559">
        <v>701655</v>
      </c>
      <c r="G4740" s="558" t="s">
        <v>996</v>
      </c>
      <c r="H4740" s="564">
        <v>40015</v>
      </c>
      <c r="I4740" s="563">
        <v>442.65</v>
      </c>
      <c r="J4740" s="563">
        <v>-442.65</v>
      </c>
      <c r="K4740" s="582">
        <f t="shared" si="219"/>
        <v>0</v>
      </c>
      <c r="L4740" s="563">
        <f t="shared" si="220"/>
        <v>0</v>
      </c>
      <c r="M4740" s="563">
        <f t="shared" si="221"/>
        <v>486.91500000000002</v>
      </c>
      <c r="N4740" s="580"/>
    </row>
    <row r="4741" spans="4:16" x14ac:dyDescent="0.25">
      <c r="D4741" s="559" t="s">
        <v>867</v>
      </c>
      <c r="E4741" s="558" t="s">
        <v>3722</v>
      </c>
      <c r="F4741" s="559">
        <v>700165</v>
      </c>
      <c r="G4741" s="558" t="s">
        <v>996</v>
      </c>
      <c r="H4741" s="564">
        <v>40015</v>
      </c>
      <c r="I4741" s="563">
        <v>18.350000000000001</v>
      </c>
      <c r="J4741" s="563">
        <v>-18.350000000000001</v>
      </c>
      <c r="K4741" s="582">
        <f t="shared" si="219"/>
        <v>0</v>
      </c>
      <c r="L4741" s="563">
        <f t="shared" si="220"/>
        <v>0</v>
      </c>
      <c r="M4741" s="563">
        <f t="shared" si="221"/>
        <v>20.185000000000002</v>
      </c>
      <c r="N4741" s="580"/>
    </row>
    <row r="4742" spans="4:16" x14ac:dyDescent="0.25">
      <c r="D4742" s="559" t="s">
        <v>867</v>
      </c>
      <c r="E4742" s="558" t="s">
        <v>3723</v>
      </c>
      <c r="F4742" s="559">
        <v>701655</v>
      </c>
      <c r="G4742" s="558" t="s">
        <v>996</v>
      </c>
      <c r="H4742" s="564">
        <v>40015</v>
      </c>
      <c r="I4742" s="563">
        <v>56.55</v>
      </c>
      <c r="J4742" s="563">
        <v>-56.55</v>
      </c>
      <c r="K4742" s="582">
        <f t="shared" si="219"/>
        <v>0</v>
      </c>
      <c r="L4742" s="563">
        <f t="shared" si="220"/>
        <v>0</v>
      </c>
      <c r="M4742" s="563">
        <f t="shared" si="221"/>
        <v>62.205000000000005</v>
      </c>
      <c r="N4742" s="580"/>
    </row>
    <row r="4743" spans="4:16" x14ac:dyDescent="0.25">
      <c r="D4743" s="559" t="s">
        <v>867</v>
      </c>
      <c r="E4743" s="558" t="s">
        <v>3724</v>
      </c>
      <c r="F4743" s="559">
        <v>701675</v>
      </c>
      <c r="G4743" s="558" t="s">
        <v>996</v>
      </c>
      <c r="H4743" s="564">
        <v>40015</v>
      </c>
      <c r="I4743" s="563">
        <v>225.4</v>
      </c>
      <c r="J4743" s="563">
        <v>-225.4</v>
      </c>
      <c r="K4743" s="582">
        <f t="shared" si="219"/>
        <v>0</v>
      </c>
      <c r="L4743" s="563">
        <f t="shared" si="220"/>
        <v>0</v>
      </c>
      <c r="M4743" s="563">
        <f t="shared" si="221"/>
        <v>247.94000000000003</v>
      </c>
      <c r="N4743" s="580"/>
    </row>
    <row r="4744" spans="4:16" x14ac:dyDescent="0.25">
      <c r="D4744" s="559" t="s">
        <v>867</v>
      </c>
      <c r="E4744" s="558" t="s">
        <v>3725</v>
      </c>
      <c r="F4744" s="559">
        <v>701680</v>
      </c>
      <c r="G4744" s="558" t="s">
        <v>996</v>
      </c>
      <c r="H4744" s="564">
        <v>40015</v>
      </c>
      <c r="I4744" s="563">
        <v>32.75</v>
      </c>
      <c r="J4744" s="563">
        <v>-32.75</v>
      </c>
      <c r="K4744" s="582">
        <f t="shared" si="219"/>
        <v>0</v>
      </c>
      <c r="L4744" s="563">
        <f t="shared" si="220"/>
        <v>0</v>
      </c>
      <c r="M4744" s="563">
        <f t="shared" si="221"/>
        <v>36.025000000000006</v>
      </c>
      <c r="N4744" s="580"/>
    </row>
    <row r="4745" spans="4:16" x14ac:dyDescent="0.25">
      <c r="D4745" s="559" t="s">
        <v>867</v>
      </c>
      <c r="E4745" s="558" t="s">
        <v>3726</v>
      </c>
      <c r="F4745" s="559">
        <v>702233</v>
      </c>
      <c r="G4745" s="558" t="s">
        <v>998</v>
      </c>
      <c r="H4745" s="564">
        <v>40015</v>
      </c>
      <c r="I4745" s="563">
        <v>56.15</v>
      </c>
      <c r="J4745" s="563">
        <v>-56.15</v>
      </c>
      <c r="K4745" s="582">
        <f t="shared" si="219"/>
        <v>0</v>
      </c>
      <c r="L4745" s="563">
        <f t="shared" si="220"/>
        <v>0</v>
      </c>
      <c r="M4745" s="563">
        <f t="shared" si="221"/>
        <v>61.765000000000001</v>
      </c>
      <c r="N4745" s="580"/>
    </row>
    <row r="4746" spans="4:16" x14ac:dyDescent="0.25">
      <c r="D4746" s="559" t="s">
        <v>867</v>
      </c>
      <c r="E4746" s="558" t="s">
        <v>3727</v>
      </c>
      <c r="F4746" s="559">
        <v>700169</v>
      </c>
      <c r="G4746" s="558" t="s">
        <v>998</v>
      </c>
      <c r="H4746" s="564">
        <v>40015</v>
      </c>
      <c r="I4746" s="563">
        <v>227.75</v>
      </c>
      <c r="J4746" s="563">
        <v>-227.75</v>
      </c>
      <c r="K4746" s="582">
        <f t="shared" si="219"/>
        <v>0</v>
      </c>
      <c r="L4746" s="563">
        <f t="shared" si="220"/>
        <v>0</v>
      </c>
      <c r="M4746" s="563">
        <f t="shared" si="221"/>
        <v>250.52500000000003</v>
      </c>
      <c r="N4746" s="580"/>
    </row>
    <row r="4747" spans="4:16" x14ac:dyDescent="0.25">
      <c r="D4747" s="559" t="s">
        <v>867</v>
      </c>
      <c r="E4747" s="558" t="s">
        <v>3728</v>
      </c>
      <c r="F4747" s="559">
        <v>701104</v>
      </c>
      <c r="G4747" s="558" t="s">
        <v>998</v>
      </c>
      <c r="H4747" s="564">
        <v>40015</v>
      </c>
      <c r="I4747" s="563">
        <v>415.35</v>
      </c>
      <c r="J4747" s="563">
        <v>-415.35</v>
      </c>
      <c r="K4747" s="582">
        <f t="shared" si="219"/>
        <v>0</v>
      </c>
      <c r="L4747" s="563">
        <f t="shared" si="220"/>
        <v>0</v>
      </c>
      <c r="M4747" s="563">
        <f t="shared" si="221"/>
        <v>456.88500000000005</v>
      </c>
      <c r="N4747" s="580"/>
    </row>
    <row r="4748" spans="4:16" x14ac:dyDescent="0.25">
      <c r="D4748" s="559" t="s">
        <v>867</v>
      </c>
      <c r="E4748" s="558" t="s">
        <v>3729</v>
      </c>
      <c r="F4748" s="559">
        <v>701717</v>
      </c>
      <c r="G4748" s="558" t="s">
        <v>998</v>
      </c>
      <c r="H4748" s="564">
        <v>40015</v>
      </c>
      <c r="I4748" s="563">
        <v>390</v>
      </c>
      <c r="J4748" s="563">
        <v>-390</v>
      </c>
      <c r="K4748" s="582">
        <f t="shared" si="219"/>
        <v>0</v>
      </c>
      <c r="L4748" s="563">
        <f t="shared" si="220"/>
        <v>0</v>
      </c>
      <c r="M4748" s="563">
        <f t="shared" si="221"/>
        <v>429.00000000000006</v>
      </c>
      <c r="N4748" s="580"/>
    </row>
    <row r="4749" spans="4:16" x14ac:dyDescent="0.25">
      <c r="D4749" s="559" t="s">
        <v>867</v>
      </c>
      <c r="E4749" s="558" t="s">
        <v>3730</v>
      </c>
      <c r="F4749" s="559">
        <v>700168</v>
      </c>
      <c r="G4749" s="558" t="s">
        <v>1000</v>
      </c>
      <c r="H4749" s="564">
        <v>40015</v>
      </c>
      <c r="I4749" s="563">
        <v>428.2</v>
      </c>
      <c r="J4749" s="563">
        <v>-428.2</v>
      </c>
      <c r="K4749" s="582">
        <f t="shared" si="219"/>
        <v>0</v>
      </c>
      <c r="L4749" s="563">
        <f t="shared" si="220"/>
        <v>0</v>
      </c>
      <c r="M4749" s="563">
        <f t="shared" si="221"/>
        <v>471.02000000000004</v>
      </c>
      <c r="N4749" s="580"/>
    </row>
    <row r="4750" spans="4:16" x14ac:dyDescent="0.25">
      <c r="D4750" s="559" t="s">
        <v>867</v>
      </c>
      <c r="E4750" s="558" t="s">
        <v>3731</v>
      </c>
      <c r="F4750" s="559">
        <v>701077</v>
      </c>
      <c r="G4750" s="558" t="s">
        <v>1000</v>
      </c>
      <c r="H4750" s="564">
        <v>40015</v>
      </c>
      <c r="I4750" s="563">
        <v>395.45</v>
      </c>
      <c r="J4750" s="563">
        <v>-395.45</v>
      </c>
      <c r="K4750" s="582">
        <f t="shared" si="219"/>
        <v>0</v>
      </c>
      <c r="L4750" s="563">
        <f t="shared" si="220"/>
        <v>0</v>
      </c>
      <c r="M4750" s="563">
        <f t="shared" si="221"/>
        <v>434.995</v>
      </c>
      <c r="N4750" s="580"/>
    </row>
    <row r="4751" spans="4:16" x14ac:dyDescent="0.25">
      <c r="D4751" s="559" t="s">
        <v>867</v>
      </c>
      <c r="E4751" s="558" t="s">
        <v>3732</v>
      </c>
      <c r="F4751" s="559">
        <v>701165</v>
      </c>
      <c r="G4751" s="558" t="s">
        <v>1000</v>
      </c>
      <c r="H4751" s="564">
        <v>40015</v>
      </c>
      <c r="I4751" s="563">
        <v>795.6</v>
      </c>
      <c r="J4751" s="563">
        <v>-585</v>
      </c>
      <c r="K4751" s="582">
        <f t="shared" si="219"/>
        <v>210.60000000000002</v>
      </c>
      <c r="L4751" s="563">
        <f t="shared" si="220"/>
        <v>231.66000000000005</v>
      </c>
      <c r="M4751" s="563">
        <f t="shared" si="221"/>
        <v>875.16000000000008</v>
      </c>
      <c r="N4751" s="580"/>
    </row>
    <row r="4752" spans="4:16" x14ac:dyDescent="0.25">
      <c r="D4752" s="559" t="s">
        <v>867</v>
      </c>
      <c r="E4752" s="558" t="s">
        <v>3733</v>
      </c>
      <c r="F4752" s="559">
        <v>701165</v>
      </c>
      <c r="G4752" s="558" t="s">
        <v>1000</v>
      </c>
      <c r="H4752" s="564">
        <v>40015</v>
      </c>
      <c r="I4752" s="563">
        <v>296.39999999999998</v>
      </c>
      <c r="J4752" s="563">
        <v>-296.39999999999998</v>
      </c>
      <c r="K4752" s="582">
        <f t="shared" si="219"/>
        <v>0</v>
      </c>
      <c r="L4752" s="563">
        <f t="shared" si="220"/>
        <v>0</v>
      </c>
      <c r="M4752" s="563">
        <f t="shared" si="221"/>
        <v>326.04000000000002</v>
      </c>
      <c r="N4752" s="580"/>
    </row>
    <row r="4753" spans="4:16" x14ac:dyDescent="0.25">
      <c r="D4753" s="559" t="s">
        <v>867</v>
      </c>
      <c r="E4753" s="558" t="s">
        <v>3734</v>
      </c>
      <c r="F4753" s="559">
        <v>701165</v>
      </c>
      <c r="G4753" s="558" t="s">
        <v>1000</v>
      </c>
      <c r="H4753" s="564">
        <v>40015</v>
      </c>
      <c r="I4753" s="563">
        <v>1363.85</v>
      </c>
      <c r="J4753" s="563">
        <v>-585</v>
      </c>
      <c r="K4753" s="582">
        <f t="shared" si="219"/>
        <v>778.84999999999991</v>
      </c>
      <c r="L4753" s="563">
        <f t="shared" si="220"/>
        <v>856.73500000000001</v>
      </c>
      <c r="M4753" s="563">
        <f t="shared" si="221"/>
        <v>1500.2350000000001</v>
      </c>
      <c r="N4753" s="580"/>
    </row>
    <row r="4754" spans="4:16" x14ac:dyDescent="0.25">
      <c r="D4754" s="559" t="s">
        <v>867</v>
      </c>
      <c r="E4754" s="558" t="s">
        <v>3735</v>
      </c>
      <c r="F4754" s="559">
        <v>702353</v>
      </c>
      <c r="G4754" s="558" t="s">
        <v>1002</v>
      </c>
      <c r="H4754" s="564">
        <v>40015</v>
      </c>
      <c r="I4754" s="563">
        <v>1390.35</v>
      </c>
      <c r="J4754" s="563">
        <v>-585</v>
      </c>
      <c r="K4754" s="582">
        <f t="shared" si="219"/>
        <v>805.34999999999991</v>
      </c>
      <c r="L4754" s="563">
        <f t="shared" si="220"/>
        <v>885.88499999999999</v>
      </c>
      <c r="M4754" s="563">
        <f t="shared" si="221"/>
        <v>1529.385</v>
      </c>
      <c r="N4754" s="580"/>
    </row>
    <row r="4755" spans="4:16" x14ac:dyDescent="0.25">
      <c r="D4755" s="559" t="s">
        <v>867</v>
      </c>
      <c r="E4755" s="558" t="s">
        <v>3736</v>
      </c>
      <c r="F4755" s="559">
        <v>700020</v>
      </c>
      <c r="G4755" s="558" t="s">
        <v>1002</v>
      </c>
      <c r="H4755" s="564">
        <v>40015</v>
      </c>
      <c r="I4755" s="563">
        <v>1189.5</v>
      </c>
      <c r="J4755" s="563">
        <v>-585</v>
      </c>
      <c r="K4755" s="582">
        <f t="shared" si="219"/>
        <v>604.5</v>
      </c>
      <c r="L4755" s="563">
        <f t="shared" si="220"/>
        <v>664.95</v>
      </c>
      <c r="M4755" s="563">
        <f t="shared" si="221"/>
        <v>1308.45</v>
      </c>
      <c r="N4755" s="580"/>
    </row>
    <row r="4756" spans="4:16" x14ac:dyDescent="0.25">
      <c r="D4756" s="559" t="s">
        <v>867</v>
      </c>
      <c r="E4756" s="558" t="s">
        <v>3737</v>
      </c>
      <c r="F4756" s="559">
        <v>701076</v>
      </c>
      <c r="G4756" s="558" t="s">
        <v>1002</v>
      </c>
      <c r="H4756" s="564">
        <v>40015</v>
      </c>
      <c r="I4756" s="563">
        <v>35.1</v>
      </c>
      <c r="J4756" s="563">
        <v>-35.1</v>
      </c>
      <c r="K4756" s="582">
        <f t="shared" si="219"/>
        <v>0</v>
      </c>
      <c r="L4756" s="563">
        <f t="shared" si="220"/>
        <v>0</v>
      </c>
      <c r="M4756" s="563">
        <f t="shared" si="221"/>
        <v>38.610000000000007</v>
      </c>
      <c r="N4756" s="580"/>
    </row>
    <row r="4757" spans="4:16" x14ac:dyDescent="0.25">
      <c r="D4757" s="559" t="s">
        <v>867</v>
      </c>
      <c r="E4757" s="558" t="s">
        <v>1984</v>
      </c>
      <c r="F4757" s="559">
        <v>700223</v>
      </c>
      <c r="G4757" s="558" t="s">
        <v>1002</v>
      </c>
      <c r="H4757" s="564">
        <v>40015</v>
      </c>
      <c r="I4757" s="563">
        <v>495.3</v>
      </c>
      <c r="J4757" s="563">
        <v>-495.3</v>
      </c>
      <c r="K4757" s="563">
        <f t="shared" si="219"/>
        <v>0</v>
      </c>
      <c r="L4757" s="563">
        <f t="shared" si="220"/>
        <v>0</v>
      </c>
      <c r="M4757" s="563">
        <f t="shared" si="221"/>
        <v>544.83000000000004</v>
      </c>
      <c r="N4757" s="580"/>
      <c r="O4757" s="558"/>
      <c r="P4757" s="564"/>
    </row>
    <row r="4758" spans="4:16" x14ac:dyDescent="0.25">
      <c r="D4758" s="559" t="s">
        <v>867</v>
      </c>
      <c r="E4758" s="558" t="s">
        <v>3738</v>
      </c>
      <c r="F4758" s="559">
        <v>700064</v>
      </c>
      <c r="G4758" s="558" t="s">
        <v>934</v>
      </c>
      <c r="H4758" s="564">
        <v>40015</v>
      </c>
      <c r="I4758" s="563">
        <v>2620.8000000000002</v>
      </c>
      <c r="J4758" s="563">
        <v>-585</v>
      </c>
      <c r="K4758" s="582">
        <f t="shared" si="219"/>
        <v>2035.8000000000002</v>
      </c>
      <c r="L4758" s="563">
        <f t="shared" si="220"/>
        <v>2239.3800000000006</v>
      </c>
      <c r="M4758" s="563">
        <f t="shared" si="221"/>
        <v>2882.8800000000006</v>
      </c>
      <c r="N4758" s="580"/>
    </row>
    <row r="4759" spans="4:16" x14ac:dyDescent="0.25">
      <c r="D4759" s="559" t="s">
        <v>867</v>
      </c>
      <c r="E4759" s="558" t="s">
        <v>3739</v>
      </c>
      <c r="F4759" s="559">
        <v>700183</v>
      </c>
      <c r="G4759" s="558" t="s">
        <v>934</v>
      </c>
      <c r="H4759" s="564">
        <v>40015</v>
      </c>
      <c r="I4759" s="563">
        <v>2172.3000000000002</v>
      </c>
      <c r="J4759" s="563">
        <v>-585</v>
      </c>
      <c r="K4759" s="582">
        <f t="shared" si="219"/>
        <v>1587.3000000000002</v>
      </c>
      <c r="L4759" s="563">
        <f t="shared" si="220"/>
        <v>1746.0300000000004</v>
      </c>
      <c r="M4759" s="563">
        <f t="shared" si="221"/>
        <v>2389.5300000000002</v>
      </c>
      <c r="N4759" s="580"/>
    </row>
    <row r="4760" spans="4:16" x14ac:dyDescent="0.25">
      <c r="D4760" s="559" t="s">
        <v>867</v>
      </c>
      <c r="E4760" s="558" t="s">
        <v>3740</v>
      </c>
      <c r="F4760" s="559">
        <v>701678</v>
      </c>
      <c r="G4760" s="558" t="s">
        <v>934</v>
      </c>
      <c r="H4760" s="564">
        <v>40015</v>
      </c>
      <c r="I4760" s="563">
        <v>773.75</v>
      </c>
      <c r="J4760" s="563">
        <v>-585</v>
      </c>
      <c r="K4760" s="582">
        <f t="shared" si="219"/>
        <v>188.75</v>
      </c>
      <c r="L4760" s="563">
        <f t="shared" si="220"/>
        <v>207.62500000000003</v>
      </c>
      <c r="M4760" s="563">
        <f t="shared" si="221"/>
        <v>851.12500000000011</v>
      </c>
      <c r="N4760" s="580"/>
    </row>
    <row r="4761" spans="4:16" x14ac:dyDescent="0.25">
      <c r="D4761" s="559" t="s">
        <v>867</v>
      </c>
      <c r="E4761" s="558" t="s">
        <v>1985</v>
      </c>
      <c r="F4761" s="559">
        <v>701701</v>
      </c>
      <c r="G4761" s="558" t="s">
        <v>934</v>
      </c>
      <c r="H4761" s="564">
        <v>40015</v>
      </c>
      <c r="I4761" s="563">
        <v>1152.45</v>
      </c>
      <c r="J4761" s="563">
        <v>-585</v>
      </c>
      <c r="K4761" s="563">
        <f t="shared" si="219"/>
        <v>567.45000000000005</v>
      </c>
      <c r="L4761" s="563">
        <f t="shared" si="220"/>
        <v>624.19500000000005</v>
      </c>
      <c r="M4761" s="563">
        <f t="shared" si="221"/>
        <v>1267.6950000000002</v>
      </c>
      <c r="N4761" s="580"/>
      <c r="O4761" s="558"/>
      <c r="P4761" s="564"/>
    </row>
    <row r="4762" spans="4:16" x14ac:dyDescent="0.25">
      <c r="D4762" s="559" t="s">
        <v>867</v>
      </c>
      <c r="E4762" s="558" t="s">
        <v>3741</v>
      </c>
      <c r="F4762" s="559">
        <v>701079</v>
      </c>
      <c r="G4762" s="558" t="s">
        <v>936</v>
      </c>
      <c r="H4762" s="564">
        <v>40015</v>
      </c>
      <c r="I4762" s="563">
        <v>1587.3</v>
      </c>
      <c r="J4762" s="563">
        <v>-585</v>
      </c>
      <c r="K4762" s="582">
        <f t="shared" si="219"/>
        <v>1002.3</v>
      </c>
      <c r="L4762" s="563">
        <f t="shared" si="220"/>
        <v>1102.53</v>
      </c>
      <c r="M4762" s="563">
        <f t="shared" si="221"/>
        <v>1746.0300000000002</v>
      </c>
      <c r="N4762" s="580"/>
    </row>
    <row r="4763" spans="4:16" x14ac:dyDescent="0.25">
      <c r="D4763" s="559" t="s">
        <v>867</v>
      </c>
      <c r="E4763" s="558" t="s">
        <v>3742</v>
      </c>
      <c r="F4763" s="559">
        <v>700081</v>
      </c>
      <c r="G4763" s="558" t="s">
        <v>943</v>
      </c>
      <c r="H4763" s="564">
        <v>40015</v>
      </c>
      <c r="I4763" s="563">
        <v>345.15</v>
      </c>
      <c r="J4763" s="563">
        <v>-345.15</v>
      </c>
      <c r="K4763" s="582">
        <f t="shared" si="219"/>
        <v>0</v>
      </c>
      <c r="L4763" s="563">
        <f t="shared" si="220"/>
        <v>0</v>
      </c>
      <c r="M4763" s="563">
        <f t="shared" si="221"/>
        <v>379.66500000000002</v>
      </c>
      <c r="N4763" s="580"/>
    </row>
    <row r="4764" spans="4:16" x14ac:dyDescent="0.25">
      <c r="D4764" s="559" t="s">
        <v>867</v>
      </c>
      <c r="E4764" s="558" t="s">
        <v>1986</v>
      </c>
      <c r="F4764" s="559">
        <v>700083</v>
      </c>
      <c r="G4764" s="558" t="s">
        <v>943</v>
      </c>
      <c r="H4764" s="564">
        <v>40015</v>
      </c>
      <c r="I4764" s="563">
        <v>598.25</v>
      </c>
      <c r="J4764" s="563">
        <v>-585</v>
      </c>
      <c r="K4764" s="563">
        <f t="shared" si="219"/>
        <v>13.25</v>
      </c>
      <c r="L4764" s="563">
        <f t="shared" si="220"/>
        <v>14.575000000000001</v>
      </c>
      <c r="M4764" s="563">
        <f t="shared" si="221"/>
        <v>658.07500000000005</v>
      </c>
      <c r="N4764" s="580"/>
      <c r="O4764" s="558"/>
      <c r="P4764" s="564"/>
    </row>
    <row r="4765" spans="4:16" x14ac:dyDescent="0.25">
      <c r="D4765" s="559" t="s">
        <v>867</v>
      </c>
      <c r="E4765" s="558" t="s">
        <v>3743</v>
      </c>
      <c r="F4765" s="559">
        <v>700224</v>
      </c>
      <c r="G4765" s="558" t="s">
        <v>943</v>
      </c>
      <c r="H4765" s="564">
        <v>40015</v>
      </c>
      <c r="I4765" s="563">
        <v>7.8</v>
      </c>
      <c r="J4765" s="563">
        <v>-7.8</v>
      </c>
      <c r="K4765" s="582">
        <f t="shared" si="219"/>
        <v>0</v>
      </c>
      <c r="L4765" s="563">
        <f t="shared" si="220"/>
        <v>0</v>
      </c>
      <c r="M4765" s="563">
        <f t="shared" si="221"/>
        <v>8.58</v>
      </c>
      <c r="N4765" s="580"/>
    </row>
    <row r="4766" spans="4:16" x14ac:dyDescent="0.25">
      <c r="D4766" s="559" t="s">
        <v>867</v>
      </c>
      <c r="E4766" s="558" t="s">
        <v>3744</v>
      </c>
      <c r="F4766" s="559">
        <v>700226</v>
      </c>
      <c r="G4766" s="558" t="s">
        <v>1009</v>
      </c>
      <c r="H4766" s="564">
        <v>40015</v>
      </c>
      <c r="I4766" s="563">
        <v>3.3</v>
      </c>
      <c r="J4766" s="563">
        <v>-3.3</v>
      </c>
      <c r="K4766" s="582">
        <f t="shared" si="219"/>
        <v>0</v>
      </c>
      <c r="L4766" s="563">
        <f t="shared" si="220"/>
        <v>0</v>
      </c>
      <c r="M4766" s="563">
        <f t="shared" si="221"/>
        <v>3.63</v>
      </c>
      <c r="N4766" s="580"/>
    </row>
    <row r="4767" spans="4:16" x14ac:dyDescent="0.25">
      <c r="D4767" s="559" t="s">
        <v>867</v>
      </c>
      <c r="E4767" s="558" t="s">
        <v>1987</v>
      </c>
      <c r="F4767" s="559">
        <v>701651</v>
      </c>
      <c r="G4767" s="558" t="s">
        <v>1009</v>
      </c>
      <c r="H4767" s="564">
        <v>40015</v>
      </c>
      <c r="I4767" s="563">
        <v>100.25</v>
      </c>
      <c r="J4767" s="563">
        <v>-100.25</v>
      </c>
      <c r="K4767" s="563">
        <f t="shared" si="219"/>
        <v>0</v>
      </c>
      <c r="L4767" s="563">
        <f t="shared" si="220"/>
        <v>0</v>
      </c>
      <c r="M4767" s="563">
        <f t="shared" si="221"/>
        <v>110.27500000000001</v>
      </c>
      <c r="N4767" s="580"/>
      <c r="O4767" s="558"/>
      <c r="P4767" s="564"/>
    </row>
    <row r="4768" spans="4:16" x14ac:dyDescent="0.25">
      <c r="D4768" s="559" t="s">
        <v>867</v>
      </c>
      <c r="E4768" s="558" t="s">
        <v>3745</v>
      </c>
      <c r="F4768" s="559">
        <v>701121</v>
      </c>
      <c r="G4768" s="558" t="s">
        <v>1009</v>
      </c>
      <c r="H4768" s="564">
        <v>40015</v>
      </c>
      <c r="I4768" s="563">
        <v>65.150000000000006</v>
      </c>
      <c r="J4768" s="563">
        <v>-65.150000000000006</v>
      </c>
      <c r="K4768" s="582">
        <f t="shared" si="219"/>
        <v>0</v>
      </c>
      <c r="L4768" s="563">
        <f t="shared" si="220"/>
        <v>0</v>
      </c>
      <c r="M4768" s="563">
        <f t="shared" si="221"/>
        <v>71.665000000000006</v>
      </c>
      <c r="N4768" s="580"/>
    </row>
    <row r="4769" spans="4:16" x14ac:dyDescent="0.25">
      <c r="D4769" s="559" t="s">
        <v>867</v>
      </c>
      <c r="E4769" s="558" t="s">
        <v>1988</v>
      </c>
      <c r="F4769" s="559">
        <v>700088</v>
      </c>
      <c r="G4769" s="558" t="s">
        <v>1989</v>
      </c>
      <c r="H4769" s="564">
        <v>40015</v>
      </c>
      <c r="I4769" s="563">
        <v>115.85</v>
      </c>
      <c r="J4769" s="563">
        <v>-115.85</v>
      </c>
      <c r="K4769" s="563">
        <f t="shared" si="219"/>
        <v>0</v>
      </c>
      <c r="L4769" s="563">
        <f t="shared" si="220"/>
        <v>0</v>
      </c>
      <c r="M4769" s="563">
        <f t="shared" si="221"/>
        <v>127.435</v>
      </c>
      <c r="N4769" s="580"/>
      <c r="O4769" s="558"/>
      <c r="P4769" s="564"/>
    </row>
    <row r="4770" spans="4:16" x14ac:dyDescent="0.25">
      <c r="D4770" s="559" t="s">
        <v>867</v>
      </c>
      <c r="E4770" s="558" t="s">
        <v>3746</v>
      </c>
      <c r="F4770" s="559">
        <v>701143</v>
      </c>
      <c r="G4770" s="558" t="s">
        <v>1989</v>
      </c>
      <c r="H4770" s="564">
        <v>40015</v>
      </c>
      <c r="I4770" s="563">
        <v>2.75</v>
      </c>
      <c r="J4770" s="563">
        <v>-2.75</v>
      </c>
      <c r="K4770" s="582">
        <f t="shared" si="219"/>
        <v>0</v>
      </c>
      <c r="L4770" s="563">
        <f t="shared" si="220"/>
        <v>0</v>
      </c>
      <c r="M4770" s="563">
        <f t="shared" si="221"/>
        <v>3.0250000000000004</v>
      </c>
      <c r="N4770" s="580"/>
    </row>
    <row r="4771" spans="4:16" x14ac:dyDescent="0.25">
      <c r="D4771" s="559" t="s">
        <v>867</v>
      </c>
      <c r="E4771" s="558" t="s">
        <v>3747</v>
      </c>
      <c r="F4771" s="559">
        <v>700149</v>
      </c>
      <c r="G4771" s="558" t="s">
        <v>1989</v>
      </c>
      <c r="H4771" s="564">
        <v>40015</v>
      </c>
      <c r="I4771" s="563">
        <v>7.8</v>
      </c>
      <c r="J4771" s="563">
        <v>-7.8</v>
      </c>
      <c r="K4771" s="582">
        <f t="shared" si="219"/>
        <v>0</v>
      </c>
      <c r="L4771" s="563">
        <f t="shared" si="220"/>
        <v>0</v>
      </c>
      <c r="M4771" s="563">
        <f t="shared" si="221"/>
        <v>8.58</v>
      </c>
      <c r="N4771" s="580"/>
    </row>
    <row r="4772" spans="4:16" x14ac:dyDescent="0.25">
      <c r="D4772" s="559" t="s">
        <v>867</v>
      </c>
      <c r="E4772" s="558" t="s">
        <v>1990</v>
      </c>
      <c r="F4772" s="559">
        <v>702153</v>
      </c>
      <c r="G4772" s="558" t="s">
        <v>1989</v>
      </c>
      <c r="H4772" s="564">
        <v>40015</v>
      </c>
      <c r="I4772" s="563">
        <v>3.5</v>
      </c>
      <c r="J4772" s="563">
        <v>-3.5</v>
      </c>
      <c r="K4772" s="563">
        <f t="shared" si="219"/>
        <v>0</v>
      </c>
      <c r="L4772" s="563">
        <f t="shared" si="220"/>
        <v>0</v>
      </c>
      <c r="M4772" s="563">
        <f t="shared" si="221"/>
        <v>3.8500000000000005</v>
      </c>
      <c r="N4772" s="580"/>
      <c r="O4772" s="558"/>
      <c r="P4772" s="564"/>
    </row>
    <row r="4773" spans="4:16" x14ac:dyDescent="0.25">
      <c r="D4773" s="559" t="s">
        <v>867</v>
      </c>
      <c r="E4773" s="558" t="s">
        <v>1991</v>
      </c>
      <c r="F4773" s="559">
        <v>702153</v>
      </c>
      <c r="G4773" s="558" t="s">
        <v>1989</v>
      </c>
      <c r="H4773" s="564">
        <v>40015</v>
      </c>
      <c r="I4773" s="563">
        <v>863.85</v>
      </c>
      <c r="J4773" s="563">
        <v>-585</v>
      </c>
      <c r="K4773" s="563">
        <f t="shared" si="219"/>
        <v>278.85000000000002</v>
      </c>
      <c r="L4773" s="563">
        <f t="shared" si="220"/>
        <v>306.73500000000007</v>
      </c>
      <c r="M4773" s="563">
        <f t="shared" si="221"/>
        <v>950.23500000000013</v>
      </c>
      <c r="N4773" s="580"/>
      <c r="O4773" s="558"/>
      <c r="P4773" s="564"/>
    </row>
    <row r="4774" spans="4:16" x14ac:dyDescent="0.25">
      <c r="D4774" s="559" t="s">
        <v>867</v>
      </c>
      <c r="E4774" s="558" t="s">
        <v>1992</v>
      </c>
      <c r="F4774" s="559">
        <v>700091</v>
      </c>
      <c r="G4774" s="558" t="s">
        <v>822</v>
      </c>
      <c r="H4774" s="564">
        <v>40015</v>
      </c>
      <c r="I4774" s="563">
        <v>768.3</v>
      </c>
      <c r="J4774" s="563">
        <v>-585</v>
      </c>
      <c r="K4774" s="563">
        <f t="shared" si="219"/>
        <v>183.29999999999995</v>
      </c>
      <c r="L4774" s="563">
        <f t="shared" si="220"/>
        <v>201.62999999999997</v>
      </c>
      <c r="M4774" s="563">
        <f t="shared" si="221"/>
        <v>845.13</v>
      </c>
      <c r="N4774" s="580"/>
      <c r="O4774" s="558"/>
      <c r="P4774" s="564"/>
    </row>
    <row r="4775" spans="4:16" x14ac:dyDescent="0.25">
      <c r="D4775" s="559" t="s">
        <v>867</v>
      </c>
      <c r="E4775" s="558" t="s">
        <v>3748</v>
      </c>
      <c r="F4775" s="559">
        <v>700227</v>
      </c>
      <c r="G4775" s="558" t="s">
        <v>822</v>
      </c>
      <c r="H4775" s="564">
        <v>40015</v>
      </c>
      <c r="I4775" s="563">
        <v>17.55</v>
      </c>
      <c r="J4775" s="563">
        <v>-17.55</v>
      </c>
      <c r="K4775" s="582">
        <f t="shared" si="219"/>
        <v>0</v>
      </c>
      <c r="L4775" s="563">
        <f t="shared" si="220"/>
        <v>0</v>
      </c>
      <c r="M4775" s="563">
        <f t="shared" si="221"/>
        <v>19.305000000000003</v>
      </c>
      <c r="N4775" s="580"/>
    </row>
    <row r="4776" spans="4:16" x14ac:dyDescent="0.25">
      <c r="D4776" s="559" t="s">
        <v>867</v>
      </c>
      <c r="E4776" s="558" t="s">
        <v>1993</v>
      </c>
      <c r="F4776" s="559">
        <v>701087</v>
      </c>
      <c r="G4776" s="558" t="s">
        <v>822</v>
      </c>
      <c r="H4776" s="564">
        <v>40015</v>
      </c>
      <c r="I4776" s="563">
        <v>284.7</v>
      </c>
      <c r="J4776" s="563">
        <v>-284.7</v>
      </c>
      <c r="K4776" s="563">
        <f t="shared" si="219"/>
        <v>0</v>
      </c>
      <c r="L4776" s="563">
        <f t="shared" si="220"/>
        <v>0</v>
      </c>
      <c r="M4776" s="563">
        <f t="shared" si="221"/>
        <v>313.17</v>
      </c>
      <c r="N4776" s="580"/>
      <c r="O4776" s="558"/>
      <c r="P4776" s="564"/>
    </row>
    <row r="4777" spans="4:16" x14ac:dyDescent="0.25">
      <c r="D4777" s="559" t="s">
        <v>867</v>
      </c>
      <c r="E4777" s="558" t="s">
        <v>3749</v>
      </c>
      <c r="F4777" s="559">
        <v>700093</v>
      </c>
      <c r="G4777" s="558" t="s">
        <v>822</v>
      </c>
      <c r="H4777" s="564">
        <v>40015</v>
      </c>
      <c r="I4777" s="563">
        <v>17.55</v>
      </c>
      <c r="J4777" s="563">
        <v>-17.55</v>
      </c>
      <c r="K4777" s="582">
        <f t="shared" ref="K4777:K4840" si="222">+I4777+J4777</f>
        <v>0</v>
      </c>
      <c r="L4777" s="563">
        <f t="shared" ref="L4777:L4840" si="223">+K4777*1.1</f>
        <v>0</v>
      </c>
      <c r="M4777" s="563">
        <f t="shared" ref="M4777:M4840" si="224">+I4777*1.1</f>
        <v>19.305000000000003</v>
      </c>
      <c r="N4777" s="580"/>
    </row>
    <row r="4778" spans="4:16" x14ac:dyDescent="0.25">
      <c r="D4778" s="559" t="s">
        <v>867</v>
      </c>
      <c r="E4778" s="558" t="s">
        <v>3750</v>
      </c>
      <c r="F4778" s="559">
        <v>700093</v>
      </c>
      <c r="G4778" s="558" t="s">
        <v>1995</v>
      </c>
      <c r="H4778" s="564">
        <v>40015</v>
      </c>
      <c r="I4778" s="563">
        <v>212.55</v>
      </c>
      <c r="J4778" s="563">
        <v>-212.55</v>
      </c>
      <c r="K4778" s="582">
        <f t="shared" si="222"/>
        <v>0</v>
      </c>
      <c r="L4778" s="563">
        <f t="shared" si="223"/>
        <v>0</v>
      </c>
      <c r="M4778" s="563">
        <f t="shared" si="224"/>
        <v>233.80500000000004</v>
      </c>
      <c r="N4778" s="580"/>
    </row>
    <row r="4779" spans="4:16" x14ac:dyDescent="0.25">
      <c r="D4779" s="559" t="s">
        <v>867</v>
      </c>
      <c r="E4779" s="558" t="s">
        <v>3751</v>
      </c>
      <c r="F4779" s="559">
        <v>700093</v>
      </c>
      <c r="G4779" s="558" t="s">
        <v>1995</v>
      </c>
      <c r="H4779" s="564">
        <v>40015</v>
      </c>
      <c r="I4779" s="563">
        <v>2986.6</v>
      </c>
      <c r="J4779" s="563">
        <v>-585</v>
      </c>
      <c r="K4779" s="582">
        <f t="shared" si="222"/>
        <v>2401.6</v>
      </c>
      <c r="L4779" s="563">
        <f t="shared" si="223"/>
        <v>2641.76</v>
      </c>
      <c r="M4779" s="563">
        <f t="shared" si="224"/>
        <v>3285.26</v>
      </c>
      <c r="N4779" s="580"/>
    </row>
    <row r="4780" spans="4:16" x14ac:dyDescent="0.25">
      <c r="D4780" s="559" t="s">
        <v>867</v>
      </c>
      <c r="E4780" s="558" t="s">
        <v>3752</v>
      </c>
      <c r="F4780" s="559">
        <v>702251</v>
      </c>
      <c r="G4780" s="558" t="s">
        <v>1995</v>
      </c>
      <c r="H4780" s="564">
        <v>40015</v>
      </c>
      <c r="I4780" s="563">
        <v>276.89999999999998</v>
      </c>
      <c r="J4780" s="563">
        <v>-276.89999999999998</v>
      </c>
      <c r="K4780" s="582">
        <f t="shared" si="222"/>
        <v>0</v>
      </c>
      <c r="L4780" s="563">
        <f t="shared" si="223"/>
        <v>0</v>
      </c>
      <c r="M4780" s="563">
        <f t="shared" si="224"/>
        <v>304.58999999999997</v>
      </c>
      <c r="N4780" s="580"/>
    </row>
    <row r="4781" spans="4:16" x14ac:dyDescent="0.25">
      <c r="D4781" s="559" t="s">
        <v>867</v>
      </c>
      <c r="E4781" s="558" t="s">
        <v>3753</v>
      </c>
      <c r="F4781" s="559">
        <v>700095</v>
      </c>
      <c r="G4781" s="558" t="s">
        <v>1995</v>
      </c>
      <c r="H4781" s="564">
        <v>40015</v>
      </c>
      <c r="I4781" s="563">
        <v>655.20000000000005</v>
      </c>
      <c r="J4781" s="563">
        <v>-585</v>
      </c>
      <c r="K4781" s="582">
        <f t="shared" si="222"/>
        <v>70.200000000000045</v>
      </c>
      <c r="L4781" s="563">
        <f t="shared" si="223"/>
        <v>77.220000000000056</v>
      </c>
      <c r="M4781" s="563">
        <f t="shared" si="224"/>
        <v>720.72000000000014</v>
      </c>
      <c r="N4781" s="580"/>
    </row>
    <row r="4782" spans="4:16" x14ac:dyDescent="0.25">
      <c r="D4782" s="559" t="s">
        <v>867</v>
      </c>
      <c r="E4782" s="558" t="s">
        <v>1994</v>
      </c>
      <c r="F4782" s="559">
        <v>701481</v>
      </c>
      <c r="G4782" s="558" t="s">
        <v>1995</v>
      </c>
      <c r="H4782" s="564">
        <v>40015</v>
      </c>
      <c r="I4782" s="563">
        <v>3.5</v>
      </c>
      <c r="J4782" s="563">
        <v>-3.5</v>
      </c>
      <c r="K4782" s="563">
        <f t="shared" si="222"/>
        <v>0</v>
      </c>
      <c r="L4782" s="563">
        <f t="shared" si="223"/>
        <v>0</v>
      </c>
      <c r="M4782" s="563">
        <f t="shared" si="224"/>
        <v>3.8500000000000005</v>
      </c>
      <c r="N4782" s="580"/>
      <c r="O4782" s="558"/>
      <c r="P4782" s="564"/>
    </row>
    <row r="4783" spans="4:16" x14ac:dyDescent="0.25">
      <c r="D4783" s="559" t="s">
        <v>867</v>
      </c>
      <c r="E4783" s="558" t="s">
        <v>3754</v>
      </c>
      <c r="F4783" s="559">
        <v>700165</v>
      </c>
      <c r="G4783" s="558" t="s">
        <v>945</v>
      </c>
      <c r="H4783" s="564">
        <v>40015</v>
      </c>
      <c r="I4783" s="563">
        <v>1544.4</v>
      </c>
      <c r="J4783" s="563">
        <v>-585</v>
      </c>
      <c r="K4783" s="582">
        <f t="shared" si="222"/>
        <v>959.40000000000009</v>
      </c>
      <c r="L4783" s="563">
        <f t="shared" si="223"/>
        <v>1055.3400000000001</v>
      </c>
      <c r="M4783" s="563">
        <f t="shared" si="224"/>
        <v>1698.8400000000001</v>
      </c>
      <c r="N4783" s="580"/>
    </row>
    <row r="4784" spans="4:16" x14ac:dyDescent="0.25">
      <c r="D4784" s="559" t="s">
        <v>867</v>
      </c>
      <c r="E4784" s="558" t="s">
        <v>3755</v>
      </c>
      <c r="F4784" s="559">
        <v>700095</v>
      </c>
      <c r="G4784" s="558" t="s">
        <v>945</v>
      </c>
      <c r="H4784" s="564">
        <v>40015</v>
      </c>
      <c r="I4784" s="563">
        <v>34.299999999999997</v>
      </c>
      <c r="J4784" s="563">
        <v>-34.299999999999997</v>
      </c>
      <c r="K4784" s="582">
        <f t="shared" si="222"/>
        <v>0</v>
      </c>
      <c r="L4784" s="563">
        <f t="shared" si="223"/>
        <v>0</v>
      </c>
      <c r="M4784" s="563">
        <f t="shared" si="224"/>
        <v>37.729999999999997</v>
      </c>
      <c r="N4784" s="580"/>
    </row>
    <row r="4785" spans="4:16" x14ac:dyDescent="0.25">
      <c r="D4785" s="559" t="s">
        <v>867</v>
      </c>
      <c r="E4785" s="558" t="s">
        <v>3756</v>
      </c>
      <c r="F4785" s="559">
        <v>702120</v>
      </c>
      <c r="G4785" s="558" t="s">
        <v>945</v>
      </c>
      <c r="H4785" s="564">
        <v>40015</v>
      </c>
      <c r="I4785" s="563">
        <v>239.85</v>
      </c>
      <c r="J4785" s="563">
        <v>-239.85</v>
      </c>
      <c r="K4785" s="582">
        <f t="shared" si="222"/>
        <v>0</v>
      </c>
      <c r="L4785" s="563">
        <f t="shared" si="223"/>
        <v>0</v>
      </c>
      <c r="M4785" s="563">
        <f t="shared" si="224"/>
        <v>263.83500000000004</v>
      </c>
      <c r="N4785" s="580"/>
    </row>
    <row r="4786" spans="4:16" x14ac:dyDescent="0.25">
      <c r="D4786" s="559" t="s">
        <v>867</v>
      </c>
      <c r="E4786" s="558" t="s">
        <v>3757</v>
      </c>
      <c r="F4786" s="559">
        <v>700098</v>
      </c>
      <c r="G4786" s="558" t="s">
        <v>947</v>
      </c>
      <c r="H4786" s="564">
        <v>40015</v>
      </c>
      <c r="I4786" s="563">
        <v>1858.35</v>
      </c>
      <c r="J4786" s="563">
        <v>-585</v>
      </c>
      <c r="K4786" s="582">
        <f t="shared" si="222"/>
        <v>1273.3499999999999</v>
      </c>
      <c r="L4786" s="563">
        <f t="shared" si="223"/>
        <v>1400.6849999999999</v>
      </c>
      <c r="M4786" s="563">
        <f t="shared" si="224"/>
        <v>2044.1850000000002</v>
      </c>
      <c r="N4786" s="580"/>
    </row>
    <row r="4787" spans="4:16" x14ac:dyDescent="0.25">
      <c r="D4787" s="559" t="s">
        <v>867</v>
      </c>
      <c r="E4787" s="558" t="s">
        <v>3758</v>
      </c>
      <c r="F4787" s="559">
        <v>700007</v>
      </c>
      <c r="G4787" s="558" t="s">
        <v>947</v>
      </c>
      <c r="H4787" s="564">
        <v>40015</v>
      </c>
      <c r="I4787" s="563">
        <v>10264.799999999999</v>
      </c>
      <c r="J4787" s="563">
        <v>-585</v>
      </c>
      <c r="K4787" s="582">
        <f t="shared" si="222"/>
        <v>9679.7999999999993</v>
      </c>
      <c r="L4787" s="563">
        <f t="shared" si="223"/>
        <v>10647.78</v>
      </c>
      <c r="M4787" s="563">
        <f t="shared" si="224"/>
        <v>11291.28</v>
      </c>
      <c r="N4787" s="580"/>
    </row>
    <row r="4788" spans="4:16" x14ac:dyDescent="0.25">
      <c r="D4788" s="559" t="s">
        <v>867</v>
      </c>
      <c r="E4788" s="558" t="s">
        <v>1996</v>
      </c>
      <c r="F4788" s="559">
        <v>700009</v>
      </c>
      <c r="G4788" s="558" t="s">
        <v>947</v>
      </c>
      <c r="H4788" s="564">
        <v>40015</v>
      </c>
      <c r="I4788" s="563">
        <v>1446.5</v>
      </c>
      <c r="J4788" s="563">
        <v>-585</v>
      </c>
      <c r="K4788" s="563">
        <f t="shared" si="222"/>
        <v>861.5</v>
      </c>
      <c r="L4788" s="563">
        <f t="shared" si="223"/>
        <v>947.65000000000009</v>
      </c>
      <c r="M4788" s="563">
        <f t="shared" si="224"/>
        <v>1591.15</v>
      </c>
      <c r="N4788" s="580"/>
      <c r="O4788" s="558"/>
      <c r="P4788" s="564"/>
    </row>
    <row r="4789" spans="4:16" x14ac:dyDescent="0.25">
      <c r="D4789" s="559" t="s">
        <v>867</v>
      </c>
      <c r="E4789" s="558" t="s">
        <v>1997</v>
      </c>
      <c r="F4789" s="559">
        <v>700009</v>
      </c>
      <c r="G4789" s="558" t="s">
        <v>1998</v>
      </c>
      <c r="H4789" s="564">
        <v>40015</v>
      </c>
      <c r="I4789" s="563">
        <v>3.5</v>
      </c>
      <c r="J4789" s="563">
        <v>-3.5</v>
      </c>
      <c r="K4789" s="563">
        <f t="shared" si="222"/>
        <v>0</v>
      </c>
      <c r="L4789" s="563">
        <f t="shared" si="223"/>
        <v>0</v>
      </c>
      <c r="M4789" s="563">
        <f t="shared" si="224"/>
        <v>3.8500000000000005</v>
      </c>
      <c r="N4789" s="580"/>
      <c r="O4789" s="558"/>
      <c r="P4789" s="564"/>
    </row>
    <row r="4790" spans="4:16" x14ac:dyDescent="0.25">
      <c r="D4790" s="559" t="s">
        <v>867</v>
      </c>
      <c r="E4790" s="558" t="s">
        <v>1999</v>
      </c>
      <c r="F4790" s="559">
        <v>700009</v>
      </c>
      <c r="G4790" s="558" t="s">
        <v>1998</v>
      </c>
      <c r="H4790" s="564">
        <v>40015</v>
      </c>
      <c r="I4790" s="563">
        <v>2.75</v>
      </c>
      <c r="J4790" s="563">
        <v>-2.75</v>
      </c>
      <c r="K4790" s="563">
        <f t="shared" si="222"/>
        <v>0</v>
      </c>
      <c r="L4790" s="563">
        <f t="shared" si="223"/>
        <v>0</v>
      </c>
      <c r="M4790" s="563">
        <f t="shared" si="224"/>
        <v>3.0250000000000004</v>
      </c>
      <c r="N4790" s="580"/>
      <c r="O4790" s="558"/>
      <c r="P4790" s="564"/>
    </row>
    <row r="4791" spans="4:16" x14ac:dyDescent="0.25">
      <c r="D4791" s="559" t="s">
        <v>867</v>
      </c>
      <c r="E4791" s="558" t="s">
        <v>2000</v>
      </c>
      <c r="F4791" s="559">
        <v>700009</v>
      </c>
      <c r="G4791" s="558" t="s">
        <v>1998</v>
      </c>
      <c r="H4791" s="564">
        <v>40015</v>
      </c>
      <c r="I4791" s="563">
        <v>4.7</v>
      </c>
      <c r="J4791" s="563">
        <v>-4.7</v>
      </c>
      <c r="K4791" s="563">
        <f t="shared" si="222"/>
        <v>0</v>
      </c>
      <c r="L4791" s="563">
        <f t="shared" si="223"/>
        <v>0</v>
      </c>
      <c r="M4791" s="563">
        <f t="shared" si="224"/>
        <v>5.1700000000000008</v>
      </c>
      <c r="N4791" s="580"/>
      <c r="O4791" s="558"/>
      <c r="P4791" s="564"/>
    </row>
    <row r="4792" spans="4:16" x14ac:dyDescent="0.25">
      <c r="D4792" s="559" t="s">
        <v>867</v>
      </c>
      <c r="E4792" s="558" t="s">
        <v>2001</v>
      </c>
      <c r="F4792" s="559">
        <v>700009</v>
      </c>
      <c r="G4792" s="558" t="s">
        <v>1998</v>
      </c>
      <c r="H4792" s="564">
        <v>40015</v>
      </c>
      <c r="I4792" s="563">
        <v>4.7</v>
      </c>
      <c r="J4792" s="563">
        <v>-4.7</v>
      </c>
      <c r="K4792" s="563">
        <f t="shared" si="222"/>
        <v>0</v>
      </c>
      <c r="L4792" s="563">
        <f t="shared" si="223"/>
        <v>0</v>
      </c>
      <c r="M4792" s="563">
        <f t="shared" si="224"/>
        <v>5.1700000000000008</v>
      </c>
      <c r="N4792" s="580"/>
      <c r="O4792" s="558"/>
      <c r="P4792" s="564"/>
    </row>
    <row r="4793" spans="4:16" x14ac:dyDescent="0.25">
      <c r="D4793" s="559" t="s">
        <v>867</v>
      </c>
      <c r="E4793" s="558" t="s">
        <v>2002</v>
      </c>
      <c r="F4793" s="559">
        <v>700009</v>
      </c>
      <c r="G4793" s="558" t="s">
        <v>1998</v>
      </c>
      <c r="H4793" s="564">
        <v>40015</v>
      </c>
      <c r="I4793" s="563">
        <v>17.55</v>
      </c>
      <c r="J4793" s="563">
        <v>-17.55</v>
      </c>
      <c r="K4793" s="563">
        <f t="shared" si="222"/>
        <v>0</v>
      </c>
      <c r="L4793" s="563">
        <f t="shared" si="223"/>
        <v>0</v>
      </c>
      <c r="M4793" s="563">
        <f t="shared" si="224"/>
        <v>19.305000000000003</v>
      </c>
      <c r="N4793" s="580"/>
      <c r="O4793" s="558"/>
      <c r="P4793" s="564"/>
    </row>
    <row r="4794" spans="4:16" x14ac:dyDescent="0.25">
      <c r="D4794" s="559" t="s">
        <v>867</v>
      </c>
      <c r="E4794" s="558" t="s">
        <v>3759</v>
      </c>
      <c r="F4794" s="559">
        <v>701719</v>
      </c>
      <c r="G4794" s="558" t="s">
        <v>1019</v>
      </c>
      <c r="H4794" s="564">
        <v>40015</v>
      </c>
      <c r="I4794" s="563">
        <v>680.55</v>
      </c>
      <c r="J4794" s="563">
        <v>-585</v>
      </c>
      <c r="K4794" s="582">
        <f t="shared" si="222"/>
        <v>95.549999999999955</v>
      </c>
      <c r="L4794" s="563">
        <f t="shared" si="223"/>
        <v>105.10499999999996</v>
      </c>
      <c r="M4794" s="563">
        <f t="shared" si="224"/>
        <v>748.60500000000002</v>
      </c>
      <c r="N4794" s="580"/>
    </row>
    <row r="4795" spans="4:16" x14ac:dyDescent="0.25">
      <c r="D4795" s="559" t="s">
        <v>867</v>
      </c>
      <c r="E4795" s="558" t="s">
        <v>3760</v>
      </c>
      <c r="F4795" s="559">
        <v>702156</v>
      </c>
      <c r="G4795" s="558" t="s">
        <v>1019</v>
      </c>
      <c r="H4795" s="564">
        <v>40015</v>
      </c>
      <c r="I4795" s="563">
        <v>1993.7</v>
      </c>
      <c r="J4795" s="563">
        <v>-585</v>
      </c>
      <c r="K4795" s="582">
        <f t="shared" si="222"/>
        <v>1408.7</v>
      </c>
      <c r="L4795" s="563">
        <f t="shared" si="223"/>
        <v>1549.5700000000002</v>
      </c>
      <c r="M4795" s="563">
        <f t="shared" si="224"/>
        <v>2193.0700000000002</v>
      </c>
      <c r="N4795" s="580"/>
    </row>
    <row r="4796" spans="4:16" x14ac:dyDescent="0.25">
      <c r="D4796" s="559" t="s">
        <v>867</v>
      </c>
      <c r="E4796" s="558" t="s">
        <v>3761</v>
      </c>
      <c r="F4796" s="559">
        <v>702156</v>
      </c>
      <c r="G4796" s="558" t="s">
        <v>1019</v>
      </c>
      <c r="H4796" s="564">
        <v>40015</v>
      </c>
      <c r="I4796" s="563">
        <v>4.7</v>
      </c>
      <c r="J4796" s="563">
        <v>-4.7</v>
      </c>
      <c r="K4796" s="582">
        <f t="shared" si="222"/>
        <v>0</v>
      </c>
      <c r="L4796" s="563">
        <f t="shared" si="223"/>
        <v>0</v>
      </c>
      <c r="M4796" s="563">
        <f t="shared" si="224"/>
        <v>5.1700000000000008</v>
      </c>
      <c r="N4796" s="580"/>
    </row>
    <row r="4797" spans="4:16" x14ac:dyDescent="0.25">
      <c r="D4797" s="559" t="s">
        <v>867</v>
      </c>
      <c r="E4797" s="558" t="s">
        <v>3762</v>
      </c>
      <c r="F4797" s="559">
        <v>702156</v>
      </c>
      <c r="G4797" s="558" t="s">
        <v>1019</v>
      </c>
      <c r="H4797" s="564">
        <v>40015</v>
      </c>
      <c r="I4797" s="563">
        <v>4.7</v>
      </c>
      <c r="J4797" s="563">
        <v>-4.7</v>
      </c>
      <c r="K4797" s="582">
        <f t="shared" si="222"/>
        <v>0</v>
      </c>
      <c r="L4797" s="563">
        <f t="shared" si="223"/>
        <v>0</v>
      </c>
      <c r="M4797" s="563">
        <f t="shared" si="224"/>
        <v>5.1700000000000008</v>
      </c>
      <c r="N4797" s="580"/>
    </row>
    <row r="4798" spans="4:16" x14ac:dyDescent="0.25">
      <c r="D4798" s="559" t="s">
        <v>867</v>
      </c>
      <c r="E4798" s="558" t="s">
        <v>3763</v>
      </c>
      <c r="F4798" s="559">
        <v>700015</v>
      </c>
      <c r="G4798" s="558" t="s">
        <v>2004</v>
      </c>
      <c r="H4798" s="564">
        <v>40015</v>
      </c>
      <c r="I4798" s="563">
        <v>4274.3999999999996</v>
      </c>
      <c r="J4798" s="563">
        <v>-585</v>
      </c>
      <c r="K4798" s="582">
        <f t="shared" si="222"/>
        <v>3689.3999999999996</v>
      </c>
      <c r="L4798" s="563">
        <f t="shared" si="223"/>
        <v>4058.34</v>
      </c>
      <c r="M4798" s="563">
        <f t="shared" si="224"/>
        <v>4701.84</v>
      </c>
      <c r="N4798" s="580"/>
    </row>
    <row r="4799" spans="4:16" x14ac:dyDescent="0.25">
      <c r="D4799" s="559" t="s">
        <v>867</v>
      </c>
      <c r="E4799" s="558" t="s">
        <v>3764</v>
      </c>
      <c r="F4799" s="559">
        <v>700016</v>
      </c>
      <c r="G4799" s="558" t="s">
        <v>2004</v>
      </c>
      <c r="H4799" s="564">
        <v>40015</v>
      </c>
      <c r="I4799" s="563">
        <v>2013.2</v>
      </c>
      <c r="J4799" s="563">
        <v>-585</v>
      </c>
      <c r="K4799" s="582">
        <f t="shared" si="222"/>
        <v>1428.2</v>
      </c>
      <c r="L4799" s="563">
        <f t="shared" si="223"/>
        <v>1571.0200000000002</v>
      </c>
      <c r="M4799" s="563">
        <f t="shared" si="224"/>
        <v>2214.5200000000004</v>
      </c>
      <c r="N4799" s="580"/>
    </row>
    <row r="4800" spans="4:16" x14ac:dyDescent="0.25">
      <c r="D4800" s="559" t="s">
        <v>867</v>
      </c>
      <c r="E4800" s="558" t="s">
        <v>3765</v>
      </c>
      <c r="F4800" s="559">
        <v>701526</v>
      </c>
      <c r="G4800" s="558" t="s">
        <v>2004</v>
      </c>
      <c r="H4800" s="564">
        <v>40015</v>
      </c>
      <c r="I4800" s="563">
        <v>1538.55</v>
      </c>
      <c r="J4800" s="563">
        <v>-585</v>
      </c>
      <c r="K4800" s="582">
        <f t="shared" si="222"/>
        <v>953.55</v>
      </c>
      <c r="L4800" s="563">
        <f t="shared" si="223"/>
        <v>1048.905</v>
      </c>
      <c r="M4800" s="563">
        <f t="shared" si="224"/>
        <v>1692.4050000000002</v>
      </c>
      <c r="N4800" s="580"/>
    </row>
    <row r="4801" spans="4:16" x14ac:dyDescent="0.25">
      <c r="D4801" s="559" t="s">
        <v>867</v>
      </c>
      <c r="E4801" s="558" t="s">
        <v>3766</v>
      </c>
      <c r="F4801" s="559">
        <v>701526</v>
      </c>
      <c r="G4801" s="558" t="s">
        <v>2004</v>
      </c>
      <c r="H4801" s="564">
        <v>40015</v>
      </c>
      <c r="I4801" s="563">
        <v>37.049999999999997</v>
      </c>
      <c r="J4801" s="563">
        <v>-37.049999999999997</v>
      </c>
      <c r="K4801" s="582">
        <f t="shared" si="222"/>
        <v>0</v>
      </c>
      <c r="L4801" s="563">
        <f t="shared" si="223"/>
        <v>0</v>
      </c>
      <c r="M4801" s="563">
        <f t="shared" si="224"/>
        <v>40.755000000000003</v>
      </c>
      <c r="N4801" s="580"/>
    </row>
    <row r="4802" spans="4:16" x14ac:dyDescent="0.25">
      <c r="D4802" s="559" t="s">
        <v>867</v>
      </c>
      <c r="E4802" s="558" t="s">
        <v>2003</v>
      </c>
      <c r="F4802" s="559">
        <v>700018</v>
      </c>
      <c r="G4802" s="558" t="s">
        <v>2004</v>
      </c>
      <c r="H4802" s="564">
        <v>40015</v>
      </c>
      <c r="I4802" s="563">
        <v>1382.55</v>
      </c>
      <c r="J4802" s="563">
        <v>-585</v>
      </c>
      <c r="K4802" s="563">
        <f t="shared" si="222"/>
        <v>797.55</v>
      </c>
      <c r="L4802" s="563">
        <f t="shared" si="223"/>
        <v>877.30500000000006</v>
      </c>
      <c r="M4802" s="563">
        <f t="shared" si="224"/>
        <v>1520.8050000000001</v>
      </c>
      <c r="N4802" s="580"/>
      <c r="O4802" s="558"/>
      <c r="P4802" s="564"/>
    </row>
    <row r="4803" spans="4:16" x14ac:dyDescent="0.25">
      <c r="D4803" s="559" t="s">
        <v>867</v>
      </c>
      <c r="E4803" s="558" t="s">
        <v>2005</v>
      </c>
      <c r="F4803" s="559">
        <v>700018</v>
      </c>
      <c r="G4803" s="558" t="s">
        <v>2006</v>
      </c>
      <c r="H4803" s="564">
        <v>40015</v>
      </c>
      <c r="I4803" s="563">
        <v>37.049999999999997</v>
      </c>
      <c r="J4803" s="563">
        <v>-37.049999999999997</v>
      </c>
      <c r="K4803" s="563">
        <f t="shared" si="222"/>
        <v>0</v>
      </c>
      <c r="L4803" s="563">
        <f t="shared" si="223"/>
        <v>0</v>
      </c>
      <c r="M4803" s="563">
        <f t="shared" si="224"/>
        <v>40.755000000000003</v>
      </c>
      <c r="N4803" s="580"/>
      <c r="O4803" s="558"/>
      <c r="P4803" s="564"/>
    </row>
    <row r="4804" spans="4:16" x14ac:dyDescent="0.25">
      <c r="D4804" s="559" t="s">
        <v>867</v>
      </c>
      <c r="E4804" s="558" t="s">
        <v>3767</v>
      </c>
      <c r="F4804" s="559">
        <v>701552</v>
      </c>
      <c r="G4804" s="558" t="s">
        <v>2006</v>
      </c>
      <c r="H4804" s="564">
        <v>40015</v>
      </c>
      <c r="I4804" s="563">
        <v>758.55</v>
      </c>
      <c r="J4804" s="563">
        <v>-585</v>
      </c>
      <c r="K4804" s="582">
        <f t="shared" si="222"/>
        <v>173.54999999999995</v>
      </c>
      <c r="L4804" s="563">
        <f t="shared" si="223"/>
        <v>190.90499999999997</v>
      </c>
      <c r="M4804" s="563">
        <f t="shared" si="224"/>
        <v>834.40499999999997</v>
      </c>
      <c r="N4804" s="580"/>
    </row>
    <row r="4805" spans="4:16" x14ac:dyDescent="0.25">
      <c r="D4805" s="559" t="s">
        <v>867</v>
      </c>
      <c r="E4805" s="558" t="s">
        <v>3768</v>
      </c>
      <c r="F4805" s="559">
        <v>700022</v>
      </c>
      <c r="G4805" s="558" t="s">
        <v>2006</v>
      </c>
      <c r="H4805" s="564">
        <v>40015</v>
      </c>
      <c r="I4805" s="563">
        <v>836.55</v>
      </c>
      <c r="J4805" s="563">
        <v>-585</v>
      </c>
      <c r="K4805" s="582">
        <f t="shared" si="222"/>
        <v>251.54999999999995</v>
      </c>
      <c r="L4805" s="563">
        <f t="shared" si="223"/>
        <v>276.70499999999998</v>
      </c>
      <c r="M4805" s="563">
        <f t="shared" si="224"/>
        <v>920.20500000000004</v>
      </c>
      <c r="N4805" s="580"/>
    </row>
    <row r="4806" spans="4:16" x14ac:dyDescent="0.25">
      <c r="D4806" s="559" t="s">
        <v>867</v>
      </c>
      <c r="E4806" s="558" t="s">
        <v>3769</v>
      </c>
      <c r="F4806" s="559">
        <v>700023</v>
      </c>
      <c r="G4806" s="558" t="s">
        <v>2006</v>
      </c>
      <c r="H4806" s="564">
        <v>40015</v>
      </c>
      <c r="I4806" s="563">
        <v>237.9</v>
      </c>
      <c r="J4806" s="563">
        <v>-237.9</v>
      </c>
      <c r="K4806" s="582">
        <f t="shared" si="222"/>
        <v>0</v>
      </c>
      <c r="L4806" s="563">
        <f t="shared" si="223"/>
        <v>0</v>
      </c>
      <c r="M4806" s="563">
        <f t="shared" si="224"/>
        <v>261.69000000000005</v>
      </c>
      <c r="N4806" s="580"/>
    </row>
    <row r="4807" spans="4:16" x14ac:dyDescent="0.25">
      <c r="D4807" s="559" t="s">
        <v>867</v>
      </c>
      <c r="E4807" s="558" t="s">
        <v>2007</v>
      </c>
      <c r="F4807" s="559">
        <v>702103</v>
      </c>
      <c r="G4807" s="558" t="s">
        <v>2006</v>
      </c>
      <c r="H4807" s="564">
        <v>40015</v>
      </c>
      <c r="I4807" s="563">
        <v>940.7</v>
      </c>
      <c r="J4807" s="563">
        <v>-585</v>
      </c>
      <c r="K4807" s="563">
        <f t="shared" si="222"/>
        <v>355.70000000000005</v>
      </c>
      <c r="L4807" s="563">
        <f t="shared" si="223"/>
        <v>391.2700000000001</v>
      </c>
      <c r="M4807" s="563">
        <f t="shared" si="224"/>
        <v>1034.7700000000002</v>
      </c>
      <c r="N4807" s="580"/>
      <c r="O4807" s="558"/>
      <c r="P4807" s="564"/>
    </row>
    <row r="4808" spans="4:16" x14ac:dyDescent="0.25">
      <c r="D4808" s="559" t="s">
        <v>867</v>
      </c>
      <c r="E4808" s="558" t="s">
        <v>3770</v>
      </c>
      <c r="F4808" s="559">
        <v>700027</v>
      </c>
      <c r="G4808" s="558" t="s">
        <v>3771</v>
      </c>
      <c r="H4808" s="564">
        <v>40015</v>
      </c>
      <c r="I4808" s="563">
        <v>1349.4</v>
      </c>
      <c r="J4808" s="563">
        <v>-585</v>
      </c>
      <c r="K4808" s="582">
        <f t="shared" si="222"/>
        <v>764.40000000000009</v>
      </c>
      <c r="L4808" s="563">
        <f t="shared" si="223"/>
        <v>840.84000000000015</v>
      </c>
      <c r="M4808" s="563">
        <f t="shared" si="224"/>
        <v>1484.3400000000001</v>
      </c>
      <c r="N4808" s="580"/>
    </row>
    <row r="4809" spans="4:16" x14ac:dyDescent="0.25">
      <c r="D4809" s="559" t="s">
        <v>867</v>
      </c>
      <c r="E4809" s="558" t="s">
        <v>3772</v>
      </c>
      <c r="F4809" s="559">
        <v>701985</v>
      </c>
      <c r="G4809" s="558" t="s">
        <v>3771</v>
      </c>
      <c r="H4809" s="564">
        <v>40015</v>
      </c>
      <c r="I4809" s="563">
        <v>1226.55</v>
      </c>
      <c r="J4809" s="563">
        <v>-585</v>
      </c>
      <c r="K4809" s="582">
        <f t="shared" si="222"/>
        <v>641.54999999999995</v>
      </c>
      <c r="L4809" s="563">
        <f t="shared" si="223"/>
        <v>705.70500000000004</v>
      </c>
      <c r="M4809" s="563">
        <f t="shared" si="224"/>
        <v>1349.2050000000002</v>
      </c>
      <c r="N4809" s="580"/>
    </row>
    <row r="4810" spans="4:16" x14ac:dyDescent="0.25">
      <c r="D4810" s="559" t="s">
        <v>867</v>
      </c>
      <c r="E4810" s="558" t="s">
        <v>3773</v>
      </c>
      <c r="F4810" s="559">
        <v>701985</v>
      </c>
      <c r="G4810" s="558" t="s">
        <v>3771</v>
      </c>
      <c r="H4810" s="564">
        <v>40015</v>
      </c>
      <c r="I4810" s="563">
        <v>317.05</v>
      </c>
      <c r="J4810" s="563">
        <v>-317.05</v>
      </c>
      <c r="K4810" s="582">
        <f t="shared" si="222"/>
        <v>0</v>
      </c>
      <c r="L4810" s="563">
        <f t="shared" si="223"/>
        <v>0</v>
      </c>
      <c r="M4810" s="563">
        <f t="shared" si="224"/>
        <v>348.75500000000005</v>
      </c>
      <c r="N4810" s="580"/>
    </row>
    <row r="4811" spans="4:16" x14ac:dyDescent="0.25">
      <c r="D4811" s="559" t="s">
        <v>867</v>
      </c>
      <c r="E4811" s="558" t="s">
        <v>3774</v>
      </c>
      <c r="F4811" s="559">
        <v>702233</v>
      </c>
      <c r="G4811" s="558" t="s">
        <v>3771</v>
      </c>
      <c r="H4811" s="564">
        <v>40015</v>
      </c>
      <c r="I4811" s="563">
        <v>485.55</v>
      </c>
      <c r="J4811" s="563">
        <v>-485.55</v>
      </c>
      <c r="K4811" s="582">
        <f t="shared" si="222"/>
        <v>0</v>
      </c>
      <c r="L4811" s="563">
        <f t="shared" si="223"/>
        <v>0</v>
      </c>
      <c r="M4811" s="563">
        <f t="shared" si="224"/>
        <v>534.10500000000002</v>
      </c>
      <c r="N4811" s="580"/>
    </row>
    <row r="4812" spans="4:16" x14ac:dyDescent="0.25">
      <c r="D4812" s="559" t="s">
        <v>867</v>
      </c>
      <c r="E4812" s="558" t="s">
        <v>3775</v>
      </c>
      <c r="F4812" s="559">
        <v>702194</v>
      </c>
      <c r="G4812" s="558" t="s">
        <v>3771</v>
      </c>
      <c r="H4812" s="564">
        <v>40015</v>
      </c>
      <c r="I4812" s="563">
        <v>2006.55</v>
      </c>
      <c r="J4812" s="563">
        <v>-585</v>
      </c>
      <c r="K4812" s="582">
        <f t="shared" si="222"/>
        <v>1421.55</v>
      </c>
      <c r="L4812" s="563">
        <f t="shared" si="223"/>
        <v>1563.7050000000002</v>
      </c>
      <c r="M4812" s="563">
        <f t="shared" si="224"/>
        <v>2207.2049999999999</v>
      </c>
      <c r="N4812" s="580"/>
    </row>
    <row r="4813" spans="4:16" x14ac:dyDescent="0.25">
      <c r="D4813" s="559" t="s">
        <v>867</v>
      </c>
      <c r="E4813" s="558" t="s">
        <v>3776</v>
      </c>
      <c r="F4813" s="559">
        <v>702194</v>
      </c>
      <c r="G4813" s="558" t="s">
        <v>2009</v>
      </c>
      <c r="H4813" s="564">
        <v>40015</v>
      </c>
      <c r="I4813" s="563">
        <v>134.55000000000001</v>
      </c>
      <c r="J4813" s="563">
        <v>-134.55000000000001</v>
      </c>
      <c r="K4813" s="582">
        <f t="shared" si="222"/>
        <v>0</v>
      </c>
      <c r="L4813" s="563">
        <f t="shared" si="223"/>
        <v>0</v>
      </c>
      <c r="M4813" s="563">
        <f t="shared" si="224"/>
        <v>148.00500000000002</v>
      </c>
      <c r="N4813" s="580"/>
    </row>
    <row r="4814" spans="4:16" x14ac:dyDescent="0.25">
      <c r="D4814" s="559" t="s">
        <v>867</v>
      </c>
      <c r="E4814" s="558" t="s">
        <v>3777</v>
      </c>
      <c r="F4814" s="559">
        <v>700034</v>
      </c>
      <c r="G4814" s="558" t="s">
        <v>2009</v>
      </c>
      <c r="H4814" s="564">
        <v>40015</v>
      </c>
      <c r="I4814" s="563">
        <v>17.55</v>
      </c>
      <c r="J4814" s="563">
        <v>-17.55</v>
      </c>
      <c r="K4814" s="582">
        <f t="shared" si="222"/>
        <v>0</v>
      </c>
      <c r="L4814" s="563">
        <f t="shared" si="223"/>
        <v>0</v>
      </c>
      <c r="M4814" s="563">
        <f t="shared" si="224"/>
        <v>19.305000000000003</v>
      </c>
      <c r="N4814" s="580"/>
    </row>
    <row r="4815" spans="4:16" x14ac:dyDescent="0.25">
      <c r="D4815" s="559" t="s">
        <v>867</v>
      </c>
      <c r="E4815" s="558" t="s">
        <v>3778</v>
      </c>
      <c r="F4815" s="559">
        <v>700034</v>
      </c>
      <c r="G4815" s="558" t="s">
        <v>2009</v>
      </c>
      <c r="H4815" s="564">
        <v>40015</v>
      </c>
      <c r="I4815" s="563">
        <v>1616.55</v>
      </c>
      <c r="J4815" s="563">
        <v>-585</v>
      </c>
      <c r="K4815" s="582">
        <f t="shared" si="222"/>
        <v>1031.55</v>
      </c>
      <c r="L4815" s="563">
        <f t="shared" si="223"/>
        <v>1134.7050000000002</v>
      </c>
      <c r="M4815" s="563">
        <f t="shared" si="224"/>
        <v>1778.2050000000002</v>
      </c>
      <c r="N4815" s="580"/>
    </row>
    <row r="4816" spans="4:16" x14ac:dyDescent="0.25">
      <c r="D4816" s="559" t="s">
        <v>867</v>
      </c>
      <c r="E4816" s="558" t="s">
        <v>2008</v>
      </c>
      <c r="F4816" s="559">
        <v>701653</v>
      </c>
      <c r="G4816" s="558" t="s">
        <v>2009</v>
      </c>
      <c r="H4816" s="564">
        <v>40015</v>
      </c>
      <c r="I4816" s="563">
        <v>1119.3</v>
      </c>
      <c r="J4816" s="563">
        <v>-585</v>
      </c>
      <c r="K4816" s="563">
        <f t="shared" si="222"/>
        <v>534.29999999999995</v>
      </c>
      <c r="L4816" s="563">
        <f t="shared" si="223"/>
        <v>587.73</v>
      </c>
      <c r="M4816" s="563">
        <f t="shared" si="224"/>
        <v>1231.23</v>
      </c>
      <c r="N4816" s="580"/>
      <c r="O4816" s="558"/>
      <c r="P4816" s="564"/>
    </row>
    <row r="4817" spans="4:16" x14ac:dyDescent="0.25">
      <c r="D4817" s="559" t="s">
        <v>867</v>
      </c>
      <c r="E4817" s="558" t="s">
        <v>3779</v>
      </c>
      <c r="F4817" s="559">
        <v>700229</v>
      </c>
      <c r="G4817" s="558" t="s">
        <v>2009</v>
      </c>
      <c r="H4817" s="564">
        <v>40015</v>
      </c>
      <c r="I4817" s="563">
        <v>27.3</v>
      </c>
      <c r="J4817" s="563">
        <v>-27.3</v>
      </c>
      <c r="K4817" s="582">
        <f t="shared" si="222"/>
        <v>0</v>
      </c>
      <c r="L4817" s="563">
        <f t="shared" si="223"/>
        <v>0</v>
      </c>
      <c r="M4817" s="563">
        <f t="shared" si="224"/>
        <v>30.030000000000005</v>
      </c>
      <c r="N4817" s="580"/>
    </row>
    <row r="4818" spans="4:16" x14ac:dyDescent="0.25">
      <c r="D4818" s="559" t="s">
        <v>867</v>
      </c>
      <c r="E4818" s="558" t="s">
        <v>3780</v>
      </c>
      <c r="F4818" s="559">
        <v>700037</v>
      </c>
      <c r="G4818" s="558" t="s">
        <v>2011</v>
      </c>
      <c r="H4818" s="564">
        <v>40015</v>
      </c>
      <c r="I4818" s="563">
        <v>1626.3</v>
      </c>
      <c r="J4818" s="563">
        <v>-585</v>
      </c>
      <c r="K4818" s="582">
        <f t="shared" si="222"/>
        <v>1041.3</v>
      </c>
      <c r="L4818" s="563">
        <f t="shared" si="223"/>
        <v>1145.43</v>
      </c>
      <c r="M4818" s="563">
        <f t="shared" si="224"/>
        <v>1788.93</v>
      </c>
      <c r="N4818" s="580"/>
    </row>
    <row r="4819" spans="4:16" x14ac:dyDescent="0.25">
      <c r="D4819" s="559" t="s">
        <v>867</v>
      </c>
      <c r="E4819" s="558" t="s">
        <v>3781</v>
      </c>
      <c r="F4819" s="559">
        <v>700038</v>
      </c>
      <c r="G4819" s="558" t="s">
        <v>2011</v>
      </c>
      <c r="H4819" s="564">
        <v>40015</v>
      </c>
      <c r="I4819" s="563">
        <v>27.3</v>
      </c>
      <c r="J4819" s="563">
        <v>-27.3</v>
      </c>
      <c r="K4819" s="582">
        <f t="shared" si="222"/>
        <v>0</v>
      </c>
      <c r="L4819" s="563">
        <f t="shared" si="223"/>
        <v>0</v>
      </c>
      <c r="M4819" s="563">
        <f t="shared" si="224"/>
        <v>30.030000000000005</v>
      </c>
      <c r="N4819" s="580"/>
    </row>
    <row r="4820" spans="4:16" x14ac:dyDescent="0.25">
      <c r="D4820" s="559" t="s">
        <v>867</v>
      </c>
      <c r="E4820" s="558" t="s">
        <v>3782</v>
      </c>
      <c r="F4820" s="559">
        <v>701590</v>
      </c>
      <c r="G4820" s="558" t="s">
        <v>2011</v>
      </c>
      <c r="H4820" s="564">
        <v>40015</v>
      </c>
      <c r="I4820" s="563">
        <v>1119.3</v>
      </c>
      <c r="J4820" s="563">
        <v>-585</v>
      </c>
      <c r="K4820" s="582">
        <f t="shared" si="222"/>
        <v>534.29999999999995</v>
      </c>
      <c r="L4820" s="563">
        <f t="shared" si="223"/>
        <v>587.73</v>
      </c>
      <c r="M4820" s="563">
        <f t="shared" si="224"/>
        <v>1231.23</v>
      </c>
      <c r="N4820" s="580"/>
    </row>
    <row r="4821" spans="4:16" x14ac:dyDescent="0.25">
      <c r="D4821" s="559" t="s">
        <v>867</v>
      </c>
      <c r="E4821" s="558" t="s">
        <v>3783</v>
      </c>
      <c r="F4821" s="559">
        <v>700040</v>
      </c>
      <c r="G4821" s="558" t="s">
        <v>2011</v>
      </c>
      <c r="H4821" s="564">
        <v>40015</v>
      </c>
      <c r="I4821" s="563">
        <v>2016.3</v>
      </c>
      <c r="J4821" s="563">
        <v>-585</v>
      </c>
      <c r="K4821" s="582">
        <f t="shared" si="222"/>
        <v>1431.3</v>
      </c>
      <c r="L4821" s="563">
        <f t="shared" si="223"/>
        <v>1574.43</v>
      </c>
      <c r="M4821" s="563">
        <f t="shared" si="224"/>
        <v>2217.9300000000003</v>
      </c>
      <c r="N4821" s="580"/>
    </row>
    <row r="4822" spans="4:16" x14ac:dyDescent="0.25">
      <c r="D4822" s="559" t="s">
        <v>867</v>
      </c>
      <c r="E4822" s="558" t="s">
        <v>2010</v>
      </c>
      <c r="F4822" s="559">
        <v>702425</v>
      </c>
      <c r="G4822" s="558" t="s">
        <v>2011</v>
      </c>
      <c r="H4822" s="564">
        <v>40015</v>
      </c>
      <c r="I4822" s="563">
        <v>2055.3000000000002</v>
      </c>
      <c r="J4822" s="563">
        <v>-585</v>
      </c>
      <c r="K4822" s="563">
        <f t="shared" si="222"/>
        <v>1470.3000000000002</v>
      </c>
      <c r="L4822" s="563">
        <f t="shared" si="223"/>
        <v>1617.3300000000004</v>
      </c>
      <c r="M4822" s="563">
        <f t="shared" si="224"/>
        <v>2260.8300000000004</v>
      </c>
      <c r="N4822" s="580"/>
      <c r="O4822" s="558"/>
      <c r="P4822" s="564"/>
    </row>
    <row r="4823" spans="4:16" x14ac:dyDescent="0.25">
      <c r="D4823" s="559" t="s">
        <v>867</v>
      </c>
      <c r="E4823" s="558" t="s">
        <v>3784</v>
      </c>
      <c r="F4823" s="559">
        <v>700042</v>
      </c>
      <c r="G4823" s="558" t="s">
        <v>824</v>
      </c>
      <c r="H4823" s="564">
        <v>40015</v>
      </c>
      <c r="I4823" s="563">
        <v>1860.3</v>
      </c>
      <c r="J4823" s="563">
        <v>-585</v>
      </c>
      <c r="K4823" s="582">
        <f t="shared" si="222"/>
        <v>1275.3</v>
      </c>
      <c r="L4823" s="563">
        <f t="shared" si="223"/>
        <v>1402.8300000000002</v>
      </c>
      <c r="M4823" s="563">
        <f t="shared" si="224"/>
        <v>2046.3300000000002</v>
      </c>
      <c r="N4823" s="580"/>
    </row>
    <row r="4824" spans="4:16" x14ac:dyDescent="0.25">
      <c r="D4824" s="559" t="s">
        <v>867</v>
      </c>
      <c r="E4824" s="558" t="s">
        <v>3785</v>
      </c>
      <c r="F4824" s="559">
        <v>700204</v>
      </c>
      <c r="G4824" s="558" t="s">
        <v>824</v>
      </c>
      <c r="H4824" s="564">
        <v>40015</v>
      </c>
      <c r="I4824" s="563">
        <v>17.55</v>
      </c>
      <c r="J4824" s="563">
        <v>-17.55</v>
      </c>
      <c r="K4824" s="582">
        <f t="shared" si="222"/>
        <v>0</v>
      </c>
      <c r="L4824" s="563">
        <f t="shared" si="223"/>
        <v>0</v>
      </c>
      <c r="M4824" s="563">
        <f t="shared" si="224"/>
        <v>19.305000000000003</v>
      </c>
      <c r="N4824" s="580"/>
    </row>
    <row r="4825" spans="4:16" x14ac:dyDescent="0.25">
      <c r="D4825" s="559" t="s">
        <v>867</v>
      </c>
      <c r="E4825" s="558" t="s">
        <v>3786</v>
      </c>
      <c r="F4825" s="559">
        <v>700205</v>
      </c>
      <c r="G4825" s="558" t="s">
        <v>824</v>
      </c>
      <c r="H4825" s="564">
        <v>40015</v>
      </c>
      <c r="I4825" s="563">
        <v>17.55</v>
      </c>
      <c r="J4825" s="563">
        <v>-17.55</v>
      </c>
      <c r="K4825" s="582">
        <f t="shared" si="222"/>
        <v>0</v>
      </c>
      <c r="L4825" s="563">
        <f t="shared" si="223"/>
        <v>0</v>
      </c>
      <c r="M4825" s="563">
        <f t="shared" si="224"/>
        <v>19.305000000000003</v>
      </c>
      <c r="N4825" s="580"/>
    </row>
    <row r="4826" spans="4:16" x14ac:dyDescent="0.25">
      <c r="D4826" s="559" t="s">
        <v>867</v>
      </c>
      <c r="E4826" s="558" t="s">
        <v>3787</v>
      </c>
      <c r="F4826" s="559">
        <v>702267</v>
      </c>
      <c r="G4826" s="558" t="s">
        <v>824</v>
      </c>
      <c r="H4826" s="564">
        <v>40015</v>
      </c>
      <c r="I4826" s="563">
        <v>19.5</v>
      </c>
      <c r="J4826" s="563">
        <v>-19.5</v>
      </c>
      <c r="K4826" s="582">
        <f t="shared" si="222"/>
        <v>0</v>
      </c>
      <c r="L4826" s="563">
        <f t="shared" si="223"/>
        <v>0</v>
      </c>
      <c r="M4826" s="563">
        <f t="shared" si="224"/>
        <v>21.450000000000003</v>
      </c>
      <c r="N4826" s="580"/>
    </row>
    <row r="4827" spans="4:16" x14ac:dyDescent="0.25">
      <c r="D4827" s="559" t="s">
        <v>867</v>
      </c>
      <c r="E4827" s="558" t="s">
        <v>3788</v>
      </c>
      <c r="F4827" s="559">
        <v>702267</v>
      </c>
      <c r="G4827" s="558" t="s">
        <v>826</v>
      </c>
      <c r="H4827" s="564">
        <v>40015</v>
      </c>
      <c r="I4827" s="563">
        <v>19.5</v>
      </c>
      <c r="J4827" s="563">
        <v>-19.5</v>
      </c>
      <c r="K4827" s="582">
        <f t="shared" si="222"/>
        <v>0</v>
      </c>
      <c r="L4827" s="563">
        <f t="shared" si="223"/>
        <v>0</v>
      </c>
      <c r="M4827" s="563">
        <f t="shared" si="224"/>
        <v>21.450000000000003</v>
      </c>
      <c r="N4827" s="580"/>
    </row>
    <row r="4828" spans="4:16" x14ac:dyDescent="0.25">
      <c r="D4828" s="559" t="s">
        <v>867</v>
      </c>
      <c r="E4828" s="558" t="s">
        <v>2012</v>
      </c>
      <c r="F4828" s="559">
        <v>702189</v>
      </c>
      <c r="G4828" s="558" t="s">
        <v>826</v>
      </c>
      <c r="H4828" s="564">
        <v>40015</v>
      </c>
      <c r="I4828" s="563">
        <v>20.3</v>
      </c>
      <c r="J4828" s="563">
        <v>-20.3</v>
      </c>
      <c r="K4828" s="563">
        <f t="shared" si="222"/>
        <v>0</v>
      </c>
      <c r="L4828" s="563">
        <f t="shared" si="223"/>
        <v>0</v>
      </c>
      <c r="M4828" s="563">
        <f t="shared" si="224"/>
        <v>22.330000000000002</v>
      </c>
      <c r="N4828" s="580"/>
      <c r="O4828" s="558"/>
      <c r="P4828" s="564"/>
    </row>
    <row r="4829" spans="4:16" x14ac:dyDescent="0.25">
      <c r="D4829" s="559" t="s">
        <v>867</v>
      </c>
      <c r="E4829" s="558" t="s">
        <v>2013</v>
      </c>
      <c r="F4829" s="559">
        <v>702189</v>
      </c>
      <c r="G4829" s="558" t="s">
        <v>826</v>
      </c>
      <c r="H4829" s="564">
        <v>40015</v>
      </c>
      <c r="I4829" s="563">
        <v>836.55</v>
      </c>
      <c r="J4829" s="563">
        <v>-585</v>
      </c>
      <c r="K4829" s="563">
        <f t="shared" si="222"/>
        <v>251.54999999999995</v>
      </c>
      <c r="L4829" s="563">
        <f t="shared" si="223"/>
        <v>276.70499999999998</v>
      </c>
      <c r="M4829" s="563">
        <f t="shared" si="224"/>
        <v>920.20500000000004</v>
      </c>
      <c r="N4829" s="580"/>
      <c r="O4829" s="558"/>
      <c r="P4829" s="564"/>
    </row>
    <row r="4830" spans="4:16" x14ac:dyDescent="0.25">
      <c r="D4830" s="559" t="s">
        <v>867</v>
      </c>
      <c r="E4830" s="558" t="s">
        <v>2014</v>
      </c>
      <c r="F4830" s="559">
        <v>702189</v>
      </c>
      <c r="G4830" s="558" t="s">
        <v>950</v>
      </c>
      <c r="H4830" s="564">
        <v>40015</v>
      </c>
      <c r="I4830" s="563">
        <v>25.35</v>
      </c>
      <c r="J4830" s="563">
        <v>-25.35</v>
      </c>
      <c r="K4830" s="563">
        <f t="shared" si="222"/>
        <v>0</v>
      </c>
      <c r="L4830" s="563">
        <f t="shared" si="223"/>
        <v>0</v>
      </c>
      <c r="M4830" s="563">
        <f t="shared" si="224"/>
        <v>27.885000000000005</v>
      </c>
      <c r="N4830" s="580"/>
      <c r="O4830" s="558"/>
      <c r="P4830" s="564"/>
    </row>
    <row r="4831" spans="4:16" x14ac:dyDescent="0.25">
      <c r="D4831" s="559" t="s">
        <v>867</v>
      </c>
      <c r="E4831" s="558" t="s">
        <v>3789</v>
      </c>
      <c r="F4831" s="559">
        <v>700100</v>
      </c>
      <c r="G4831" s="558" t="s">
        <v>950</v>
      </c>
      <c r="H4831" s="564">
        <v>40015</v>
      </c>
      <c r="I4831" s="563">
        <v>848.25</v>
      </c>
      <c r="J4831" s="563">
        <v>-585</v>
      </c>
      <c r="K4831" s="582">
        <f t="shared" si="222"/>
        <v>263.25</v>
      </c>
      <c r="L4831" s="563">
        <f t="shared" si="223"/>
        <v>289.57500000000005</v>
      </c>
      <c r="M4831" s="563">
        <f t="shared" si="224"/>
        <v>933.07500000000005</v>
      </c>
      <c r="N4831" s="580"/>
    </row>
    <row r="4832" spans="4:16" x14ac:dyDescent="0.25">
      <c r="D4832" s="559" t="s">
        <v>867</v>
      </c>
      <c r="E4832" s="558" t="s">
        <v>3790</v>
      </c>
      <c r="F4832" s="559">
        <v>701582</v>
      </c>
      <c r="G4832" s="558" t="s">
        <v>950</v>
      </c>
      <c r="H4832" s="564">
        <v>40015</v>
      </c>
      <c r="I4832" s="563">
        <v>1082.25</v>
      </c>
      <c r="J4832" s="563">
        <v>-585</v>
      </c>
      <c r="K4832" s="582">
        <f t="shared" si="222"/>
        <v>497.25</v>
      </c>
      <c r="L4832" s="563">
        <f t="shared" si="223"/>
        <v>546.97500000000002</v>
      </c>
      <c r="M4832" s="563">
        <f t="shared" si="224"/>
        <v>1190.4750000000001</v>
      </c>
      <c r="N4832" s="580"/>
    </row>
    <row r="4833" spans="4:16" x14ac:dyDescent="0.25">
      <c r="D4833" s="559" t="s">
        <v>867</v>
      </c>
      <c r="E4833" s="558" t="s">
        <v>3791</v>
      </c>
      <c r="F4833" s="559">
        <v>702120</v>
      </c>
      <c r="G4833" s="558" t="s">
        <v>950</v>
      </c>
      <c r="H4833" s="564">
        <v>40015</v>
      </c>
      <c r="I4833" s="563">
        <v>224.25</v>
      </c>
      <c r="J4833" s="563">
        <v>-224.25</v>
      </c>
      <c r="K4833" s="582">
        <f t="shared" si="222"/>
        <v>0</v>
      </c>
      <c r="L4833" s="563">
        <f t="shared" si="223"/>
        <v>0</v>
      </c>
      <c r="M4833" s="563">
        <f t="shared" si="224"/>
        <v>246.67500000000001</v>
      </c>
      <c r="N4833" s="580"/>
    </row>
    <row r="4834" spans="4:16" x14ac:dyDescent="0.25">
      <c r="D4834" s="559" t="s">
        <v>867</v>
      </c>
      <c r="E4834" s="558" t="s">
        <v>3792</v>
      </c>
      <c r="F4834" s="559">
        <v>702452</v>
      </c>
      <c r="G4834" s="558" t="s">
        <v>950</v>
      </c>
      <c r="H4834" s="564">
        <v>40015</v>
      </c>
      <c r="I4834" s="563">
        <v>23.4</v>
      </c>
      <c r="J4834" s="563">
        <v>-23.4</v>
      </c>
      <c r="K4834" s="582">
        <f t="shared" si="222"/>
        <v>0</v>
      </c>
      <c r="L4834" s="563">
        <f t="shared" si="223"/>
        <v>0</v>
      </c>
      <c r="M4834" s="563">
        <f t="shared" si="224"/>
        <v>25.740000000000002</v>
      </c>
      <c r="N4834" s="580"/>
    </row>
    <row r="4835" spans="4:16" x14ac:dyDescent="0.25">
      <c r="D4835" s="559" t="s">
        <v>867</v>
      </c>
      <c r="E4835" s="558" t="s">
        <v>3793</v>
      </c>
      <c r="F4835" s="559">
        <v>702452</v>
      </c>
      <c r="G4835" s="558" t="s">
        <v>2016</v>
      </c>
      <c r="H4835" s="564">
        <v>40015</v>
      </c>
      <c r="I4835" s="563">
        <v>452.4</v>
      </c>
      <c r="J4835" s="563">
        <v>-452.4</v>
      </c>
      <c r="K4835" s="582">
        <f t="shared" si="222"/>
        <v>0</v>
      </c>
      <c r="L4835" s="563">
        <f t="shared" si="223"/>
        <v>0</v>
      </c>
      <c r="M4835" s="563">
        <f t="shared" si="224"/>
        <v>497.64000000000004</v>
      </c>
      <c r="N4835" s="580"/>
    </row>
    <row r="4836" spans="4:16" x14ac:dyDescent="0.25">
      <c r="D4836" s="559" t="s">
        <v>867</v>
      </c>
      <c r="E4836" s="558" t="s">
        <v>3794</v>
      </c>
      <c r="F4836" s="559">
        <v>701730</v>
      </c>
      <c r="G4836" s="558" t="s">
        <v>2016</v>
      </c>
      <c r="H4836" s="564">
        <v>40015</v>
      </c>
      <c r="I4836" s="563">
        <v>23.4</v>
      </c>
      <c r="J4836" s="563">
        <v>-23.4</v>
      </c>
      <c r="K4836" s="582">
        <f t="shared" si="222"/>
        <v>0</v>
      </c>
      <c r="L4836" s="563">
        <f t="shared" si="223"/>
        <v>0</v>
      </c>
      <c r="M4836" s="563">
        <f t="shared" si="224"/>
        <v>25.740000000000002</v>
      </c>
      <c r="N4836" s="580"/>
    </row>
    <row r="4837" spans="4:16" x14ac:dyDescent="0.25">
      <c r="D4837" s="559" t="s">
        <v>867</v>
      </c>
      <c r="E4837" s="558" t="s">
        <v>3795</v>
      </c>
      <c r="F4837" s="559">
        <v>701730</v>
      </c>
      <c r="G4837" s="558" t="s">
        <v>2016</v>
      </c>
      <c r="H4837" s="564">
        <v>40015</v>
      </c>
      <c r="I4837" s="563">
        <v>11.7</v>
      </c>
      <c r="J4837" s="563">
        <v>-11.7</v>
      </c>
      <c r="K4837" s="582">
        <f t="shared" si="222"/>
        <v>0</v>
      </c>
      <c r="L4837" s="563">
        <f t="shared" si="223"/>
        <v>0</v>
      </c>
      <c r="M4837" s="563">
        <f t="shared" si="224"/>
        <v>12.870000000000001</v>
      </c>
      <c r="N4837" s="580"/>
    </row>
    <row r="4838" spans="4:16" x14ac:dyDescent="0.25">
      <c r="D4838" s="559" t="s">
        <v>867</v>
      </c>
      <c r="E4838" s="558" t="s">
        <v>3796</v>
      </c>
      <c r="F4838" s="559">
        <v>701730</v>
      </c>
      <c r="G4838" s="558" t="s">
        <v>2016</v>
      </c>
      <c r="H4838" s="564">
        <v>40015</v>
      </c>
      <c r="I4838" s="563">
        <v>27.3</v>
      </c>
      <c r="J4838" s="563">
        <v>-27.3</v>
      </c>
      <c r="K4838" s="582">
        <f t="shared" si="222"/>
        <v>0</v>
      </c>
      <c r="L4838" s="563">
        <f t="shared" si="223"/>
        <v>0</v>
      </c>
      <c r="M4838" s="563">
        <f t="shared" si="224"/>
        <v>30.030000000000005</v>
      </c>
      <c r="N4838" s="580"/>
    </row>
    <row r="4839" spans="4:16" x14ac:dyDescent="0.25">
      <c r="D4839" s="559" t="s">
        <v>867</v>
      </c>
      <c r="E4839" s="558" t="s">
        <v>2015</v>
      </c>
      <c r="F4839" s="559">
        <v>701716</v>
      </c>
      <c r="G4839" s="558" t="s">
        <v>2016</v>
      </c>
      <c r="H4839" s="564">
        <v>40015</v>
      </c>
      <c r="I4839" s="563">
        <v>1698.45</v>
      </c>
      <c r="J4839" s="563">
        <v>-585</v>
      </c>
      <c r="K4839" s="563">
        <f t="shared" si="222"/>
        <v>1113.45</v>
      </c>
      <c r="L4839" s="563">
        <f t="shared" si="223"/>
        <v>1224.7950000000001</v>
      </c>
      <c r="M4839" s="563">
        <f t="shared" si="224"/>
        <v>1868.2950000000003</v>
      </c>
      <c r="N4839" s="580"/>
      <c r="O4839" s="558"/>
      <c r="P4839" s="564"/>
    </row>
    <row r="4840" spans="4:16" x14ac:dyDescent="0.25">
      <c r="D4840" s="559" t="s">
        <v>867</v>
      </c>
      <c r="E4840" s="558" t="s">
        <v>2017</v>
      </c>
      <c r="F4840" s="559">
        <v>702390</v>
      </c>
      <c r="G4840" s="558" t="s">
        <v>2018</v>
      </c>
      <c r="H4840" s="564">
        <v>40015</v>
      </c>
      <c r="I4840" s="563">
        <v>21.45</v>
      </c>
      <c r="J4840" s="563">
        <v>-21.45</v>
      </c>
      <c r="K4840" s="563">
        <f t="shared" si="222"/>
        <v>0</v>
      </c>
      <c r="L4840" s="563">
        <f t="shared" si="223"/>
        <v>0</v>
      </c>
      <c r="M4840" s="563">
        <f t="shared" si="224"/>
        <v>23.595000000000002</v>
      </c>
      <c r="N4840" s="580"/>
      <c r="O4840" s="558"/>
      <c r="P4840" s="564"/>
    </row>
    <row r="4841" spans="4:16" x14ac:dyDescent="0.25">
      <c r="D4841" s="559" t="s">
        <v>867</v>
      </c>
      <c r="E4841" s="558" t="s">
        <v>3797</v>
      </c>
      <c r="F4841" s="559">
        <v>702305</v>
      </c>
      <c r="G4841" s="558" t="s">
        <v>2018</v>
      </c>
      <c r="H4841" s="564">
        <v>40015</v>
      </c>
      <c r="I4841" s="563">
        <v>60.45</v>
      </c>
      <c r="J4841" s="563">
        <v>-60.45</v>
      </c>
      <c r="K4841" s="582">
        <f t="shared" ref="K4841:K4904" si="225">+I4841+J4841</f>
        <v>0</v>
      </c>
      <c r="L4841" s="563">
        <f t="shared" ref="L4841:L4904" si="226">+K4841*1.1</f>
        <v>0</v>
      </c>
      <c r="M4841" s="563">
        <f t="shared" ref="M4841:M4904" si="227">+I4841*1.1</f>
        <v>66.495000000000005</v>
      </c>
      <c r="N4841" s="580"/>
    </row>
    <row r="4842" spans="4:16" x14ac:dyDescent="0.25">
      <c r="D4842" s="559" t="s">
        <v>867</v>
      </c>
      <c r="E4842" s="558" t="s">
        <v>3798</v>
      </c>
      <c r="F4842" s="559">
        <v>700048</v>
      </c>
      <c r="G4842" s="558" t="s">
        <v>2018</v>
      </c>
      <c r="H4842" s="564">
        <v>40015</v>
      </c>
      <c r="I4842" s="563">
        <v>1425.45</v>
      </c>
      <c r="J4842" s="563">
        <v>-585</v>
      </c>
      <c r="K4842" s="582">
        <f t="shared" si="225"/>
        <v>840.45</v>
      </c>
      <c r="L4842" s="563">
        <f t="shared" si="226"/>
        <v>924.49500000000012</v>
      </c>
      <c r="M4842" s="563">
        <f t="shared" si="227"/>
        <v>1567.9950000000001</v>
      </c>
      <c r="N4842" s="580"/>
    </row>
    <row r="4843" spans="4:16" x14ac:dyDescent="0.25">
      <c r="D4843" s="559" t="s">
        <v>867</v>
      </c>
      <c r="E4843" s="558" t="s">
        <v>3799</v>
      </c>
      <c r="F4843" s="559">
        <v>702415</v>
      </c>
      <c r="G4843" s="558" t="s">
        <v>2018</v>
      </c>
      <c r="H4843" s="564">
        <v>40015</v>
      </c>
      <c r="I4843" s="563">
        <v>21.45</v>
      </c>
      <c r="J4843" s="563">
        <v>-21.45</v>
      </c>
      <c r="K4843" s="582">
        <f t="shared" si="225"/>
        <v>0</v>
      </c>
      <c r="L4843" s="563">
        <f t="shared" si="226"/>
        <v>0</v>
      </c>
      <c r="M4843" s="563">
        <f t="shared" si="227"/>
        <v>23.595000000000002</v>
      </c>
      <c r="N4843" s="580"/>
    </row>
    <row r="4844" spans="4:16" x14ac:dyDescent="0.25">
      <c r="D4844" s="559" t="s">
        <v>867</v>
      </c>
      <c r="E4844" s="558" t="s">
        <v>2019</v>
      </c>
      <c r="F4844" s="559">
        <v>702152</v>
      </c>
      <c r="G4844" s="558" t="s">
        <v>2018</v>
      </c>
      <c r="H4844" s="564">
        <v>40015</v>
      </c>
      <c r="I4844" s="563">
        <v>1388.4</v>
      </c>
      <c r="J4844" s="563">
        <v>-585</v>
      </c>
      <c r="K4844" s="563">
        <f t="shared" si="225"/>
        <v>803.40000000000009</v>
      </c>
      <c r="L4844" s="563">
        <f t="shared" si="226"/>
        <v>883.74000000000012</v>
      </c>
      <c r="M4844" s="563">
        <f t="shared" si="227"/>
        <v>1527.2400000000002</v>
      </c>
      <c r="N4844" s="580"/>
      <c r="O4844" s="558"/>
      <c r="P4844" s="564"/>
    </row>
    <row r="4845" spans="4:16" x14ac:dyDescent="0.25">
      <c r="D4845" s="559" t="s">
        <v>867</v>
      </c>
      <c r="E4845" s="558" t="s">
        <v>3800</v>
      </c>
      <c r="F4845" s="559">
        <v>702085</v>
      </c>
      <c r="G4845" s="558" t="s">
        <v>2021</v>
      </c>
      <c r="H4845" s="564">
        <v>40015</v>
      </c>
      <c r="I4845" s="563">
        <v>294.45</v>
      </c>
      <c r="J4845" s="563">
        <v>-294.45</v>
      </c>
      <c r="K4845" s="582">
        <f t="shared" si="225"/>
        <v>0</v>
      </c>
      <c r="L4845" s="563">
        <f t="shared" si="226"/>
        <v>0</v>
      </c>
      <c r="M4845" s="563">
        <f t="shared" si="227"/>
        <v>323.89500000000004</v>
      </c>
      <c r="N4845" s="580"/>
    </row>
    <row r="4846" spans="4:16" x14ac:dyDescent="0.25">
      <c r="D4846" s="559" t="s">
        <v>867</v>
      </c>
      <c r="E4846" s="558" t="s">
        <v>2020</v>
      </c>
      <c r="F4846" s="559">
        <v>701723</v>
      </c>
      <c r="G4846" s="558" t="s">
        <v>2021</v>
      </c>
      <c r="H4846" s="564">
        <v>40015</v>
      </c>
      <c r="I4846" s="563">
        <v>998.4</v>
      </c>
      <c r="J4846" s="563">
        <v>-585</v>
      </c>
      <c r="K4846" s="563">
        <f t="shared" si="225"/>
        <v>413.4</v>
      </c>
      <c r="L4846" s="563">
        <f t="shared" si="226"/>
        <v>454.74</v>
      </c>
      <c r="M4846" s="563">
        <f t="shared" si="227"/>
        <v>1098.24</v>
      </c>
      <c r="N4846" s="580"/>
      <c r="O4846" s="558"/>
      <c r="P4846" s="564"/>
    </row>
    <row r="4847" spans="4:16" x14ac:dyDescent="0.25">
      <c r="D4847" s="559" t="s">
        <v>867</v>
      </c>
      <c r="E4847" s="558" t="s">
        <v>3801</v>
      </c>
      <c r="F4847" s="559">
        <v>702085</v>
      </c>
      <c r="G4847" s="558" t="s">
        <v>2021</v>
      </c>
      <c r="H4847" s="564">
        <v>40015</v>
      </c>
      <c r="I4847" s="563">
        <v>25.35</v>
      </c>
      <c r="J4847" s="563">
        <v>-25.35</v>
      </c>
      <c r="K4847" s="582">
        <f t="shared" si="225"/>
        <v>0</v>
      </c>
      <c r="L4847" s="563">
        <f t="shared" si="226"/>
        <v>0</v>
      </c>
      <c r="M4847" s="563">
        <f t="shared" si="227"/>
        <v>27.885000000000005</v>
      </c>
      <c r="N4847" s="580"/>
    </row>
    <row r="4848" spans="4:16" x14ac:dyDescent="0.25">
      <c r="D4848" s="559" t="s">
        <v>867</v>
      </c>
      <c r="E4848" s="558" t="s">
        <v>3802</v>
      </c>
      <c r="F4848" s="559">
        <v>701577</v>
      </c>
      <c r="G4848" s="558" t="s">
        <v>2021</v>
      </c>
      <c r="H4848" s="564">
        <v>40015</v>
      </c>
      <c r="I4848" s="563">
        <v>1544.4</v>
      </c>
      <c r="J4848" s="563">
        <v>-585</v>
      </c>
      <c r="K4848" s="582">
        <f t="shared" si="225"/>
        <v>959.40000000000009</v>
      </c>
      <c r="L4848" s="563">
        <f t="shared" si="226"/>
        <v>1055.3400000000001</v>
      </c>
      <c r="M4848" s="563">
        <f t="shared" si="227"/>
        <v>1698.8400000000001</v>
      </c>
      <c r="N4848" s="580"/>
    </row>
    <row r="4849" spans="4:16" x14ac:dyDescent="0.25">
      <c r="D4849" s="559" t="s">
        <v>867</v>
      </c>
      <c r="E4849" s="558" t="s">
        <v>2022</v>
      </c>
      <c r="F4849" s="559">
        <v>701083</v>
      </c>
      <c r="G4849" s="558" t="s">
        <v>2021</v>
      </c>
      <c r="H4849" s="564">
        <v>40015</v>
      </c>
      <c r="I4849" s="563">
        <v>1076.4000000000001</v>
      </c>
      <c r="J4849" s="563">
        <v>-585</v>
      </c>
      <c r="K4849" s="563">
        <f t="shared" si="225"/>
        <v>491.40000000000009</v>
      </c>
      <c r="L4849" s="563">
        <f t="shared" si="226"/>
        <v>540.54000000000019</v>
      </c>
      <c r="M4849" s="563">
        <f t="shared" si="227"/>
        <v>1184.0400000000002</v>
      </c>
      <c r="N4849" s="580"/>
      <c r="O4849" s="558"/>
      <c r="P4849" s="564"/>
    </row>
    <row r="4850" spans="4:16" x14ac:dyDescent="0.25">
      <c r="D4850" s="559" t="s">
        <v>867</v>
      </c>
      <c r="E4850" s="558" t="s">
        <v>3803</v>
      </c>
      <c r="F4850" s="559">
        <v>702306</v>
      </c>
      <c r="G4850" s="558" t="s">
        <v>828</v>
      </c>
      <c r="H4850" s="564">
        <v>40015</v>
      </c>
      <c r="I4850" s="563">
        <v>89.7</v>
      </c>
      <c r="J4850" s="563">
        <v>-89.7</v>
      </c>
      <c r="K4850" s="582">
        <f t="shared" si="225"/>
        <v>0</v>
      </c>
      <c r="L4850" s="563">
        <f t="shared" si="226"/>
        <v>0</v>
      </c>
      <c r="M4850" s="563">
        <f t="shared" si="227"/>
        <v>98.670000000000016</v>
      </c>
      <c r="N4850" s="580"/>
    </row>
    <row r="4851" spans="4:16" x14ac:dyDescent="0.25">
      <c r="D4851" s="559" t="s">
        <v>867</v>
      </c>
      <c r="E4851" s="558" t="s">
        <v>3804</v>
      </c>
      <c r="F4851" s="559">
        <v>702306</v>
      </c>
      <c r="G4851" s="558" t="s">
        <v>828</v>
      </c>
      <c r="H4851" s="564">
        <v>40015</v>
      </c>
      <c r="I4851" s="563">
        <v>2952.3</v>
      </c>
      <c r="J4851" s="563">
        <v>-585</v>
      </c>
      <c r="K4851" s="582">
        <f t="shared" si="225"/>
        <v>2367.3000000000002</v>
      </c>
      <c r="L4851" s="563">
        <f t="shared" si="226"/>
        <v>2604.0300000000002</v>
      </c>
      <c r="M4851" s="563">
        <f t="shared" si="227"/>
        <v>3247.5300000000007</v>
      </c>
      <c r="N4851" s="580"/>
    </row>
    <row r="4852" spans="4:16" x14ac:dyDescent="0.25">
      <c r="D4852" s="559" t="s">
        <v>867</v>
      </c>
      <c r="E4852" s="558" t="s">
        <v>3805</v>
      </c>
      <c r="F4852" s="559">
        <v>702306</v>
      </c>
      <c r="G4852" s="558" t="s">
        <v>832</v>
      </c>
      <c r="H4852" s="564">
        <v>40015</v>
      </c>
      <c r="I4852" s="563">
        <v>31.2</v>
      </c>
      <c r="J4852" s="563">
        <v>-31.2</v>
      </c>
      <c r="K4852" s="582">
        <f t="shared" si="225"/>
        <v>0</v>
      </c>
      <c r="L4852" s="563">
        <f t="shared" si="226"/>
        <v>0</v>
      </c>
      <c r="M4852" s="563">
        <f t="shared" si="227"/>
        <v>34.32</v>
      </c>
      <c r="N4852" s="580"/>
    </row>
    <row r="4853" spans="4:16" x14ac:dyDescent="0.25">
      <c r="D4853" s="559" t="s">
        <v>867</v>
      </c>
      <c r="E4853" s="558" t="s">
        <v>3806</v>
      </c>
      <c r="F4853" s="559">
        <v>701667</v>
      </c>
      <c r="G4853" s="558" t="s">
        <v>832</v>
      </c>
      <c r="H4853" s="564">
        <v>40015</v>
      </c>
      <c r="I4853" s="563">
        <v>1626.3</v>
      </c>
      <c r="J4853" s="563">
        <v>-585</v>
      </c>
      <c r="K4853" s="582">
        <f t="shared" si="225"/>
        <v>1041.3</v>
      </c>
      <c r="L4853" s="563">
        <f t="shared" si="226"/>
        <v>1145.43</v>
      </c>
      <c r="M4853" s="563">
        <f t="shared" si="227"/>
        <v>1788.93</v>
      </c>
      <c r="N4853" s="580"/>
    </row>
    <row r="4854" spans="4:16" x14ac:dyDescent="0.25">
      <c r="D4854" s="559" t="s">
        <v>867</v>
      </c>
      <c r="E4854" s="558" t="s">
        <v>3807</v>
      </c>
      <c r="F4854" s="559">
        <v>702156</v>
      </c>
      <c r="G4854" s="558" t="s">
        <v>832</v>
      </c>
      <c r="H4854" s="564">
        <v>40015</v>
      </c>
      <c r="I4854" s="563">
        <v>1431.3</v>
      </c>
      <c r="J4854" s="563">
        <v>-585</v>
      </c>
      <c r="K4854" s="582">
        <f t="shared" si="225"/>
        <v>846.3</v>
      </c>
      <c r="L4854" s="563">
        <f t="shared" si="226"/>
        <v>930.93000000000006</v>
      </c>
      <c r="M4854" s="563">
        <f t="shared" si="227"/>
        <v>1574.43</v>
      </c>
      <c r="N4854" s="580"/>
    </row>
    <row r="4855" spans="4:16" x14ac:dyDescent="0.25">
      <c r="D4855" s="559" t="s">
        <v>867</v>
      </c>
      <c r="E4855" s="558" t="s">
        <v>3808</v>
      </c>
      <c r="F4855" s="559">
        <v>701621</v>
      </c>
      <c r="G4855" s="558" t="s">
        <v>3809</v>
      </c>
      <c r="H4855" s="564">
        <v>40015</v>
      </c>
      <c r="I4855" s="563">
        <v>1821.3</v>
      </c>
      <c r="J4855" s="563">
        <v>-585</v>
      </c>
      <c r="K4855" s="582">
        <f t="shared" si="225"/>
        <v>1236.3</v>
      </c>
      <c r="L4855" s="563">
        <f t="shared" si="226"/>
        <v>1359.93</v>
      </c>
      <c r="M4855" s="563">
        <f t="shared" si="227"/>
        <v>2003.43</v>
      </c>
      <c r="N4855" s="580"/>
    </row>
    <row r="4856" spans="4:16" x14ac:dyDescent="0.25">
      <c r="D4856" s="559" t="s">
        <v>867</v>
      </c>
      <c r="E4856" s="558" t="s">
        <v>3810</v>
      </c>
      <c r="F4856" s="559">
        <v>700059</v>
      </c>
      <c r="G4856" s="558" t="s">
        <v>3809</v>
      </c>
      <c r="H4856" s="564">
        <v>40015</v>
      </c>
      <c r="I4856" s="563">
        <v>27.3</v>
      </c>
      <c r="J4856" s="563">
        <v>-27.3</v>
      </c>
      <c r="K4856" s="582">
        <f t="shared" si="225"/>
        <v>0</v>
      </c>
      <c r="L4856" s="563">
        <f t="shared" si="226"/>
        <v>0</v>
      </c>
      <c r="M4856" s="563">
        <f t="shared" si="227"/>
        <v>30.030000000000005</v>
      </c>
      <c r="N4856" s="580"/>
    </row>
    <row r="4857" spans="4:16" x14ac:dyDescent="0.25">
      <c r="D4857" s="559" t="s">
        <v>867</v>
      </c>
      <c r="E4857" s="558" t="s">
        <v>3811</v>
      </c>
      <c r="F4857" s="559">
        <v>700060</v>
      </c>
      <c r="G4857" s="558" t="s">
        <v>3809</v>
      </c>
      <c r="H4857" s="564">
        <v>40015</v>
      </c>
      <c r="I4857" s="563">
        <v>3732.3</v>
      </c>
      <c r="J4857" s="563">
        <v>-585</v>
      </c>
      <c r="K4857" s="582">
        <f t="shared" si="225"/>
        <v>3147.3</v>
      </c>
      <c r="L4857" s="563">
        <f t="shared" si="226"/>
        <v>3462.0300000000007</v>
      </c>
      <c r="M4857" s="563">
        <f t="shared" si="227"/>
        <v>4105.5300000000007</v>
      </c>
      <c r="N4857" s="580"/>
    </row>
    <row r="4858" spans="4:16" x14ac:dyDescent="0.25">
      <c r="D4858" s="559" t="s">
        <v>867</v>
      </c>
      <c r="E4858" s="558" t="s">
        <v>3812</v>
      </c>
      <c r="F4858" s="559">
        <v>700060</v>
      </c>
      <c r="G4858" s="558" t="s">
        <v>3809</v>
      </c>
      <c r="H4858" s="564">
        <v>40015</v>
      </c>
      <c r="I4858" s="563">
        <v>27.3</v>
      </c>
      <c r="J4858" s="563">
        <v>-27.3</v>
      </c>
      <c r="K4858" s="582">
        <f t="shared" si="225"/>
        <v>0</v>
      </c>
      <c r="L4858" s="563">
        <f t="shared" si="226"/>
        <v>0</v>
      </c>
      <c r="M4858" s="563">
        <f t="shared" si="227"/>
        <v>30.030000000000005</v>
      </c>
      <c r="N4858" s="580"/>
    </row>
    <row r="4859" spans="4:16" x14ac:dyDescent="0.25">
      <c r="D4859" s="559" t="s">
        <v>867</v>
      </c>
      <c r="E4859" s="558" t="s">
        <v>3813</v>
      </c>
      <c r="F4859" s="559">
        <v>702116</v>
      </c>
      <c r="G4859" s="558" t="s">
        <v>3809</v>
      </c>
      <c r="H4859" s="564">
        <v>40015</v>
      </c>
      <c r="I4859" s="563">
        <v>1704.3</v>
      </c>
      <c r="J4859" s="563">
        <v>-585</v>
      </c>
      <c r="K4859" s="582">
        <f t="shared" si="225"/>
        <v>1119.3</v>
      </c>
      <c r="L4859" s="563">
        <f t="shared" si="226"/>
        <v>1231.23</v>
      </c>
      <c r="M4859" s="563">
        <f t="shared" si="227"/>
        <v>1874.73</v>
      </c>
      <c r="N4859" s="580"/>
    </row>
    <row r="4860" spans="4:16" x14ac:dyDescent="0.25">
      <c r="D4860" s="559" t="s">
        <v>867</v>
      </c>
      <c r="E4860" s="558" t="s">
        <v>3814</v>
      </c>
      <c r="F4860" s="559">
        <v>700062</v>
      </c>
      <c r="G4860" s="558" t="s">
        <v>2024</v>
      </c>
      <c r="H4860" s="564">
        <v>40015</v>
      </c>
      <c r="I4860" s="563">
        <v>2133.3000000000002</v>
      </c>
      <c r="J4860" s="563">
        <v>-585</v>
      </c>
      <c r="K4860" s="582">
        <f t="shared" si="225"/>
        <v>1548.3000000000002</v>
      </c>
      <c r="L4860" s="563">
        <f t="shared" si="226"/>
        <v>1703.1300000000003</v>
      </c>
      <c r="M4860" s="563">
        <f t="shared" si="227"/>
        <v>2346.6300000000006</v>
      </c>
      <c r="N4860" s="580"/>
    </row>
    <row r="4861" spans="4:16" x14ac:dyDescent="0.25">
      <c r="D4861" s="559" t="s">
        <v>867</v>
      </c>
      <c r="E4861" s="558" t="s">
        <v>3815</v>
      </c>
      <c r="F4861" s="559">
        <v>700063</v>
      </c>
      <c r="G4861" s="558" t="s">
        <v>2024</v>
      </c>
      <c r="H4861" s="564">
        <v>40015</v>
      </c>
      <c r="I4861" s="563">
        <v>2328.3000000000002</v>
      </c>
      <c r="J4861" s="563">
        <v>-585</v>
      </c>
      <c r="K4861" s="582">
        <f t="shared" si="225"/>
        <v>1743.3000000000002</v>
      </c>
      <c r="L4861" s="563">
        <f t="shared" si="226"/>
        <v>1917.6300000000003</v>
      </c>
      <c r="M4861" s="563">
        <f t="shared" si="227"/>
        <v>2561.1300000000006</v>
      </c>
      <c r="N4861" s="580"/>
    </row>
    <row r="4862" spans="4:16" x14ac:dyDescent="0.25">
      <c r="D4862" s="559" t="s">
        <v>867</v>
      </c>
      <c r="E4862" s="558" t="s">
        <v>2023</v>
      </c>
      <c r="F4862" s="559">
        <v>702350</v>
      </c>
      <c r="G4862" s="558" t="s">
        <v>2024</v>
      </c>
      <c r="H4862" s="564">
        <v>40015</v>
      </c>
      <c r="I4862" s="563">
        <v>27.3</v>
      </c>
      <c r="J4862" s="563">
        <v>-27.3</v>
      </c>
      <c r="K4862" s="563">
        <f t="shared" si="225"/>
        <v>0</v>
      </c>
      <c r="L4862" s="563">
        <f t="shared" si="226"/>
        <v>0</v>
      </c>
      <c r="M4862" s="563">
        <f t="shared" si="227"/>
        <v>30.030000000000005</v>
      </c>
      <c r="N4862" s="580"/>
      <c r="O4862" s="558"/>
      <c r="P4862" s="564"/>
    </row>
    <row r="4863" spans="4:16" x14ac:dyDescent="0.25">
      <c r="D4863" s="559" t="s">
        <v>867</v>
      </c>
      <c r="E4863" s="558" t="s">
        <v>2025</v>
      </c>
      <c r="F4863" s="559">
        <v>101172</v>
      </c>
      <c r="G4863" s="558" t="s">
        <v>2024</v>
      </c>
      <c r="H4863" s="564">
        <v>40015</v>
      </c>
      <c r="I4863" s="563">
        <v>3576.3</v>
      </c>
      <c r="J4863" s="563">
        <v>-585</v>
      </c>
      <c r="K4863" s="563">
        <f t="shared" si="225"/>
        <v>2991.3</v>
      </c>
      <c r="L4863" s="563">
        <f t="shared" si="226"/>
        <v>3290.4300000000003</v>
      </c>
      <c r="M4863" s="563">
        <f t="shared" si="227"/>
        <v>3933.9300000000003</v>
      </c>
      <c r="N4863" s="580"/>
      <c r="O4863" s="558"/>
      <c r="P4863" s="564"/>
    </row>
    <row r="4864" spans="4:16" x14ac:dyDescent="0.25">
      <c r="D4864" s="559" t="s">
        <v>867</v>
      </c>
      <c r="E4864" s="558" t="s">
        <v>3816</v>
      </c>
      <c r="F4864" s="559">
        <v>702234</v>
      </c>
      <c r="G4864" s="558" t="s">
        <v>2024</v>
      </c>
      <c r="H4864" s="564">
        <v>40015</v>
      </c>
      <c r="I4864" s="563">
        <v>27.3</v>
      </c>
      <c r="J4864" s="563">
        <v>-27.3</v>
      </c>
      <c r="K4864" s="582">
        <f t="shared" si="225"/>
        <v>0</v>
      </c>
      <c r="L4864" s="563">
        <f t="shared" si="226"/>
        <v>0</v>
      </c>
      <c r="M4864" s="563">
        <f t="shared" si="227"/>
        <v>30.030000000000005</v>
      </c>
      <c r="N4864" s="580"/>
    </row>
    <row r="4865" spans="4:16" x14ac:dyDescent="0.25">
      <c r="D4865" s="559" t="s">
        <v>867</v>
      </c>
      <c r="E4865" s="558" t="s">
        <v>2026</v>
      </c>
      <c r="F4865" s="559">
        <v>702151</v>
      </c>
      <c r="G4865" s="558" t="s">
        <v>2027</v>
      </c>
      <c r="H4865" s="564">
        <v>40015</v>
      </c>
      <c r="I4865" s="563">
        <v>1509.3</v>
      </c>
      <c r="J4865" s="563">
        <v>-585</v>
      </c>
      <c r="K4865" s="563">
        <f t="shared" si="225"/>
        <v>924.3</v>
      </c>
      <c r="L4865" s="563">
        <f t="shared" si="226"/>
        <v>1016.73</v>
      </c>
      <c r="M4865" s="563">
        <f t="shared" si="227"/>
        <v>1660.23</v>
      </c>
      <c r="N4865" s="580"/>
      <c r="O4865" s="558"/>
      <c r="P4865" s="564"/>
    </row>
    <row r="4866" spans="4:16" x14ac:dyDescent="0.25">
      <c r="D4866" s="559" t="s">
        <v>867</v>
      </c>
      <c r="E4866" s="558" t="s">
        <v>3817</v>
      </c>
      <c r="F4866" s="559">
        <v>702493</v>
      </c>
      <c r="G4866" s="558" t="s">
        <v>2027</v>
      </c>
      <c r="H4866" s="564">
        <v>40015</v>
      </c>
      <c r="I4866" s="563">
        <v>1392.3</v>
      </c>
      <c r="J4866" s="563">
        <v>-585</v>
      </c>
      <c r="K4866" s="582">
        <f t="shared" si="225"/>
        <v>807.3</v>
      </c>
      <c r="L4866" s="563">
        <f t="shared" si="226"/>
        <v>888.03</v>
      </c>
      <c r="M4866" s="563">
        <f t="shared" si="227"/>
        <v>1531.53</v>
      </c>
      <c r="N4866" s="580"/>
    </row>
    <row r="4867" spans="4:16" x14ac:dyDescent="0.25">
      <c r="D4867" s="559" t="s">
        <v>867</v>
      </c>
      <c r="E4867" s="558" t="s">
        <v>3818</v>
      </c>
      <c r="F4867" s="559">
        <v>702265</v>
      </c>
      <c r="G4867" s="558" t="s">
        <v>2027</v>
      </c>
      <c r="H4867" s="564">
        <v>40015</v>
      </c>
      <c r="I4867" s="563">
        <v>1626.3</v>
      </c>
      <c r="J4867" s="563">
        <v>-585</v>
      </c>
      <c r="K4867" s="582">
        <f t="shared" si="225"/>
        <v>1041.3</v>
      </c>
      <c r="L4867" s="563">
        <f t="shared" si="226"/>
        <v>1145.43</v>
      </c>
      <c r="M4867" s="563">
        <f t="shared" si="227"/>
        <v>1788.93</v>
      </c>
      <c r="N4867" s="580"/>
    </row>
    <row r="4868" spans="4:16" x14ac:dyDescent="0.25">
      <c r="D4868" s="559" t="s">
        <v>867</v>
      </c>
      <c r="E4868" s="558" t="s">
        <v>3819</v>
      </c>
      <c r="F4868" s="559">
        <v>701112</v>
      </c>
      <c r="G4868" s="558" t="s">
        <v>2027</v>
      </c>
      <c r="H4868" s="564">
        <v>40015</v>
      </c>
      <c r="I4868" s="563">
        <v>1782.3</v>
      </c>
      <c r="J4868" s="563">
        <v>-585</v>
      </c>
      <c r="K4868" s="582">
        <f t="shared" si="225"/>
        <v>1197.3</v>
      </c>
      <c r="L4868" s="563">
        <f t="shared" si="226"/>
        <v>1317.03</v>
      </c>
      <c r="M4868" s="563">
        <f t="shared" si="227"/>
        <v>1960.5300000000002</v>
      </c>
      <c r="N4868" s="580"/>
    </row>
    <row r="4869" spans="4:16" x14ac:dyDescent="0.25">
      <c r="D4869" s="559" t="s">
        <v>867</v>
      </c>
      <c r="E4869" s="558" t="s">
        <v>3820</v>
      </c>
      <c r="F4869" s="559">
        <v>700069</v>
      </c>
      <c r="G4869" s="558" t="s">
        <v>2027</v>
      </c>
      <c r="H4869" s="564">
        <v>40015</v>
      </c>
      <c r="I4869" s="563">
        <v>27.3</v>
      </c>
      <c r="J4869" s="563">
        <v>-27.3</v>
      </c>
      <c r="K4869" s="582">
        <f t="shared" si="225"/>
        <v>0</v>
      </c>
      <c r="L4869" s="563">
        <f t="shared" si="226"/>
        <v>0</v>
      </c>
      <c r="M4869" s="563">
        <f t="shared" si="227"/>
        <v>30.030000000000005</v>
      </c>
      <c r="N4869" s="580"/>
    </row>
    <row r="4870" spans="4:16" x14ac:dyDescent="0.25">
      <c r="D4870" s="559" t="s">
        <v>867</v>
      </c>
      <c r="E4870" s="558" t="s">
        <v>3821</v>
      </c>
      <c r="F4870" s="559">
        <v>701599</v>
      </c>
      <c r="G4870" s="558" t="s">
        <v>3822</v>
      </c>
      <c r="H4870" s="564">
        <v>40015</v>
      </c>
      <c r="I4870" s="563">
        <v>1743.3</v>
      </c>
      <c r="J4870" s="563">
        <v>-585</v>
      </c>
      <c r="K4870" s="582">
        <f t="shared" si="225"/>
        <v>1158.3</v>
      </c>
      <c r="L4870" s="563">
        <f t="shared" si="226"/>
        <v>1274.1300000000001</v>
      </c>
      <c r="M4870" s="563">
        <f t="shared" si="227"/>
        <v>1917.63</v>
      </c>
      <c r="N4870" s="580"/>
    </row>
    <row r="4871" spans="4:16" x14ac:dyDescent="0.25">
      <c r="D4871" s="559" t="s">
        <v>867</v>
      </c>
      <c r="E4871" s="558" t="s">
        <v>3823</v>
      </c>
      <c r="F4871" s="559">
        <v>701599</v>
      </c>
      <c r="G4871" s="558" t="s">
        <v>3822</v>
      </c>
      <c r="H4871" s="564">
        <v>40015</v>
      </c>
      <c r="I4871" s="563">
        <v>495.3</v>
      </c>
      <c r="J4871" s="563">
        <v>-495.3</v>
      </c>
      <c r="K4871" s="582">
        <f t="shared" si="225"/>
        <v>0</v>
      </c>
      <c r="L4871" s="563">
        <f t="shared" si="226"/>
        <v>0</v>
      </c>
      <c r="M4871" s="563">
        <f t="shared" si="227"/>
        <v>544.83000000000004</v>
      </c>
      <c r="N4871" s="580"/>
    </row>
    <row r="4872" spans="4:16" x14ac:dyDescent="0.25">
      <c r="D4872" s="559" t="s">
        <v>867</v>
      </c>
      <c r="E4872" s="558" t="s">
        <v>3824</v>
      </c>
      <c r="F4872" s="559">
        <v>702106</v>
      </c>
      <c r="G4872" s="558" t="s">
        <v>3822</v>
      </c>
      <c r="H4872" s="564">
        <v>40015</v>
      </c>
      <c r="I4872" s="563">
        <v>2016.3</v>
      </c>
      <c r="J4872" s="563">
        <v>-585</v>
      </c>
      <c r="K4872" s="582">
        <f t="shared" si="225"/>
        <v>1431.3</v>
      </c>
      <c r="L4872" s="563">
        <f t="shared" si="226"/>
        <v>1574.43</v>
      </c>
      <c r="M4872" s="563">
        <f t="shared" si="227"/>
        <v>2217.9300000000003</v>
      </c>
      <c r="N4872" s="580"/>
    </row>
    <row r="4873" spans="4:16" x14ac:dyDescent="0.25">
      <c r="D4873" s="559" t="s">
        <v>867</v>
      </c>
      <c r="E4873" s="558" t="s">
        <v>3825</v>
      </c>
      <c r="F4873" s="559">
        <v>701599</v>
      </c>
      <c r="G4873" s="558" t="s">
        <v>3822</v>
      </c>
      <c r="H4873" s="564">
        <v>40015</v>
      </c>
      <c r="I4873" s="563">
        <v>27.3</v>
      </c>
      <c r="J4873" s="563">
        <v>-27.3</v>
      </c>
      <c r="K4873" s="582">
        <f t="shared" si="225"/>
        <v>0</v>
      </c>
      <c r="L4873" s="563">
        <f t="shared" si="226"/>
        <v>0</v>
      </c>
      <c r="M4873" s="563">
        <f t="shared" si="227"/>
        <v>30.030000000000005</v>
      </c>
      <c r="N4873" s="580"/>
    </row>
    <row r="4874" spans="4:16" x14ac:dyDescent="0.25">
      <c r="D4874" s="559" t="s">
        <v>867</v>
      </c>
      <c r="E4874" s="558" t="s">
        <v>3826</v>
      </c>
      <c r="F4874" s="559">
        <v>700104</v>
      </c>
      <c r="G4874" s="558" t="s">
        <v>3822</v>
      </c>
      <c r="H4874" s="564">
        <v>40015</v>
      </c>
      <c r="I4874" s="563">
        <v>1860.3</v>
      </c>
      <c r="J4874" s="563">
        <v>-585</v>
      </c>
      <c r="K4874" s="582">
        <f t="shared" si="225"/>
        <v>1275.3</v>
      </c>
      <c r="L4874" s="563">
        <f t="shared" si="226"/>
        <v>1402.8300000000002</v>
      </c>
      <c r="M4874" s="563">
        <f t="shared" si="227"/>
        <v>2046.3300000000002</v>
      </c>
      <c r="N4874" s="580"/>
    </row>
    <row r="4875" spans="4:16" x14ac:dyDescent="0.25">
      <c r="D4875" s="559" t="s">
        <v>867</v>
      </c>
      <c r="E4875" s="558" t="s">
        <v>3827</v>
      </c>
      <c r="F4875" s="559">
        <v>702423</v>
      </c>
      <c r="G4875" s="558" t="s">
        <v>3828</v>
      </c>
      <c r="H4875" s="564">
        <v>40015</v>
      </c>
      <c r="I4875" s="563">
        <v>1158.3</v>
      </c>
      <c r="J4875" s="563">
        <v>-585</v>
      </c>
      <c r="K4875" s="582">
        <f t="shared" si="225"/>
        <v>573.29999999999995</v>
      </c>
      <c r="L4875" s="563">
        <f t="shared" si="226"/>
        <v>630.63</v>
      </c>
      <c r="M4875" s="563">
        <f t="shared" si="227"/>
        <v>1274.1300000000001</v>
      </c>
      <c r="N4875" s="580"/>
    </row>
    <row r="4876" spans="4:16" x14ac:dyDescent="0.25">
      <c r="D4876" s="559" t="s">
        <v>867</v>
      </c>
      <c r="E4876" s="558" t="s">
        <v>3829</v>
      </c>
      <c r="F4876" s="559">
        <v>702394</v>
      </c>
      <c r="G4876" s="558" t="s">
        <v>3828</v>
      </c>
      <c r="H4876" s="564">
        <v>40015</v>
      </c>
      <c r="I4876" s="563">
        <v>27.3</v>
      </c>
      <c r="J4876" s="563">
        <v>-27.3</v>
      </c>
      <c r="K4876" s="582">
        <f t="shared" si="225"/>
        <v>0</v>
      </c>
      <c r="L4876" s="563">
        <f t="shared" si="226"/>
        <v>0</v>
      </c>
      <c r="M4876" s="563">
        <f t="shared" si="227"/>
        <v>30.030000000000005</v>
      </c>
      <c r="N4876" s="580"/>
    </row>
    <row r="4877" spans="4:16" x14ac:dyDescent="0.25">
      <c r="D4877" s="559" t="s">
        <v>867</v>
      </c>
      <c r="E4877" s="558" t="s">
        <v>3830</v>
      </c>
      <c r="F4877" s="559">
        <v>702406</v>
      </c>
      <c r="G4877" s="558" t="s">
        <v>3828</v>
      </c>
      <c r="H4877" s="564">
        <v>40015</v>
      </c>
      <c r="I4877" s="563">
        <v>27.3</v>
      </c>
      <c r="J4877" s="563">
        <v>-27.3</v>
      </c>
      <c r="K4877" s="582">
        <f t="shared" si="225"/>
        <v>0</v>
      </c>
      <c r="L4877" s="563">
        <f t="shared" si="226"/>
        <v>0</v>
      </c>
      <c r="M4877" s="563">
        <f t="shared" si="227"/>
        <v>30.030000000000005</v>
      </c>
      <c r="N4877" s="580"/>
    </row>
    <row r="4878" spans="4:16" x14ac:dyDescent="0.25">
      <c r="D4878" s="559" t="s">
        <v>867</v>
      </c>
      <c r="E4878" s="558" t="s">
        <v>3831</v>
      </c>
      <c r="F4878" s="559">
        <v>700107</v>
      </c>
      <c r="G4878" s="558" t="s">
        <v>3828</v>
      </c>
      <c r="H4878" s="564">
        <v>40015</v>
      </c>
      <c r="I4878" s="563">
        <v>27.3</v>
      </c>
      <c r="J4878" s="563">
        <v>-27.3</v>
      </c>
      <c r="K4878" s="582">
        <f t="shared" si="225"/>
        <v>0</v>
      </c>
      <c r="L4878" s="563">
        <f t="shared" si="226"/>
        <v>0</v>
      </c>
      <c r="M4878" s="563">
        <f t="shared" si="227"/>
        <v>30.030000000000005</v>
      </c>
      <c r="N4878" s="580"/>
    </row>
    <row r="4879" spans="4:16" x14ac:dyDescent="0.25">
      <c r="D4879" s="559" t="s">
        <v>867</v>
      </c>
      <c r="E4879" s="558" t="s">
        <v>3832</v>
      </c>
      <c r="F4879" s="559">
        <v>701132</v>
      </c>
      <c r="G4879" s="558" t="s">
        <v>3828</v>
      </c>
      <c r="H4879" s="564">
        <v>40015</v>
      </c>
      <c r="I4879" s="563">
        <v>1470.3</v>
      </c>
      <c r="J4879" s="563">
        <v>-585</v>
      </c>
      <c r="K4879" s="582">
        <f t="shared" si="225"/>
        <v>885.3</v>
      </c>
      <c r="L4879" s="563">
        <f t="shared" si="226"/>
        <v>973.83</v>
      </c>
      <c r="M4879" s="563">
        <f t="shared" si="227"/>
        <v>1617.3300000000002</v>
      </c>
      <c r="N4879" s="580"/>
    </row>
    <row r="4880" spans="4:16" x14ac:dyDescent="0.25">
      <c r="D4880" s="559" t="s">
        <v>867</v>
      </c>
      <c r="E4880" s="558" t="s">
        <v>3833</v>
      </c>
      <c r="F4880" s="559">
        <v>701132</v>
      </c>
      <c r="G4880" s="558" t="s">
        <v>3834</v>
      </c>
      <c r="H4880" s="564">
        <v>40015</v>
      </c>
      <c r="I4880" s="563">
        <v>85.8</v>
      </c>
      <c r="J4880" s="563">
        <v>-85.8</v>
      </c>
      <c r="K4880" s="582">
        <f t="shared" si="225"/>
        <v>0</v>
      </c>
      <c r="L4880" s="563">
        <f t="shared" si="226"/>
        <v>0</v>
      </c>
      <c r="M4880" s="563">
        <f t="shared" si="227"/>
        <v>94.38000000000001</v>
      </c>
      <c r="N4880" s="580"/>
    </row>
    <row r="4881" spans="4:16" x14ac:dyDescent="0.25">
      <c r="D4881" s="559" t="s">
        <v>867</v>
      </c>
      <c r="E4881" s="558" t="s">
        <v>3835</v>
      </c>
      <c r="F4881" s="559">
        <v>702395</v>
      </c>
      <c r="G4881" s="558" t="s">
        <v>3834</v>
      </c>
      <c r="H4881" s="564">
        <v>40015</v>
      </c>
      <c r="I4881" s="563">
        <v>612.29999999999995</v>
      </c>
      <c r="J4881" s="563">
        <v>-585</v>
      </c>
      <c r="K4881" s="582">
        <f t="shared" si="225"/>
        <v>27.299999999999955</v>
      </c>
      <c r="L4881" s="563">
        <f t="shared" si="226"/>
        <v>30.029999999999951</v>
      </c>
      <c r="M4881" s="563">
        <f t="shared" si="227"/>
        <v>673.53</v>
      </c>
      <c r="N4881" s="580"/>
    </row>
    <row r="4882" spans="4:16" x14ac:dyDescent="0.25">
      <c r="D4882" s="559" t="s">
        <v>867</v>
      </c>
      <c r="E4882" s="558" t="s">
        <v>3836</v>
      </c>
      <c r="F4882" s="559">
        <v>701592</v>
      </c>
      <c r="G4882" s="558" t="s">
        <v>3834</v>
      </c>
      <c r="H4882" s="564">
        <v>40015</v>
      </c>
      <c r="I4882" s="563">
        <v>768.3</v>
      </c>
      <c r="J4882" s="563">
        <v>-585</v>
      </c>
      <c r="K4882" s="582">
        <f t="shared" si="225"/>
        <v>183.29999999999995</v>
      </c>
      <c r="L4882" s="563">
        <f t="shared" si="226"/>
        <v>201.62999999999997</v>
      </c>
      <c r="M4882" s="563">
        <f t="shared" si="227"/>
        <v>845.13</v>
      </c>
      <c r="N4882" s="580"/>
    </row>
    <row r="4883" spans="4:16" x14ac:dyDescent="0.25">
      <c r="D4883" s="559" t="s">
        <v>867</v>
      </c>
      <c r="E4883" s="558" t="s">
        <v>3837</v>
      </c>
      <c r="F4883" s="559">
        <v>700107</v>
      </c>
      <c r="G4883" s="558" t="s">
        <v>3834</v>
      </c>
      <c r="H4883" s="564">
        <v>40015</v>
      </c>
      <c r="I4883" s="563">
        <v>27.3</v>
      </c>
      <c r="J4883" s="563">
        <v>-27.3</v>
      </c>
      <c r="K4883" s="582">
        <f t="shared" si="225"/>
        <v>0</v>
      </c>
      <c r="L4883" s="563">
        <f t="shared" si="226"/>
        <v>0</v>
      </c>
      <c r="M4883" s="563">
        <f t="shared" si="227"/>
        <v>30.030000000000005</v>
      </c>
      <c r="N4883" s="580"/>
    </row>
    <row r="4884" spans="4:16" x14ac:dyDescent="0.25">
      <c r="D4884" s="559" t="s">
        <v>867</v>
      </c>
      <c r="E4884" s="558" t="s">
        <v>3838</v>
      </c>
      <c r="F4884" s="559">
        <v>701528</v>
      </c>
      <c r="G4884" s="558" t="s">
        <v>3834</v>
      </c>
      <c r="H4884" s="564">
        <v>40015</v>
      </c>
      <c r="I4884" s="563">
        <v>729.3</v>
      </c>
      <c r="J4884" s="563">
        <v>-585</v>
      </c>
      <c r="K4884" s="582">
        <f t="shared" si="225"/>
        <v>144.29999999999995</v>
      </c>
      <c r="L4884" s="563">
        <f t="shared" si="226"/>
        <v>158.72999999999996</v>
      </c>
      <c r="M4884" s="563">
        <f t="shared" si="227"/>
        <v>802.23</v>
      </c>
      <c r="N4884" s="580"/>
    </row>
    <row r="4885" spans="4:16" x14ac:dyDescent="0.25">
      <c r="D4885" s="559" t="s">
        <v>867</v>
      </c>
      <c r="E4885" s="558" t="s">
        <v>2028</v>
      </c>
      <c r="F4885" s="559">
        <v>702416</v>
      </c>
      <c r="G4885" s="558" t="s">
        <v>839</v>
      </c>
      <c r="H4885" s="564">
        <v>40015</v>
      </c>
      <c r="I4885" s="563">
        <v>27.3</v>
      </c>
      <c r="J4885" s="563">
        <v>-27.3</v>
      </c>
      <c r="K4885" s="563">
        <f t="shared" si="225"/>
        <v>0</v>
      </c>
      <c r="L4885" s="563">
        <f t="shared" si="226"/>
        <v>0</v>
      </c>
      <c r="M4885" s="563">
        <f t="shared" si="227"/>
        <v>30.030000000000005</v>
      </c>
      <c r="N4885" s="580"/>
      <c r="O4885" s="558"/>
      <c r="P4885" s="564"/>
    </row>
    <row r="4886" spans="4:16" x14ac:dyDescent="0.25">
      <c r="D4886" s="559" t="s">
        <v>867</v>
      </c>
      <c r="E4886" s="558" t="s">
        <v>2029</v>
      </c>
      <c r="F4886" s="559">
        <v>702416</v>
      </c>
      <c r="G4886" s="558" t="s">
        <v>839</v>
      </c>
      <c r="H4886" s="564">
        <v>40015</v>
      </c>
      <c r="I4886" s="563">
        <v>27.3</v>
      </c>
      <c r="J4886" s="563">
        <v>-27.3</v>
      </c>
      <c r="K4886" s="563">
        <f t="shared" si="225"/>
        <v>0</v>
      </c>
      <c r="L4886" s="563">
        <f t="shared" si="226"/>
        <v>0</v>
      </c>
      <c r="M4886" s="563">
        <f t="shared" si="227"/>
        <v>30.030000000000005</v>
      </c>
      <c r="N4886" s="580"/>
      <c r="O4886" s="558"/>
      <c r="P4886" s="564"/>
    </row>
    <row r="4887" spans="4:16" x14ac:dyDescent="0.25">
      <c r="D4887" s="559" t="s">
        <v>867</v>
      </c>
      <c r="E4887" s="558" t="s">
        <v>2030</v>
      </c>
      <c r="F4887" s="559">
        <v>700074</v>
      </c>
      <c r="G4887" s="558" t="s">
        <v>839</v>
      </c>
      <c r="H4887" s="564">
        <v>40015</v>
      </c>
      <c r="I4887" s="563">
        <v>2016.3</v>
      </c>
      <c r="J4887" s="563">
        <v>-585</v>
      </c>
      <c r="K4887" s="563">
        <f t="shared" si="225"/>
        <v>1431.3</v>
      </c>
      <c r="L4887" s="563">
        <f t="shared" si="226"/>
        <v>1574.43</v>
      </c>
      <c r="M4887" s="563">
        <f t="shared" si="227"/>
        <v>2217.9300000000003</v>
      </c>
      <c r="N4887" s="580"/>
      <c r="O4887" s="558"/>
      <c r="P4887" s="564"/>
    </row>
    <row r="4888" spans="4:16" x14ac:dyDescent="0.25">
      <c r="D4888" s="559" t="s">
        <v>867</v>
      </c>
      <c r="E4888" s="558" t="s">
        <v>3839</v>
      </c>
      <c r="F4888" s="559">
        <v>701689</v>
      </c>
      <c r="G4888" s="558" t="s">
        <v>2032</v>
      </c>
      <c r="H4888" s="564">
        <v>40015</v>
      </c>
      <c r="I4888" s="563">
        <v>1398.15</v>
      </c>
      <c r="J4888" s="563">
        <v>-585</v>
      </c>
      <c r="K4888" s="582">
        <f t="shared" si="225"/>
        <v>813.15000000000009</v>
      </c>
      <c r="L4888" s="563">
        <f t="shared" si="226"/>
        <v>894.46500000000015</v>
      </c>
      <c r="M4888" s="563">
        <f t="shared" si="227"/>
        <v>1537.9650000000001</v>
      </c>
      <c r="N4888" s="580"/>
    </row>
    <row r="4889" spans="4:16" x14ac:dyDescent="0.25">
      <c r="D4889" s="559" t="s">
        <v>867</v>
      </c>
      <c r="E4889" s="558" t="s">
        <v>3840</v>
      </c>
      <c r="F4889" s="559">
        <v>700112</v>
      </c>
      <c r="G4889" s="558" t="s">
        <v>2032</v>
      </c>
      <c r="H4889" s="564">
        <v>40015</v>
      </c>
      <c r="I4889" s="563">
        <v>1359.15</v>
      </c>
      <c r="J4889" s="563">
        <v>-585</v>
      </c>
      <c r="K4889" s="582">
        <f t="shared" si="225"/>
        <v>774.15000000000009</v>
      </c>
      <c r="L4889" s="563">
        <f t="shared" si="226"/>
        <v>851.56500000000017</v>
      </c>
      <c r="M4889" s="563">
        <f t="shared" si="227"/>
        <v>1495.0650000000003</v>
      </c>
      <c r="N4889" s="580"/>
    </row>
    <row r="4890" spans="4:16" x14ac:dyDescent="0.25">
      <c r="D4890" s="559" t="s">
        <v>867</v>
      </c>
      <c r="E4890" s="558" t="s">
        <v>2031</v>
      </c>
      <c r="F4890" s="559">
        <v>702110</v>
      </c>
      <c r="G4890" s="558" t="s">
        <v>2032</v>
      </c>
      <c r="H4890" s="564">
        <v>40015</v>
      </c>
      <c r="I4890" s="563">
        <v>33.15</v>
      </c>
      <c r="J4890" s="563">
        <v>-33.15</v>
      </c>
      <c r="K4890" s="563">
        <f t="shared" si="225"/>
        <v>0</v>
      </c>
      <c r="L4890" s="563">
        <f t="shared" si="226"/>
        <v>0</v>
      </c>
      <c r="M4890" s="563">
        <f t="shared" si="227"/>
        <v>36.465000000000003</v>
      </c>
      <c r="N4890" s="580"/>
      <c r="O4890" s="558"/>
      <c r="P4890" s="564"/>
    </row>
    <row r="4891" spans="4:16" x14ac:dyDescent="0.25">
      <c r="D4891" s="559" t="s">
        <v>867</v>
      </c>
      <c r="E4891" s="558" t="s">
        <v>3841</v>
      </c>
      <c r="F4891" s="559">
        <v>702104</v>
      </c>
      <c r="G4891" s="558" t="s">
        <v>2032</v>
      </c>
      <c r="H4891" s="564">
        <v>40015</v>
      </c>
      <c r="I4891" s="563">
        <v>1751.1</v>
      </c>
      <c r="J4891" s="563">
        <v>-585</v>
      </c>
      <c r="K4891" s="582">
        <f t="shared" si="225"/>
        <v>1166.0999999999999</v>
      </c>
      <c r="L4891" s="563">
        <f t="shared" si="226"/>
        <v>1282.71</v>
      </c>
      <c r="M4891" s="563">
        <f t="shared" si="227"/>
        <v>1926.21</v>
      </c>
      <c r="N4891" s="580"/>
    </row>
    <row r="4892" spans="4:16" x14ac:dyDescent="0.25">
      <c r="D4892" s="559" t="s">
        <v>867</v>
      </c>
      <c r="E4892" s="558" t="s">
        <v>3842</v>
      </c>
      <c r="F4892" s="559">
        <v>701521</v>
      </c>
      <c r="G4892" s="558" t="s">
        <v>2032</v>
      </c>
      <c r="H4892" s="564">
        <v>40015</v>
      </c>
      <c r="I4892" s="563">
        <v>2258.1</v>
      </c>
      <c r="J4892" s="563">
        <v>-585</v>
      </c>
      <c r="K4892" s="582">
        <f t="shared" si="225"/>
        <v>1673.1</v>
      </c>
      <c r="L4892" s="563">
        <f t="shared" si="226"/>
        <v>1840.41</v>
      </c>
      <c r="M4892" s="563">
        <f t="shared" si="227"/>
        <v>2483.9100000000003</v>
      </c>
      <c r="N4892" s="580"/>
    </row>
    <row r="4893" spans="4:16" x14ac:dyDescent="0.25">
      <c r="D4893" s="559" t="s">
        <v>867</v>
      </c>
      <c r="E4893" s="558" t="s">
        <v>2033</v>
      </c>
      <c r="F4893" s="559">
        <v>701709</v>
      </c>
      <c r="G4893" s="558" t="s">
        <v>2034</v>
      </c>
      <c r="H4893" s="564">
        <v>40015</v>
      </c>
      <c r="I4893" s="563">
        <v>2570.1</v>
      </c>
      <c r="J4893" s="563">
        <v>-585</v>
      </c>
      <c r="K4893" s="563">
        <f t="shared" si="225"/>
        <v>1985.1</v>
      </c>
      <c r="L4893" s="563">
        <f t="shared" si="226"/>
        <v>2183.61</v>
      </c>
      <c r="M4893" s="563">
        <f t="shared" si="227"/>
        <v>2827.11</v>
      </c>
      <c r="N4893" s="580"/>
      <c r="O4893" s="558"/>
      <c r="P4893" s="564"/>
    </row>
    <row r="4894" spans="4:16" x14ac:dyDescent="0.25">
      <c r="D4894" s="559" t="s">
        <v>867</v>
      </c>
      <c r="E4894" s="558" t="s">
        <v>3843</v>
      </c>
      <c r="F4894" s="559">
        <v>701614</v>
      </c>
      <c r="G4894" s="558" t="s">
        <v>2034</v>
      </c>
      <c r="H4894" s="564">
        <v>40015</v>
      </c>
      <c r="I4894" s="563">
        <v>183.3</v>
      </c>
      <c r="J4894" s="563">
        <v>-183.3</v>
      </c>
      <c r="K4894" s="582">
        <f t="shared" si="225"/>
        <v>0</v>
      </c>
      <c r="L4894" s="563">
        <f t="shared" si="226"/>
        <v>0</v>
      </c>
      <c r="M4894" s="563">
        <f t="shared" si="227"/>
        <v>201.63000000000002</v>
      </c>
      <c r="N4894" s="580"/>
    </row>
    <row r="4895" spans="4:16" x14ac:dyDescent="0.25">
      <c r="D4895" s="559" t="s">
        <v>867</v>
      </c>
      <c r="E4895" s="558" t="s">
        <v>3844</v>
      </c>
      <c r="F4895" s="559">
        <v>701614</v>
      </c>
      <c r="G4895" s="558" t="s">
        <v>2034</v>
      </c>
      <c r="H4895" s="564">
        <v>40015</v>
      </c>
      <c r="I4895" s="563">
        <v>2340</v>
      </c>
      <c r="J4895" s="563">
        <v>-585</v>
      </c>
      <c r="K4895" s="582">
        <f t="shared" si="225"/>
        <v>1755</v>
      </c>
      <c r="L4895" s="563">
        <f t="shared" si="226"/>
        <v>1930.5000000000002</v>
      </c>
      <c r="M4895" s="563">
        <f t="shared" si="227"/>
        <v>2574</v>
      </c>
      <c r="N4895" s="580"/>
    </row>
    <row r="4896" spans="4:16" x14ac:dyDescent="0.25">
      <c r="D4896" s="559" t="s">
        <v>867</v>
      </c>
      <c r="E4896" s="558" t="s">
        <v>3845</v>
      </c>
      <c r="F4896" s="559">
        <v>701614</v>
      </c>
      <c r="G4896" s="558" t="s">
        <v>2034</v>
      </c>
      <c r="H4896" s="564">
        <v>40015</v>
      </c>
      <c r="I4896" s="563">
        <v>27.3</v>
      </c>
      <c r="J4896" s="563">
        <v>-27.3</v>
      </c>
      <c r="K4896" s="582">
        <f t="shared" si="225"/>
        <v>0</v>
      </c>
      <c r="L4896" s="563">
        <f t="shared" si="226"/>
        <v>0</v>
      </c>
      <c r="M4896" s="563">
        <f t="shared" si="227"/>
        <v>30.030000000000005</v>
      </c>
      <c r="N4896" s="580"/>
    </row>
    <row r="4897" spans="4:14" x14ac:dyDescent="0.25">
      <c r="D4897" s="559" t="s">
        <v>867</v>
      </c>
      <c r="E4897" s="558" t="s">
        <v>3846</v>
      </c>
      <c r="F4897" s="559">
        <v>701614</v>
      </c>
      <c r="G4897" s="558" t="s">
        <v>2034</v>
      </c>
      <c r="H4897" s="564">
        <v>40015</v>
      </c>
      <c r="I4897" s="563">
        <v>29.25</v>
      </c>
      <c r="J4897" s="563">
        <v>-29.25</v>
      </c>
      <c r="K4897" s="582">
        <f t="shared" si="225"/>
        <v>0</v>
      </c>
      <c r="L4897" s="563">
        <f t="shared" si="226"/>
        <v>0</v>
      </c>
      <c r="M4897" s="563">
        <f t="shared" si="227"/>
        <v>32.175000000000004</v>
      </c>
      <c r="N4897" s="580"/>
    </row>
    <row r="4898" spans="4:14" x14ac:dyDescent="0.25">
      <c r="D4898" s="559" t="s">
        <v>867</v>
      </c>
      <c r="E4898" s="558" t="s">
        <v>3847</v>
      </c>
      <c r="F4898" s="559">
        <v>700176</v>
      </c>
      <c r="G4898" s="558" t="s">
        <v>843</v>
      </c>
      <c r="H4898" s="564">
        <v>40015</v>
      </c>
      <c r="I4898" s="563">
        <v>680.15</v>
      </c>
      <c r="J4898" s="563">
        <v>-585</v>
      </c>
      <c r="K4898" s="582">
        <f t="shared" si="225"/>
        <v>95.149999999999977</v>
      </c>
      <c r="L4898" s="563">
        <f t="shared" si="226"/>
        <v>104.66499999999998</v>
      </c>
      <c r="M4898" s="563">
        <f t="shared" si="227"/>
        <v>748.16500000000008</v>
      </c>
      <c r="N4898" s="580"/>
    </row>
    <row r="4899" spans="4:14" x14ac:dyDescent="0.25">
      <c r="D4899" s="559" t="s">
        <v>867</v>
      </c>
      <c r="E4899" s="558" t="s">
        <v>3848</v>
      </c>
      <c r="F4899" s="559">
        <v>702348</v>
      </c>
      <c r="G4899" s="558" t="s">
        <v>843</v>
      </c>
      <c r="H4899" s="564">
        <v>40015</v>
      </c>
      <c r="I4899" s="563">
        <v>17.149999999999999</v>
      </c>
      <c r="J4899" s="563">
        <v>-17.149999999999999</v>
      </c>
      <c r="K4899" s="582">
        <f t="shared" si="225"/>
        <v>0</v>
      </c>
      <c r="L4899" s="563">
        <f t="shared" si="226"/>
        <v>0</v>
      </c>
      <c r="M4899" s="563">
        <f t="shared" si="227"/>
        <v>18.864999999999998</v>
      </c>
      <c r="N4899" s="580"/>
    </row>
    <row r="4900" spans="4:14" x14ac:dyDescent="0.25">
      <c r="D4900" s="559" t="s">
        <v>867</v>
      </c>
      <c r="E4900" s="558" t="s">
        <v>3849</v>
      </c>
      <c r="F4900" s="559">
        <v>701614</v>
      </c>
      <c r="G4900" s="558" t="s">
        <v>843</v>
      </c>
      <c r="H4900" s="564">
        <v>40015</v>
      </c>
      <c r="I4900" s="563">
        <v>31.2</v>
      </c>
      <c r="J4900" s="563">
        <v>-31.2</v>
      </c>
      <c r="K4900" s="582">
        <f t="shared" si="225"/>
        <v>0</v>
      </c>
      <c r="L4900" s="563">
        <f t="shared" si="226"/>
        <v>0</v>
      </c>
      <c r="M4900" s="563">
        <f t="shared" si="227"/>
        <v>34.32</v>
      </c>
      <c r="N4900" s="580"/>
    </row>
    <row r="4901" spans="4:14" x14ac:dyDescent="0.25">
      <c r="D4901" s="559" t="s">
        <v>867</v>
      </c>
      <c r="E4901" s="558" t="s">
        <v>3850</v>
      </c>
      <c r="F4901" s="559">
        <v>701089</v>
      </c>
      <c r="G4901" s="558" t="s">
        <v>843</v>
      </c>
      <c r="H4901" s="564">
        <v>40015</v>
      </c>
      <c r="I4901" s="563">
        <v>3344.25</v>
      </c>
      <c r="J4901" s="563">
        <v>-585</v>
      </c>
      <c r="K4901" s="582">
        <f t="shared" si="225"/>
        <v>2759.25</v>
      </c>
      <c r="L4901" s="563">
        <f t="shared" si="226"/>
        <v>3035.1750000000002</v>
      </c>
      <c r="M4901" s="563">
        <f t="shared" si="227"/>
        <v>3678.6750000000002</v>
      </c>
      <c r="N4901" s="580"/>
    </row>
    <row r="4902" spans="4:14" x14ac:dyDescent="0.25">
      <c r="D4902" s="559" t="s">
        <v>867</v>
      </c>
      <c r="E4902" s="558" t="s">
        <v>3851</v>
      </c>
      <c r="F4902" s="559">
        <v>702351</v>
      </c>
      <c r="G4902" s="558" t="s">
        <v>3852</v>
      </c>
      <c r="H4902" s="564">
        <v>40015</v>
      </c>
      <c r="I4902" s="563">
        <v>2603.25</v>
      </c>
      <c r="J4902" s="563">
        <v>-585</v>
      </c>
      <c r="K4902" s="582">
        <f t="shared" si="225"/>
        <v>2018.25</v>
      </c>
      <c r="L4902" s="563">
        <f t="shared" si="226"/>
        <v>2220.0750000000003</v>
      </c>
      <c r="M4902" s="563">
        <f t="shared" si="227"/>
        <v>2863.5750000000003</v>
      </c>
      <c r="N4902" s="580"/>
    </row>
    <row r="4903" spans="4:14" x14ac:dyDescent="0.25">
      <c r="D4903" s="559" t="s">
        <v>867</v>
      </c>
      <c r="E4903" s="558" t="s">
        <v>3853</v>
      </c>
      <c r="F4903" s="559">
        <v>701138</v>
      </c>
      <c r="G4903" s="558" t="s">
        <v>3852</v>
      </c>
      <c r="H4903" s="564">
        <v>40015</v>
      </c>
      <c r="I4903" s="563">
        <v>2330.25</v>
      </c>
      <c r="J4903" s="563">
        <v>-585</v>
      </c>
      <c r="K4903" s="582">
        <f t="shared" si="225"/>
        <v>1745.25</v>
      </c>
      <c r="L4903" s="563">
        <f t="shared" si="226"/>
        <v>1919.7750000000001</v>
      </c>
      <c r="M4903" s="563">
        <f t="shared" si="227"/>
        <v>2563.2750000000001</v>
      </c>
      <c r="N4903" s="580"/>
    </row>
    <row r="4904" spans="4:14" x14ac:dyDescent="0.25">
      <c r="D4904" s="559" t="s">
        <v>867</v>
      </c>
      <c r="E4904" s="558" t="s">
        <v>3854</v>
      </c>
      <c r="F4904" s="559">
        <v>700118</v>
      </c>
      <c r="G4904" s="558" t="s">
        <v>3852</v>
      </c>
      <c r="H4904" s="564">
        <v>40015</v>
      </c>
      <c r="I4904" s="563">
        <v>2096.25</v>
      </c>
      <c r="J4904" s="563">
        <v>-585</v>
      </c>
      <c r="K4904" s="582">
        <f t="shared" si="225"/>
        <v>1511.25</v>
      </c>
      <c r="L4904" s="563">
        <f t="shared" si="226"/>
        <v>1662.3750000000002</v>
      </c>
      <c r="M4904" s="563">
        <f t="shared" si="227"/>
        <v>2305.875</v>
      </c>
      <c r="N4904" s="580"/>
    </row>
    <row r="4905" spans="4:14" x14ac:dyDescent="0.25">
      <c r="D4905" s="559" t="s">
        <v>867</v>
      </c>
      <c r="E4905" s="558" t="s">
        <v>3855</v>
      </c>
      <c r="F4905" s="559">
        <v>700119</v>
      </c>
      <c r="G4905" s="558" t="s">
        <v>3852</v>
      </c>
      <c r="H4905" s="564">
        <v>40015</v>
      </c>
      <c r="I4905" s="563">
        <v>3500.25</v>
      </c>
      <c r="J4905" s="563">
        <v>-585</v>
      </c>
      <c r="K4905" s="582">
        <f t="shared" ref="K4905:K4968" si="228">+I4905+J4905</f>
        <v>2915.25</v>
      </c>
      <c r="L4905" s="563">
        <f t="shared" ref="L4905:L4968" si="229">+K4905*1.1</f>
        <v>3206.7750000000001</v>
      </c>
      <c r="M4905" s="563">
        <f t="shared" ref="M4905:M4968" si="230">+I4905*1.1</f>
        <v>3850.2750000000001</v>
      </c>
      <c r="N4905" s="580"/>
    </row>
    <row r="4906" spans="4:14" x14ac:dyDescent="0.25">
      <c r="D4906" s="559" t="s">
        <v>867</v>
      </c>
      <c r="E4906" s="558" t="s">
        <v>3856</v>
      </c>
      <c r="F4906" s="559">
        <v>700120</v>
      </c>
      <c r="G4906" s="558" t="s">
        <v>3852</v>
      </c>
      <c r="H4906" s="564">
        <v>40015</v>
      </c>
      <c r="I4906" s="563">
        <v>29.25</v>
      </c>
      <c r="J4906" s="563">
        <v>-29.25</v>
      </c>
      <c r="K4906" s="582">
        <f t="shared" si="228"/>
        <v>0</v>
      </c>
      <c r="L4906" s="563">
        <f t="shared" si="229"/>
        <v>0</v>
      </c>
      <c r="M4906" s="563">
        <f t="shared" si="230"/>
        <v>32.175000000000004</v>
      </c>
      <c r="N4906" s="580"/>
    </row>
    <row r="4907" spans="4:14" x14ac:dyDescent="0.25">
      <c r="D4907" s="559" t="s">
        <v>867</v>
      </c>
      <c r="E4907" s="558" t="s">
        <v>3857</v>
      </c>
      <c r="F4907" s="559">
        <v>702248</v>
      </c>
      <c r="G4907" s="558" t="s">
        <v>3858</v>
      </c>
      <c r="H4907" s="564">
        <v>40015</v>
      </c>
      <c r="I4907" s="563">
        <v>2096.25</v>
      </c>
      <c r="J4907" s="563">
        <v>-585</v>
      </c>
      <c r="K4907" s="582">
        <f t="shared" si="228"/>
        <v>1511.25</v>
      </c>
      <c r="L4907" s="563">
        <f t="shared" si="229"/>
        <v>1662.3750000000002</v>
      </c>
      <c r="M4907" s="563">
        <f t="shared" si="230"/>
        <v>2305.875</v>
      </c>
      <c r="N4907" s="580"/>
    </row>
    <row r="4908" spans="4:14" x14ac:dyDescent="0.25">
      <c r="D4908" s="559" t="s">
        <v>867</v>
      </c>
      <c r="E4908" s="558" t="s">
        <v>3859</v>
      </c>
      <c r="F4908" s="559">
        <v>700120</v>
      </c>
      <c r="G4908" s="558" t="s">
        <v>3858</v>
      </c>
      <c r="H4908" s="564">
        <v>40015</v>
      </c>
      <c r="I4908" s="563">
        <v>1940.25</v>
      </c>
      <c r="J4908" s="563">
        <v>-585</v>
      </c>
      <c r="K4908" s="582">
        <f t="shared" si="228"/>
        <v>1355.25</v>
      </c>
      <c r="L4908" s="563">
        <f t="shared" si="229"/>
        <v>1490.7750000000001</v>
      </c>
      <c r="M4908" s="563">
        <f t="shared" si="230"/>
        <v>2134.2750000000001</v>
      </c>
      <c r="N4908" s="580"/>
    </row>
    <row r="4909" spans="4:14" x14ac:dyDescent="0.25">
      <c r="D4909" s="559" t="s">
        <v>867</v>
      </c>
      <c r="E4909" s="558" t="s">
        <v>3860</v>
      </c>
      <c r="F4909" s="559">
        <v>701592</v>
      </c>
      <c r="G4909" s="558" t="s">
        <v>3858</v>
      </c>
      <c r="H4909" s="564">
        <v>40015</v>
      </c>
      <c r="I4909" s="563">
        <v>1472.25</v>
      </c>
      <c r="J4909" s="563">
        <v>-585</v>
      </c>
      <c r="K4909" s="582">
        <f t="shared" si="228"/>
        <v>887.25</v>
      </c>
      <c r="L4909" s="563">
        <f t="shared" si="229"/>
        <v>975.97500000000002</v>
      </c>
      <c r="M4909" s="563">
        <f t="shared" si="230"/>
        <v>1619.4750000000001</v>
      </c>
      <c r="N4909" s="580"/>
    </row>
    <row r="4910" spans="4:14" x14ac:dyDescent="0.25">
      <c r="D4910" s="559" t="s">
        <v>867</v>
      </c>
      <c r="E4910" s="558" t="s">
        <v>3861</v>
      </c>
      <c r="F4910" s="559">
        <v>701473</v>
      </c>
      <c r="G4910" s="558" t="s">
        <v>3858</v>
      </c>
      <c r="H4910" s="564">
        <v>40015</v>
      </c>
      <c r="I4910" s="563">
        <v>4672.2</v>
      </c>
      <c r="J4910" s="563">
        <v>-585</v>
      </c>
      <c r="K4910" s="582">
        <f t="shared" si="228"/>
        <v>4087.2</v>
      </c>
      <c r="L4910" s="563">
        <f t="shared" si="229"/>
        <v>4495.92</v>
      </c>
      <c r="M4910" s="563">
        <f t="shared" si="230"/>
        <v>5139.42</v>
      </c>
      <c r="N4910" s="580"/>
    </row>
    <row r="4911" spans="4:14" x14ac:dyDescent="0.25">
      <c r="D4911" s="559" t="s">
        <v>867</v>
      </c>
      <c r="E4911" s="558" t="s">
        <v>3862</v>
      </c>
      <c r="F4911" s="559">
        <v>701559</v>
      </c>
      <c r="G4911" s="558" t="s">
        <v>3858</v>
      </c>
      <c r="H4911" s="564">
        <v>40015</v>
      </c>
      <c r="I4911" s="563">
        <v>1476.15</v>
      </c>
      <c r="J4911" s="563">
        <v>-585</v>
      </c>
      <c r="K4911" s="582">
        <f t="shared" si="228"/>
        <v>891.15000000000009</v>
      </c>
      <c r="L4911" s="563">
        <f t="shared" si="229"/>
        <v>980.26500000000021</v>
      </c>
      <c r="M4911" s="563">
        <f t="shared" si="230"/>
        <v>1623.7650000000003</v>
      </c>
      <c r="N4911" s="580"/>
    </row>
    <row r="4912" spans="4:14" x14ac:dyDescent="0.25">
      <c r="D4912" s="559" t="s">
        <v>867</v>
      </c>
      <c r="E4912" s="558" t="s">
        <v>3863</v>
      </c>
      <c r="F4912" s="559">
        <v>700122</v>
      </c>
      <c r="G4912" s="558" t="s">
        <v>2036</v>
      </c>
      <c r="H4912" s="564">
        <v>40015</v>
      </c>
      <c r="I4912" s="563">
        <v>2410.1999999999998</v>
      </c>
      <c r="J4912" s="563">
        <v>-585</v>
      </c>
      <c r="K4912" s="582">
        <f t="shared" si="228"/>
        <v>1825.1999999999998</v>
      </c>
      <c r="L4912" s="563">
        <f t="shared" si="229"/>
        <v>2007.72</v>
      </c>
      <c r="M4912" s="563">
        <f t="shared" si="230"/>
        <v>2651.22</v>
      </c>
      <c r="N4912" s="580"/>
    </row>
    <row r="4913" spans="4:16" x14ac:dyDescent="0.25">
      <c r="D4913" s="559" t="s">
        <v>867</v>
      </c>
      <c r="E4913" s="558" t="s">
        <v>3864</v>
      </c>
      <c r="F4913" s="559">
        <v>701140</v>
      </c>
      <c r="G4913" s="558" t="s">
        <v>2036</v>
      </c>
      <c r="H4913" s="564">
        <v>40015</v>
      </c>
      <c r="I4913" s="563">
        <v>3075.15</v>
      </c>
      <c r="J4913" s="563">
        <v>-585</v>
      </c>
      <c r="K4913" s="582">
        <f t="shared" si="228"/>
        <v>2490.15</v>
      </c>
      <c r="L4913" s="563">
        <f t="shared" si="229"/>
        <v>2739.1650000000004</v>
      </c>
      <c r="M4913" s="563">
        <f t="shared" si="230"/>
        <v>3382.6650000000004</v>
      </c>
      <c r="N4913" s="580"/>
    </row>
    <row r="4914" spans="4:16" x14ac:dyDescent="0.25">
      <c r="D4914" s="559" t="s">
        <v>867</v>
      </c>
      <c r="E4914" s="558" t="s">
        <v>3865</v>
      </c>
      <c r="F4914" s="559">
        <v>701704</v>
      </c>
      <c r="G4914" s="558" t="s">
        <v>2036</v>
      </c>
      <c r="H4914" s="564">
        <v>40015</v>
      </c>
      <c r="I4914" s="563">
        <v>33.15</v>
      </c>
      <c r="J4914" s="563">
        <v>-33.15</v>
      </c>
      <c r="K4914" s="582">
        <f t="shared" si="228"/>
        <v>0</v>
      </c>
      <c r="L4914" s="563">
        <f t="shared" si="229"/>
        <v>0</v>
      </c>
      <c r="M4914" s="563">
        <f t="shared" si="230"/>
        <v>36.465000000000003</v>
      </c>
      <c r="N4914" s="580"/>
    </row>
    <row r="4915" spans="4:16" x14ac:dyDescent="0.25">
      <c r="D4915" s="559" t="s">
        <v>867</v>
      </c>
      <c r="E4915" s="558" t="s">
        <v>3866</v>
      </c>
      <c r="F4915" s="559">
        <v>700020</v>
      </c>
      <c r="G4915" s="558" t="s">
        <v>2036</v>
      </c>
      <c r="H4915" s="564">
        <v>40015</v>
      </c>
      <c r="I4915" s="563">
        <v>11.7</v>
      </c>
      <c r="J4915" s="563">
        <v>-11.7</v>
      </c>
      <c r="K4915" s="582">
        <f t="shared" si="228"/>
        <v>0</v>
      </c>
      <c r="L4915" s="563">
        <f t="shared" si="229"/>
        <v>0</v>
      </c>
      <c r="M4915" s="563">
        <f t="shared" si="230"/>
        <v>12.870000000000001</v>
      </c>
      <c r="N4915" s="580"/>
    </row>
    <row r="4916" spans="4:16" x14ac:dyDescent="0.25">
      <c r="D4916" s="559" t="s">
        <v>867</v>
      </c>
      <c r="E4916" s="558" t="s">
        <v>2035</v>
      </c>
      <c r="F4916" s="559">
        <v>702124</v>
      </c>
      <c r="G4916" s="558" t="s">
        <v>2036</v>
      </c>
      <c r="H4916" s="564">
        <v>40015</v>
      </c>
      <c r="I4916" s="563">
        <v>621.65</v>
      </c>
      <c r="J4916" s="563">
        <v>-585</v>
      </c>
      <c r="K4916" s="563">
        <f t="shared" si="228"/>
        <v>36.649999999999977</v>
      </c>
      <c r="L4916" s="563">
        <f t="shared" si="229"/>
        <v>40.314999999999976</v>
      </c>
      <c r="M4916" s="563">
        <f t="shared" si="230"/>
        <v>683.81500000000005</v>
      </c>
      <c r="N4916" s="580"/>
      <c r="O4916" s="558"/>
      <c r="P4916" s="564"/>
    </row>
    <row r="4917" spans="4:16" x14ac:dyDescent="0.25">
      <c r="D4917" s="559" t="s">
        <v>867</v>
      </c>
      <c r="E4917" s="558" t="s">
        <v>3867</v>
      </c>
      <c r="F4917" s="559">
        <v>701525</v>
      </c>
      <c r="G4917" s="558" t="s">
        <v>3868</v>
      </c>
      <c r="H4917" s="564">
        <v>40015</v>
      </c>
      <c r="I4917" s="563">
        <v>1862.25</v>
      </c>
      <c r="J4917" s="563">
        <v>-585</v>
      </c>
      <c r="K4917" s="582">
        <f t="shared" si="228"/>
        <v>1277.25</v>
      </c>
      <c r="L4917" s="563">
        <f t="shared" si="229"/>
        <v>1404.9750000000001</v>
      </c>
      <c r="M4917" s="563">
        <f t="shared" si="230"/>
        <v>2048.4750000000004</v>
      </c>
      <c r="N4917" s="580"/>
    </row>
    <row r="4918" spans="4:16" x14ac:dyDescent="0.25">
      <c r="D4918" s="559" t="s">
        <v>867</v>
      </c>
      <c r="E4918" s="558" t="s">
        <v>3869</v>
      </c>
      <c r="F4918" s="559">
        <v>702422</v>
      </c>
      <c r="G4918" s="558" t="s">
        <v>3868</v>
      </c>
      <c r="H4918" s="564">
        <v>40015</v>
      </c>
      <c r="I4918" s="563">
        <v>1903.2</v>
      </c>
      <c r="J4918" s="563">
        <v>-585</v>
      </c>
      <c r="K4918" s="582">
        <f t="shared" si="228"/>
        <v>1318.2</v>
      </c>
      <c r="L4918" s="563">
        <f t="shared" si="229"/>
        <v>1450.0200000000002</v>
      </c>
      <c r="M4918" s="563">
        <f t="shared" si="230"/>
        <v>2093.5200000000004</v>
      </c>
      <c r="N4918" s="580"/>
    </row>
    <row r="4919" spans="4:16" x14ac:dyDescent="0.25">
      <c r="D4919" s="559" t="s">
        <v>867</v>
      </c>
      <c r="E4919" s="558" t="s">
        <v>3870</v>
      </c>
      <c r="F4919" s="559">
        <v>701696</v>
      </c>
      <c r="G4919" s="558" t="s">
        <v>3868</v>
      </c>
      <c r="H4919" s="564">
        <v>40015</v>
      </c>
      <c r="I4919" s="563">
        <v>1550.25</v>
      </c>
      <c r="J4919" s="563">
        <v>-585</v>
      </c>
      <c r="K4919" s="582">
        <f t="shared" si="228"/>
        <v>965.25</v>
      </c>
      <c r="L4919" s="563">
        <f t="shared" si="229"/>
        <v>1061.7750000000001</v>
      </c>
      <c r="M4919" s="563">
        <f t="shared" si="230"/>
        <v>1705.2750000000001</v>
      </c>
      <c r="N4919" s="580"/>
    </row>
    <row r="4920" spans="4:16" x14ac:dyDescent="0.25">
      <c r="D4920" s="559" t="s">
        <v>867</v>
      </c>
      <c r="E4920" s="558" t="s">
        <v>3871</v>
      </c>
      <c r="F4920" s="559">
        <v>702346</v>
      </c>
      <c r="G4920" s="558" t="s">
        <v>3868</v>
      </c>
      <c r="H4920" s="564">
        <v>40015</v>
      </c>
      <c r="I4920" s="563">
        <v>1630.2</v>
      </c>
      <c r="J4920" s="563">
        <v>-585</v>
      </c>
      <c r="K4920" s="582">
        <f t="shared" si="228"/>
        <v>1045.2</v>
      </c>
      <c r="L4920" s="563">
        <f t="shared" si="229"/>
        <v>1149.7200000000003</v>
      </c>
      <c r="M4920" s="563">
        <f t="shared" si="230"/>
        <v>1793.2200000000003</v>
      </c>
      <c r="N4920" s="580"/>
    </row>
    <row r="4921" spans="4:16" x14ac:dyDescent="0.25">
      <c r="D4921" s="559" t="s">
        <v>867</v>
      </c>
      <c r="E4921" s="558" t="s">
        <v>3872</v>
      </c>
      <c r="F4921" s="559">
        <v>702448</v>
      </c>
      <c r="G4921" s="558" t="s">
        <v>3868</v>
      </c>
      <c r="H4921" s="564">
        <v>40015</v>
      </c>
      <c r="I4921" s="563">
        <v>1472.25</v>
      </c>
      <c r="J4921" s="563">
        <v>-585</v>
      </c>
      <c r="K4921" s="582">
        <f t="shared" si="228"/>
        <v>887.25</v>
      </c>
      <c r="L4921" s="563">
        <f t="shared" si="229"/>
        <v>975.97500000000002</v>
      </c>
      <c r="M4921" s="563">
        <f t="shared" si="230"/>
        <v>1619.4750000000001</v>
      </c>
      <c r="N4921" s="580"/>
    </row>
    <row r="4922" spans="4:16" x14ac:dyDescent="0.25">
      <c r="D4922" s="559" t="s">
        <v>867</v>
      </c>
      <c r="E4922" s="558" t="s">
        <v>3873</v>
      </c>
      <c r="F4922" s="559">
        <v>702114</v>
      </c>
      <c r="G4922" s="558" t="s">
        <v>3874</v>
      </c>
      <c r="H4922" s="564">
        <v>40015</v>
      </c>
      <c r="I4922" s="563">
        <v>1708.2</v>
      </c>
      <c r="J4922" s="563">
        <v>-585</v>
      </c>
      <c r="K4922" s="582">
        <f t="shared" si="228"/>
        <v>1123.2</v>
      </c>
      <c r="L4922" s="563">
        <f t="shared" si="229"/>
        <v>1235.5200000000002</v>
      </c>
      <c r="M4922" s="563">
        <f t="shared" si="230"/>
        <v>1879.0200000000002</v>
      </c>
      <c r="N4922" s="580"/>
    </row>
    <row r="4923" spans="4:16" x14ac:dyDescent="0.25">
      <c r="D4923" s="559" t="s">
        <v>867</v>
      </c>
      <c r="E4923" s="558" t="s">
        <v>3875</v>
      </c>
      <c r="F4923" s="559">
        <v>702407</v>
      </c>
      <c r="G4923" s="558" t="s">
        <v>3874</v>
      </c>
      <c r="H4923" s="564">
        <v>40015</v>
      </c>
      <c r="I4923" s="563">
        <v>21.45</v>
      </c>
      <c r="J4923" s="563">
        <v>-21.45</v>
      </c>
      <c r="K4923" s="582">
        <f t="shared" si="228"/>
        <v>0</v>
      </c>
      <c r="L4923" s="563">
        <f t="shared" si="229"/>
        <v>0</v>
      </c>
      <c r="M4923" s="563">
        <f t="shared" si="230"/>
        <v>23.595000000000002</v>
      </c>
      <c r="N4923" s="580"/>
    </row>
    <row r="4924" spans="4:16" x14ac:dyDescent="0.25">
      <c r="D4924" s="559" t="s">
        <v>867</v>
      </c>
      <c r="E4924" s="558" t="s">
        <v>3876</v>
      </c>
      <c r="F4924" s="559">
        <v>701591</v>
      </c>
      <c r="G4924" s="558" t="s">
        <v>3874</v>
      </c>
      <c r="H4924" s="564">
        <v>40015</v>
      </c>
      <c r="I4924" s="563">
        <v>21.45</v>
      </c>
      <c r="J4924" s="563">
        <v>-21.45</v>
      </c>
      <c r="K4924" s="582">
        <f t="shared" si="228"/>
        <v>0</v>
      </c>
      <c r="L4924" s="563">
        <f t="shared" si="229"/>
        <v>0</v>
      </c>
      <c r="M4924" s="563">
        <f t="shared" si="230"/>
        <v>23.595000000000002</v>
      </c>
      <c r="N4924" s="580"/>
    </row>
    <row r="4925" spans="4:16" x14ac:dyDescent="0.25">
      <c r="D4925" s="559" t="s">
        <v>867</v>
      </c>
      <c r="E4925" s="558" t="s">
        <v>3877</v>
      </c>
      <c r="F4925" s="559">
        <v>700079</v>
      </c>
      <c r="G4925" s="558" t="s">
        <v>3874</v>
      </c>
      <c r="H4925" s="564">
        <v>40015</v>
      </c>
      <c r="I4925" s="563">
        <v>975</v>
      </c>
      <c r="J4925" s="563">
        <v>-585</v>
      </c>
      <c r="K4925" s="582">
        <f t="shared" si="228"/>
        <v>390</v>
      </c>
      <c r="L4925" s="563">
        <f t="shared" si="229"/>
        <v>429.00000000000006</v>
      </c>
      <c r="M4925" s="563">
        <f t="shared" si="230"/>
        <v>1072.5</v>
      </c>
      <c r="N4925" s="580"/>
    </row>
    <row r="4926" spans="4:16" x14ac:dyDescent="0.25">
      <c r="D4926" s="559" t="s">
        <v>867</v>
      </c>
      <c r="E4926" s="558" t="s">
        <v>3878</v>
      </c>
      <c r="F4926" s="559">
        <v>700136</v>
      </c>
      <c r="G4926" s="558" t="s">
        <v>3874</v>
      </c>
      <c r="H4926" s="564">
        <v>40015</v>
      </c>
      <c r="I4926" s="563">
        <v>1546.35</v>
      </c>
      <c r="J4926" s="563">
        <v>-585</v>
      </c>
      <c r="K4926" s="582">
        <f t="shared" si="228"/>
        <v>961.34999999999991</v>
      </c>
      <c r="L4926" s="563">
        <f t="shared" si="229"/>
        <v>1057.4849999999999</v>
      </c>
      <c r="M4926" s="563">
        <f t="shared" si="230"/>
        <v>1700.9850000000001</v>
      </c>
      <c r="N4926" s="580"/>
    </row>
    <row r="4927" spans="4:16" x14ac:dyDescent="0.25">
      <c r="D4927" s="559" t="s">
        <v>867</v>
      </c>
      <c r="E4927" s="558" t="s">
        <v>2037</v>
      </c>
      <c r="F4927" s="559">
        <v>701648</v>
      </c>
      <c r="G4927" s="558" t="s">
        <v>2038</v>
      </c>
      <c r="H4927" s="564">
        <v>40015</v>
      </c>
      <c r="I4927" s="563">
        <v>688.35</v>
      </c>
      <c r="J4927" s="563">
        <v>-585</v>
      </c>
      <c r="K4927" s="563">
        <f t="shared" si="228"/>
        <v>103.35000000000002</v>
      </c>
      <c r="L4927" s="563">
        <f t="shared" si="229"/>
        <v>113.68500000000003</v>
      </c>
      <c r="M4927" s="563">
        <f t="shared" si="230"/>
        <v>757.18500000000006</v>
      </c>
      <c r="N4927" s="580"/>
      <c r="O4927" s="558"/>
      <c r="P4927" s="564"/>
    </row>
    <row r="4928" spans="4:16" x14ac:dyDescent="0.25">
      <c r="D4928" s="559" t="s">
        <v>867</v>
      </c>
      <c r="E4928" s="558" t="s">
        <v>3879</v>
      </c>
      <c r="F4928" s="559">
        <v>700139</v>
      </c>
      <c r="G4928" s="558" t="s">
        <v>2038</v>
      </c>
      <c r="H4928" s="564">
        <v>40015</v>
      </c>
      <c r="I4928" s="563">
        <v>25.35</v>
      </c>
      <c r="J4928" s="563">
        <v>-25.35</v>
      </c>
      <c r="K4928" s="582">
        <f t="shared" si="228"/>
        <v>0</v>
      </c>
      <c r="L4928" s="563">
        <f t="shared" si="229"/>
        <v>0</v>
      </c>
      <c r="M4928" s="563">
        <f t="shared" si="230"/>
        <v>27.885000000000005</v>
      </c>
      <c r="N4928" s="580"/>
    </row>
    <row r="4929" spans="4:16" x14ac:dyDescent="0.25">
      <c r="D4929" s="559" t="s">
        <v>867</v>
      </c>
      <c r="E4929" s="558" t="s">
        <v>3880</v>
      </c>
      <c r="F4929" s="559">
        <v>702359</v>
      </c>
      <c r="G4929" s="558" t="s">
        <v>2038</v>
      </c>
      <c r="H4929" s="564">
        <v>40015</v>
      </c>
      <c r="I4929" s="563">
        <v>961.35</v>
      </c>
      <c r="J4929" s="563">
        <v>-585</v>
      </c>
      <c r="K4929" s="582">
        <f t="shared" si="228"/>
        <v>376.35</v>
      </c>
      <c r="L4929" s="563">
        <f t="shared" si="229"/>
        <v>413.98500000000007</v>
      </c>
      <c r="M4929" s="563">
        <f t="shared" si="230"/>
        <v>1057.4850000000001</v>
      </c>
      <c r="N4929" s="580"/>
    </row>
    <row r="4930" spans="4:16" x14ac:dyDescent="0.25">
      <c r="D4930" s="559" t="s">
        <v>867</v>
      </c>
      <c r="E4930" s="558" t="s">
        <v>3881</v>
      </c>
      <c r="F4930" s="559">
        <v>701516</v>
      </c>
      <c r="G4930" s="558" t="s">
        <v>2038</v>
      </c>
      <c r="H4930" s="564">
        <v>40015</v>
      </c>
      <c r="I4930" s="563">
        <v>1858.35</v>
      </c>
      <c r="J4930" s="563">
        <v>-585</v>
      </c>
      <c r="K4930" s="582">
        <f t="shared" si="228"/>
        <v>1273.3499999999999</v>
      </c>
      <c r="L4930" s="563">
        <f t="shared" si="229"/>
        <v>1400.6849999999999</v>
      </c>
      <c r="M4930" s="563">
        <f t="shared" si="230"/>
        <v>2044.1850000000002</v>
      </c>
      <c r="N4930" s="580"/>
    </row>
    <row r="4931" spans="4:16" x14ac:dyDescent="0.25">
      <c r="D4931" s="559" t="s">
        <v>867</v>
      </c>
      <c r="E4931" s="558" t="s">
        <v>3882</v>
      </c>
      <c r="F4931" s="559">
        <v>702250</v>
      </c>
      <c r="G4931" s="558" t="s">
        <v>2038</v>
      </c>
      <c r="H4931" s="564">
        <v>40015</v>
      </c>
      <c r="I4931" s="563">
        <v>25.35</v>
      </c>
      <c r="J4931" s="563">
        <v>-25.35</v>
      </c>
      <c r="K4931" s="582">
        <f t="shared" si="228"/>
        <v>0</v>
      </c>
      <c r="L4931" s="563">
        <f t="shared" si="229"/>
        <v>0</v>
      </c>
      <c r="M4931" s="563">
        <f t="shared" si="230"/>
        <v>27.885000000000005</v>
      </c>
      <c r="N4931" s="580"/>
    </row>
    <row r="4932" spans="4:16" x14ac:dyDescent="0.25">
      <c r="D4932" s="559" t="s">
        <v>867</v>
      </c>
      <c r="E4932" s="558" t="s">
        <v>3883</v>
      </c>
      <c r="F4932" s="559">
        <v>702250</v>
      </c>
      <c r="G4932" s="558" t="s">
        <v>2040</v>
      </c>
      <c r="H4932" s="564">
        <v>40015</v>
      </c>
      <c r="I4932" s="563">
        <v>2174.25</v>
      </c>
      <c r="J4932" s="563">
        <v>-585</v>
      </c>
      <c r="K4932" s="582">
        <f t="shared" si="228"/>
        <v>1589.25</v>
      </c>
      <c r="L4932" s="563">
        <f t="shared" si="229"/>
        <v>1748.1750000000002</v>
      </c>
      <c r="M4932" s="563">
        <f t="shared" si="230"/>
        <v>2391.6750000000002</v>
      </c>
      <c r="N4932" s="580"/>
    </row>
    <row r="4933" spans="4:16" x14ac:dyDescent="0.25">
      <c r="D4933" s="559" t="s">
        <v>867</v>
      </c>
      <c r="E4933" s="558" t="s">
        <v>3884</v>
      </c>
      <c r="F4933" s="559">
        <v>701533</v>
      </c>
      <c r="G4933" s="558" t="s">
        <v>2040</v>
      </c>
      <c r="H4933" s="564">
        <v>40015</v>
      </c>
      <c r="I4933" s="563">
        <v>1860.3</v>
      </c>
      <c r="J4933" s="563">
        <v>-585</v>
      </c>
      <c r="K4933" s="582">
        <f t="shared" si="228"/>
        <v>1275.3</v>
      </c>
      <c r="L4933" s="563">
        <f t="shared" si="229"/>
        <v>1402.8300000000002</v>
      </c>
      <c r="M4933" s="563">
        <f t="shared" si="230"/>
        <v>2046.3300000000002</v>
      </c>
      <c r="N4933" s="580"/>
    </row>
    <row r="4934" spans="4:16" x14ac:dyDescent="0.25">
      <c r="D4934" s="559" t="s">
        <v>867</v>
      </c>
      <c r="E4934" s="558" t="s">
        <v>2039</v>
      </c>
      <c r="F4934" s="559">
        <v>702352</v>
      </c>
      <c r="G4934" s="558" t="s">
        <v>2040</v>
      </c>
      <c r="H4934" s="564">
        <v>40015</v>
      </c>
      <c r="I4934" s="563">
        <v>1236.3</v>
      </c>
      <c r="J4934" s="563">
        <v>-585</v>
      </c>
      <c r="K4934" s="563">
        <f t="shared" si="228"/>
        <v>651.29999999999995</v>
      </c>
      <c r="L4934" s="563">
        <f t="shared" si="229"/>
        <v>716.43000000000006</v>
      </c>
      <c r="M4934" s="563">
        <f t="shared" si="230"/>
        <v>1359.93</v>
      </c>
      <c r="N4934" s="580"/>
      <c r="O4934" s="558"/>
      <c r="P4934" s="564"/>
    </row>
    <row r="4935" spans="4:16" x14ac:dyDescent="0.25">
      <c r="D4935" s="559" t="s">
        <v>867</v>
      </c>
      <c r="E4935" s="558" t="s">
        <v>3885</v>
      </c>
      <c r="F4935" s="559">
        <v>701091</v>
      </c>
      <c r="G4935" s="558" t="s">
        <v>2040</v>
      </c>
      <c r="H4935" s="564">
        <v>40015</v>
      </c>
      <c r="I4935" s="563">
        <v>1002.3</v>
      </c>
      <c r="J4935" s="563">
        <v>-585</v>
      </c>
      <c r="K4935" s="582">
        <f t="shared" si="228"/>
        <v>417.29999999999995</v>
      </c>
      <c r="L4935" s="563">
        <f t="shared" si="229"/>
        <v>459.03</v>
      </c>
      <c r="M4935" s="563">
        <f t="shared" si="230"/>
        <v>1102.53</v>
      </c>
      <c r="N4935" s="580"/>
    </row>
    <row r="4936" spans="4:16" x14ac:dyDescent="0.25">
      <c r="D4936" s="559" t="s">
        <v>867</v>
      </c>
      <c r="E4936" s="558" t="s">
        <v>3886</v>
      </c>
      <c r="F4936" s="559">
        <v>700144</v>
      </c>
      <c r="G4936" s="558" t="s">
        <v>2040</v>
      </c>
      <c r="H4936" s="564">
        <v>40015</v>
      </c>
      <c r="I4936" s="563">
        <v>887.25</v>
      </c>
      <c r="J4936" s="563">
        <v>-585</v>
      </c>
      <c r="K4936" s="582">
        <f t="shared" si="228"/>
        <v>302.25</v>
      </c>
      <c r="L4936" s="563">
        <f t="shared" si="229"/>
        <v>332.47500000000002</v>
      </c>
      <c r="M4936" s="563">
        <f t="shared" si="230"/>
        <v>975.97500000000002</v>
      </c>
      <c r="N4936" s="580"/>
    </row>
    <row r="4937" spans="4:16" x14ac:dyDescent="0.25">
      <c r="D4937" s="559" t="s">
        <v>867</v>
      </c>
      <c r="E4937" s="558" t="s">
        <v>3887</v>
      </c>
      <c r="F4937" s="559">
        <v>700059</v>
      </c>
      <c r="G4937" s="558" t="s">
        <v>3888</v>
      </c>
      <c r="H4937" s="564">
        <v>40015</v>
      </c>
      <c r="I4937" s="563">
        <v>27.3</v>
      </c>
      <c r="J4937" s="563">
        <v>-27.3</v>
      </c>
      <c r="K4937" s="582">
        <f t="shared" si="228"/>
        <v>0</v>
      </c>
      <c r="L4937" s="563">
        <f t="shared" si="229"/>
        <v>0</v>
      </c>
      <c r="M4937" s="563">
        <f t="shared" si="230"/>
        <v>30.030000000000005</v>
      </c>
      <c r="N4937" s="580"/>
    </row>
    <row r="4938" spans="4:16" x14ac:dyDescent="0.25">
      <c r="D4938" s="559" t="s">
        <v>867</v>
      </c>
      <c r="E4938" s="558" t="s">
        <v>3889</v>
      </c>
      <c r="F4938" s="559">
        <v>700146</v>
      </c>
      <c r="G4938" s="558" t="s">
        <v>3888</v>
      </c>
      <c r="H4938" s="564">
        <v>40015</v>
      </c>
      <c r="I4938" s="563">
        <v>770.25</v>
      </c>
      <c r="J4938" s="563">
        <v>-585</v>
      </c>
      <c r="K4938" s="582">
        <f t="shared" si="228"/>
        <v>185.25</v>
      </c>
      <c r="L4938" s="563">
        <f t="shared" si="229"/>
        <v>203.77500000000001</v>
      </c>
      <c r="M4938" s="563">
        <f t="shared" si="230"/>
        <v>847.27500000000009</v>
      </c>
      <c r="N4938" s="580"/>
    </row>
    <row r="4939" spans="4:16" x14ac:dyDescent="0.25">
      <c r="D4939" s="559" t="s">
        <v>867</v>
      </c>
      <c r="E4939" s="558" t="s">
        <v>3890</v>
      </c>
      <c r="F4939" s="559">
        <v>701591</v>
      </c>
      <c r="G4939" s="558" t="s">
        <v>3888</v>
      </c>
      <c r="H4939" s="564">
        <v>40015</v>
      </c>
      <c r="I4939" s="563">
        <v>2248.35</v>
      </c>
      <c r="J4939" s="563">
        <v>-585</v>
      </c>
      <c r="K4939" s="582">
        <f t="shared" si="228"/>
        <v>1663.35</v>
      </c>
      <c r="L4939" s="563">
        <f t="shared" si="229"/>
        <v>1829.6849999999999</v>
      </c>
      <c r="M4939" s="563">
        <f t="shared" si="230"/>
        <v>2473.1849999999999</v>
      </c>
      <c r="N4939" s="580"/>
    </row>
    <row r="4940" spans="4:16" x14ac:dyDescent="0.25">
      <c r="D4940" s="559" t="s">
        <v>867</v>
      </c>
      <c r="E4940" s="558" t="s">
        <v>3891</v>
      </c>
      <c r="F4940" s="559">
        <v>701667</v>
      </c>
      <c r="G4940" s="558" t="s">
        <v>3888</v>
      </c>
      <c r="H4940" s="564">
        <v>40015</v>
      </c>
      <c r="I4940" s="563">
        <v>5077.8</v>
      </c>
      <c r="J4940" s="563">
        <v>-585</v>
      </c>
      <c r="K4940" s="582">
        <f t="shared" si="228"/>
        <v>4492.8</v>
      </c>
      <c r="L4940" s="563">
        <f t="shared" si="229"/>
        <v>4942.0800000000008</v>
      </c>
      <c r="M4940" s="563">
        <f t="shared" si="230"/>
        <v>5585.5800000000008</v>
      </c>
      <c r="N4940" s="580"/>
    </row>
    <row r="4941" spans="4:16" x14ac:dyDescent="0.25">
      <c r="D4941" s="559" t="s">
        <v>867</v>
      </c>
      <c r="E4941" s="558" t="s">
        <v>3892</v>
      </c>
      <c r="F4941" s="559">
        <v>700105</v>
      </c>
      <c r="G4941" s="558" t="s">
        <v>3888</v>
      </c>
      <c r="H4941" s="564">
        <v>40015</v>
      </c>
      <c r="I4941" s="563">
        <v>766.35</v>
      </c>
      <c r="J4941" s="563">
        <v>-585</v>
      </c>
      <c r="K4941" s="582">
        <f t="shared" si="228"/>
        <v>181.35000000000002</v>
      </c>
      <c r="L4941" s="563">
        <f t="shared" si="229"/>
        <v>199.48500000000004</v>
      </c>
      <c r="M4941" s="563">
        <f t="shared" si="230"/>
        <v>842.98500000000013</v>
      </c>
      <c r="N4941" s="580"/>
    </row>
    <row r="4942" spans="4:16" x14ac:dyDescent="0.25">
      <c r="D4942" s="559" t="s">
        <v>867</v>
      </c>
      <c r="E4942" s="558" t="s">
        <v>3893</v>
      </c>
      <c r="F4942" s="559">
        <v>700147</v>
      </c>
      <c r="G4942" s="558" t="s">
        <v>3894</v>
      </c>
      <c r="H4942" s="564">
        <v>40015</v>
      </c>
      <c r="I4942" s="563">
        <v>1236.3</v>
      </c>
      <c r="J4942" s="563">
        <v>-585</v>
      </c>
      <c r="K4942" s="582">
        <f t="shared" si="228"/>
        <v>651.29999999999995</v>
      </c>
      <c r="L4942" s="563">
        <f t="shared" si="229"/>
        <v>716.43000000000006</v>
      </c>
      <c r="M4942" s="563">
        <f t="shared" si="230"/>
        <v>1359.93</v>
      </c>
      <c r="N4942" s="580"/>
    </row>
    <row r="4943" spans="4:16" x14ac:dyDescent="0.25">
      <c r="D4943" s="559" t="s">
        <v>867</v>
      </c>
      <c r="E4943" s="558" t="s">
        <v>3895</v>
      </c>
      <c r="F4943" s="559">
        <v>702111</v>
      </c>
      <c r="G4943" s="558" t="s">
        <v>3894</v>
      </c>
      <c r="H4943" s="564">
        <v>40015</v>
      </c>
      <c r="I4943" s="563">
        <v>1000.35</v>
      </c>
      <c r="J4943" s="563">
        <v>-585</v>
      </c>
      <c r="K4943" s="582">
        <f t="shared" si="228"/>
        <v>415.35</v>
      </c>
      <c r="L4943" s="563">
        <f t="shared" si="229"/>
        <v>456.88500000000005</v>
      </c>
      <c r="M4943" s="563">
        <f t="shared" si="230"/>
        <v>1100.3850000000002</v>
      </c>
      <c r="N4943" s="580"/>
    </row>
    <row r="4944" spans="4:16" x14ac:dyDescent="0.25">
      <c r="D4944" s="559" t="s">
        <v>867</v>
      </c>
      <c r="E4944" s="558" t="s">
        <v>3896</v>
      </c>
      <c r="F4944" s="559">
        <v>700151</v>
      </c>
      <c r="G4944" s="558" t="s">
        <v>3894</v>
      </c>
      <c r="H4944" s="564">
        <v>40015</v>
      </c>
      <c r="I4944" s="563">
        <v>25.35</v>
      </c>
      <c r="J4944" s="563">
        <v>-25.35</v>
      </c>
      <c r="K4944" s="582">
        <f t="shared" si="228"/>
        <v>0</v>
      </c>
      <c r="L4944" s="563">
        <f t="shared" si="229"/>
        <v>0</v>
      </c>
      <c r="M4944" s="563">
        <f t="shared" si="230"/>
        <v>27.885000000000005</v>
      </c>
      <c r="N4944" s="580"/>
    </row>
    <row r="4945" spans="4:16" x14ac:dyDescent="0.25">
      <c r="D4945" s="559" t="s">
        <v>867</v>
      </c>
      <c r="E4945" s="558" t="s">
        <v>3897</v>
      </c>
      <c r="F4945" s="559">
        <v>700151</v>
      </c>
      <c r="G4945" s="558" t="s">
        <v>2042</v>
      </c>
      <c r="H4945" s="564">
        <v>40015</v>
      </c>
      <c r="I4945" s="563">
        <v>25.35</v>
      </c>
      <c r="J4945" s="563">
        <v>-25.35</v>
      </c>
      <c r="K4945" s="582">
        <f t="shared" si="228"/>
        <v>0</v>
      </c>
      <c r="L4945" s="563">
        <f t="shared" si="229"/>
        <v>0</v>
      </c>
      <c r="M4945" s="563">
        <f t="shared" si="230"/>
        <v>27.885000000000005</v>
      </c>
      <c r="N4945" s="580"/>
    </row>
    <row r="4946" spans="4:16" x14ac:dyDescent="0.25">
      <c r="D4946" s="559" t="s">
        <v>867</v>
      </c>
      <c r="E4946" s="558" t="s">
        <v>3898</v>
      </c>
      <c r="F4946" s="559">
        <v>700151</v>
      </c>
      <c r="G4946" s="558" t="s">
        <v>2042</v>
      </c>
      <c r="H4946" s="564">
        <v>40015</v>
      </c>
      <c r="I4946" s="563">
        <v>25.35</v>
      </c>
      <c r="J4946" s="563">
        <v>-25.35</v>
      </c>
      <c r="K4946" s="582">
        <f t="shared" si="228"/>
        <v>0</v>
      </c>
      <c r="L4946" s="563">
        <f t="shared" si="229"/>
        <v>0</v>
      </c>
      <c r="M4946" s="563">
        <f t="shared" si="230"/>
        <v>27.885000000000005</v>
      </c>
      <c r="N4946" s="580"/>
    </row>
    <row r="4947" spans="4:16" x14ac:dyDescent="0.25">
      <c r="D4947" s="559" t="s">
        <v>867</v>
      </c>
      <c r="E4947" s="558" t="s">
        <v>3899</v>
      </c>
      <c r="F4947" s="559">
        <v>700151</v>
      </c>
      <c r="G4947" s="558" t="s">
        <v>2042</v>
      </c>
      <c r="H4947" s="564">
        <v>40015</v>
      </c>
      <c r="I4947" s="563">
        <v>25.35</v>
      </c>
      <c r="J4947" s="563">
        <v>-25.35</v>
      </c>
      <c r="K4947" s="582">
        <f t="shared" si="228"/>
        <v>0</v>
      </c>
      <c r="L4947" s="563">
        <f t="shared" si="229"/>
        <v>0</v>
      </c>
      <c r="M4947" s="563">
        <f t="shared" si="230"/>
        <v>27.885000000000005</v>
      </c>
      <c r="N4947" s="580"/>
    </row>
    <row r="4948" spans="4:16" x14ac:dyDescent="0.25">
      <c r="D4948" s="559" t="s">
        <v>867</v>
      </c>
      <c r="E4948" s="558" t="s">
        <v>2041</v>
      </c>
      <c r="F4948" s="559">
        <v>701712</v>
      </c>
      <c r="G4948" s="558" t="s">
        <v>2042</v>
      </c>
      <c r="H4948" s="564">
        <v>40015</v>
      </c>
      <c r="I4948" s="563">
        <v>1862.25</v>
      </c>
      <c r="J4948" s="563">
        <v>-585</v>
      </c>
      <c r="K4948" s="563">
        <f t="shared" si="228"/>
        <v>1277.25</v>
      </c>
      <c r="L4948" s="563">
        <f t="shared" si="229"/>
        <v>1404.9750000000001</v>
      </c>
      <c r="M4948" s="563">
        <f t="shared" si="230"/>
        <v>2048.4750000000004</v>
      </c>
      <c r="N4948" s="580"/>
      <c r="O4948" s="558"/>
      <c r="P4948" s="564"/>
    </row>
    <row r="4949" spans="4:16" x14ac:dyDescent="0.25">
      <c r="D4949" s="559" t="s">
        <v>867</v>
      </c>
      <c r="E4949" s="558" t="s">
        <v>3900</v>
      </c>
      <c r="F4949" s="559">
        <v>701093</v>
      </c>
      <c r="G4949" s="558" t="s">
        <v>2042</v>
      </c>
      <c r="H4949" s="564">
        <v>40015</v>
      </c>
      <c r="I4949" s="563">
        <v>1160.25</v>
      </c>
      <c r="J4949" s="563">
        <v>-585</v>
      </c>
      <c r="K4949" s="582">
        <f t="shared" si="228"/>
        <v>575.25</v>
      </c>
      <c r="L4949" s="563">
        <f t="shared" si="229"/>
        <v>632.77500000000009</v>
      </c>
      <c r="M4949" s="563">
        <f t="shared" si="230"/>
        <v>1276.2750000000001</v>
      </c>
      <c r="N4949" s="580"/>
    </row>
    <row r="4950" spans="4:16" x14ac:dyDescent="0.25">
      <c r="D4950" s="559" t="s">
        <v>867</v>
      </c>
      <c r="E4950" s="558" t="s">
        <v>3901</v>
      </c>
      <c r="F4950" s="559">
        <v>700152</v>
      </c>
      <c r="G4950" s="558" t="s">
        <v>3902</v>
      </c>
      <c r="H4950" s="564">
        <v>40015</v>
      </c>
      <c r="I4950" s="563">
        <v>1511.25</v>
      </c>
      <c r="J4950" s="563">
        <v>-585</v>
      </c>
      <c r="K4950" s="582">
        <f t="shared" si="228"/>
        <v>926.25</v>
      </c>
      <c r="L4950" s="563">
        <f t="shared" si="229"/>
        <v>1018.8750000000001</v>
      </c>
      <c r="M4950" s="563">
        <f t="shared" si="230"/>
        <v>1662.3750000000002</v>
      </c>
      <c r="N4950" s="580"/>
    </row>
    <row r="4951" spans="4:16" x14ac:dyDescent="0.25">
      <c r="D4951" s="559" t="s">
        <v>867</v>
      </c>
      <c r="E4951" s="558" t="s">
        <v>3903</v>
      </c>
      <c r="F4951" s="559">
        <v>700152</v>
      </c>
      <c r="G4951" s="558" t="s">
        <v>3902</v>
      </c>
      <c r="H4951" s="564">
        <v>40015</v>
      </c>
      <c r="I4951" s="563">
        <v>1238.25</v>
      </c>
      <c r="J4951" s="563">
        <v>-585</v>
      </c>
      <c r="K4951" s="582">
        <f t="shared" si="228"/>
        <v>653.25</v>
      </c>
      <c r="L4951" s="563">
        <f t="shared" si="229"/>
        <v>718.57500000000005</v>
      </c>
      <c r="M4951" s="563">
        <f t="shared" si="230"/>
        <v>1362.075</v>
      </c>
      <c r="N4951" s="580"/>
    </row>
    <row r="4952" spans="4:16" x14ac:dyDescent="0.25">
      <c r="D4952" s="559" t="s">
        <v>867</v>
      </c>
      <c r="E4952" s="558" t="s">
        <v>3904</v>
      </c>
      <c r="F4952" s="559">
        <v>700152</v>
      </c>
      <c r="G4952" s="558" t="s">
        <v>3902</v>
      </c>
      <c r="H4952" s="564">
        <v>40015</v>
      </c>
      <c r="I4952" s="563">
        <v>31.2</v>
      </c>
      <c r="J4952" s="563">
        <v>-31.2</v>
      </c>
      <c r="K4952" s="582">
        <f t="shared" si="228"/>
        <v>0</v>
      </c>
      <c r="L4952" s="563">
        <f t="shared" si="229"/>
        <v>0</v>
      </c>
      <c r="M4952" s="563">
        <f t="shared" si="230"/>
        <v>34.32</v>
      </c>
      <c r="N4952" s="580"/>
    </row>
    <row r="4953" spans="4:16" x14ac:dyDescent="0.25">
      <c r="D4953" s="559" t="s">
        <v>867</v>
      </c>
      <c r="E4953" s="558" t="s">
        <v>3905</v>
      </c>
      <c r="F4953" s="559">
        <v>700154</v>
      </c>
      <c r="G4953" s="558" t="s">
        <v>3902</v>
      </c>
      <c r="H4953" s="564">
        <v>40015</v>
      </c>
      <c r="I4953" s="563">
        <v>1546.35</v>
      </c>
      <c r="J4953" s="563">
        <v>-585</v>
      </c>
      <c r="K4953" s="582">
        <f t="shared" si="228"/>
        <v>961.34999999999991</v>
      </c>
      <c r="L4953" s="563">
        <f t="shared" si="229"/>
        <v>1057.4849999999999</v>
      </c>
      <c r="M4953" s="563">
        <f t="shared" si="230"/>
        <v>1700.9850000000001</v>
      </c>
      <c r="N4953" s="580"/>
    </row>
    <row r="4954" spans="4:16" x14ac:dyDescent="0.25">
      <c r="D4954" s="559" t="s">
        <v>867</v>
      </c>
      <c r="E4954" s="558" t="s">
        <v>3906</v>
      </c>
      <c r="F4954" s="559">
        <v>700155</v>
      </c>
      <c r="G4954" s="558" t="s">
        <v>3902</v>
      </c>
      <c r="H4954" s="564">
        <v>40015</v>
      </c>
      <c r="I4954" s="563">
        <v>1546.35</v>
      </c>
      <c r="J4954" s="563">
        <v>-585</v>
      </c>
      <c r="K4954" s="582">
        <f t="shared" si="228"/>
        <v>961.34999999999991</v>
      </c>
      <c r="L4954" s="563">
        <f t="shared" si="229"/>
        <v>1057.4849999999999</v>
      </c>
      <c r="M4954" s="563">
        <f t="shared" si="230"/>
        <v>1700.9850000000001</v>
      </c>
      <c r="N4954" s="580"/>
    </row>
    <row r="4955" spans="4:16" x14ac:dyDescent="0.25">
      <c r="D4955" s="559" t="s">
        <v>867</v>
      </c>
      <c r="E4955" s="558" t="s">
        <v>3907</v>
      </c>
      <c r="F4955" s="559">
        <v>701511</v>
      </c>
      <c r="G4955" s="558" t="s">
        <v>3908</v>
      </c>
      <c r="H4955" s="564">
        <v>40015</v>
      </c>
      <c r="I4955" s="563">
        <v>25.35</v>
      </c>
      <c r="J4955" s="563">
        <v>-25.35</v>
      </c>
      <c r="K4955" s="582">
        <f t="shared" si="228"/>
        <v>0</v>
      </c>
      <c r="L4955" s="563">
        <f t="shared" si="229"/>
        <v>0</v>
      </c>
      <c r="M4955" s="563">
        <f t="shared" si="230"/>
        <v>27.885000000000005</v>
      </c>
      <c r="N4955" s="580"/>
    </row>
    <row r="4956" spans="4:16" x14ac:dyDescent="0.25">
      <c r="D4956" s="559" t="s">
        <v>867</v>
      </c>
      <c r="E4956" s="558" t="s">
        <v>3909</v>
      </c>
      <c r="F4956" s="559">
        <v>702084</v>
      </c>
      <c r="G4956" s="558" t="s">
        <v>3908</v>
      </c>
      <c r="H4956" s="564">
        <v>40015</v>
      </c>
      <c r="I4956" s="563">
        <v>25.35</v>
      </c>
      <c r="J4956" s="563">
        <v>-25.35</v>
      </c>
      <c r="K4956" s="582">
        <f t="shared" si="228"/>
        <v>0</v>
      </c>
      <c r="L4956" s="563">
        <f t="shared" si="229"/>
        <v>0</v>
      </c>
      <c r="M4956" s="563">
        <f t="shared" si="230"/>
        <v>27.885000000000005</v>
      </c>
      <c r="N4956" s="580"/>
    </row>
    <row r="4957" spans="4:16" x14ac:dyDescent="0.25">
      <c r="D4957" s="559" t="s">
        <v>867</v>
      </c>
      <c r="E4957" s="558" t="s">
        <v>3910</v>
      </c>
      <c r="F4957" s="559">
        <v>701707</v>
      </c>
      <c r="G4957" s="558" t="s">
        <v>3908</v>
      </c>
      <c r="H4957" s="564">
        <v>40015</v>
      </c>
      <c r="I4957" s="563">
        <v>1546.35</v>
      </c>
      <c r="J4957" s="563">
        <v>-585</v>
      </c>
      <c r="K4957" s="582">
        <f t="shared" si="228"/>
        <v>961.34999999999991</v>
      </c>
      <c r="L4957" s="563">
        <f t="shared" si="229"/>
        <v>1057.4849999999999</v>
      </c>
      <c r="M4957" s="563">
        <f t="shared" si="230"/>
        <v>1700.9850000000001</v>
      </c>
      <c r="N4957" s="580"/>
    </row>
    <row r="4958" spans="4:16" x14ac:dyDescent="0.25">
      <c r="D4958" s="559" t="s">
        <v>867</v>
      </c>
      <c r="E4958" s="558" t="s">
        <v>3911</v>
      </c>
      <c r="F4958" s="559">
        <v>702084</v>
      </c>
      <c r="G4958" s="558" t="s">
        <v>3908</v>
      </c>
      <c r="H4958" s="564">
        <v>40015</v>
      </c>
      <c r="I4958" s="563">
        <v>1468.35</v>
      </c>
      <c r="J4958" s="563">
        <v>-585</v>
      </c>
      <c r="K4958" s="582">
        <f t="shared" si="228"/>
        <v>883.34999999999991</v>
      </c>
      <c r="L4958" s="563">
        <f t="shared" si="229"/>
        <v>971.68499999999995</v>
      </c>
      <c r="M4958" s="563">
        <f t="shared" si="230"/>
        <v>1615.1849999999999</v>
      </c>
      <c r="N4958" s="580"/>
    </row>
    <row r="4959" spans="4:16" x14ac:dyDescent="0.25">
      <c r="D4959" s="559" t="s">
        <v>867</v>
      </c>
      <c r="E4959" s="558" t="s">
        <v>3912</v>
      </c>
      <c r="F4959" s="559">
        <v>700158</v>
      </c>
      <c r="G4959" s="558" t="s">
        <v>3908</v>
      </c>
      <c r="H4959" s="564">
        <v>40015</v>
      </c>
      <c r="I4959" s="563">
        <v>64.349999999999994</v>
      </c>
      <c r="J4959" s="563">
        <v>-64.349999999999994</v>
      </c>
      <c r="K4959" s="582">
        <f t="shared" si="228"/>
        <v>0</v>
      </c>
      <c r="L4959" s="563">
        <f t="shared" si="229"/>
        <v>0</v>
      </c>
      <c r="M4959" s="563">
        <f t="shared" si="230"/>
        <v>70.784999999999997</v>
      </c>
      <c r="N4959" s="580"/>
    </row>
    <row r="4960" spans="4:16" x14ac:dyDescent="0.25">
      <c r="D4960" s="559" t="s">
        <v>867</v>
      </c>
      <c r="E4960" s="558" t="s">
        <v>3913</v>
      </c>
      <c r="F4960" s="559">
        <v>700159</v>
      </c>
      <c r="G4960" s="558" t="s">
        <v>3914</v>
      </c>
      <c r="H4960" s="564">
        <v>40015</v>
      </c>
      <c r="I4960" s="563">
        <v>1546.35</v>
      </c>
      <c r="J4960" s="563">
        <v>-585</v>
      </c>
      <c r="K4960" s="582">
        <f t="shared" si="228"/>
        <v>961.34999999999991</v>
      </c>
      <c r="L4960" s="563">
        <f t="shared" si="229"/>
        <v>1057.4849999999999</v>
      </c>
      <c r="M4960" s="563">
        <f t="shared" si="230"/>
        <v>1700.9850000000001</v>
      </c>
      <c r="N4960" s="580"/>
    </row>
    <row r="4961" spans="4:16" x14ac:dyDescent="0.25">
      <c r="D4961" s="559" t="s">
        <v>867</v>
      </c>
      <c r="E4961" s="558" t="s">
        <v>3915</v>
      </c>
      <c r="F4961" s="559">
        <v>700160</v>
      </c>
      <c r="G4961" s="558" t="s">
        <v>3914</v>
      </c>
      <c r="H4961" s="564">
        <v>40015</v>
      </c>
      <c r="I4961" s="563">
        <v>25.35</v>
      </c>
      <c r="J4961" s="563">
        <v>-25.35</v>
      </c>
      <c r="K4961" s="582">
        <f t="shared" si="228"/>
        <v>0</v>
      </c>
      <c r="L4961" s="563">
        <f t="shared" si="229"/>
        <v>0</v>
      </c>
      <c r="M4961" s="563">
        <f t="shared" si="230"/>
        <v>27.885000000000005</v>
      </c>
      <c r="N4961" s="580"/>
    </row>
    <row r="4962" spans="4:16" x14ac:dyDescent="0.25">
      <c r="D4962" s="559" t="s">
        <v>867</v>
      </c>
      <c r="E4962" s="558" t="s">
        <v>3916</v>
      </c>
      <c r="F4962" s="559">
        <v>701080</v>
      </c>
      <c r="G4962" s="558" t="s">
        <v>3914</v>
      </c>
      <c r="H4962" s="564">
        <v>40015</v>
      </c>
      <c r="I4962" s="563">
        <v>1914.9</v>
      </c>
      <c r="J4962" s="563">
        <v>-585</v>
      </c>
      <c r="K4962" s="582">
        <f t="shared" si="228"/>
        <v>1329.9</v>
      </c>
      <c r="L4962" s="563">
        <f t="shared" si="229"/>
        <v>1462.8900000000003</v>
      </c>
      <c r="M4962" s="563">
        <f t="shared" si="230"/>
        <v>2106.3900000000003</v>
      </c>
      <c r="N4962" s="580"/>
    </row>
    <row r="4963" spans="4:16" x14ac:dyDescent="0.25">
      <c r="D4963" s="559" t="s">
        <v>867</v>
      </c>
      <c r="E4963" s="558" t="s">
        <v>3917</v>
      </c>
      <c r="F4963" s="559">
        <v>700213</v>
      </c>
      <c r="G4963" s="558" t="s">
        <v>3914</v>
      </c>
      <c r="H4963" s="564">
        <v>40015</v>
      </c>
      <c r="I4963" s="563">
        <v>161.85</v>
      </c>
      <c r="J4963" s="563">
        <v>-161.85</v>
      </c>
      <c r="K4963" s="582">
        <f t="shared" si="228"/>
        <v>0</v>
      </c>
      <c r="L4963" s="563">
        <f t="shared" si="229"/>
        <v>0</v>
      </c>
      <c r="M4963" s="563">
        <f t="shared" si="230"/>
        <v>178.035</v>
      </c>
      <c r="N4963" s="580"/>
    </row>
    <row r="4964" spans="4:16" x14ac:dyDescent="0.25">
      <c r="D4964" s="559" t="s">
        <v>867</v>
      </c>
      <c r="E4964" s="558" t="s">
        <v>3918</v>
      </c>
      <c r="F4964" s="559">
        <v>700240</v>
      </c>
      <c r="G4964" s="558" t="s">
        <v>3914</v>
      </c>
      <c r="H4964" s="564">
        <v>40015</v>
      </c>
      <c r="I4964" s="563">
        <v>25.35</v>
      </c>
      <c r="J4964" s="563">
        <v>-25.35</v>
      </c>
      <c r="K4964" s="582">
        <f t="shared" si="228"/>
        <v>0</v>
      </c>
      <c r="L4964" s="563">
        <f t="shared" si="229"/>
        <v>0</v>
      </c>
      <c r="M4964" s="563">
        <f t="shared" si="230"/>
        <v>27.885000000000005</v>
      </c>
      <c r="N4964" s="580"/>
    </row>
    <row r="4965" spans="4:16" x14ac:dyDescent="0.25">
      <c r="D4965" s="559" t="s">
        <v>867</v>
      </c>
      <c r="E4965" s="558" t="s">
        <v>3919</v>
      </c>
      <c r="F4965" s="559">
        <v>702267</v>
      </c>
      <c r="G4965" s="558" t="s">
        <v>1023</v>
      </c>
      <c r="H4965" s="564">
        <v>40015</v>
      </c>
      <c r="I4965" s="563">
        <v>25.35</v>
      </c>
      <c r="J4965" s="563">
        <v>-25.35</v>
      </c>
      <c r="K4965" s="582">
        <f t="shared" si="228"/>
        <v>0</v>
      </c>
      <c r="L4965" s="563">
        <f t="shared" si="229"/>
        <v>0</v>
      </c>
      <c r="M4965" s="563">
        <f t="shared" si="230"/>
        <v>27.885000000000005</v>
      </c>
      <c r="N4965" s="580"/>
    </row>
    <row r="4966" spans="4:16" x14ac:dyDescent="0.25">
      <c r="D4966" s="559" t="s">
        <v>867</v>
      </c>
      <c r="E4966" s="558" t="s">
        <v>2043</v>
      </c>
      <c r="F4966" s="559">
        <v>701687</v>
      </c>
      <c r="G4966" s="558" t="s">
        <v>1023</v>
      </c>
      <c r="H4966" s="564">
        <v>40015</v>
      </c>
      <c r="I4966" s="563">
        <v>998.4</v>
      </c>
      <c r="J4966" s="563">
        <v>-585</v>
      </c>
      <c r="K4966" s="563">
        <f t="shared" si="228"/>
        <v>413.4</v>
      </c>
      <c r="L4966" s="563">
        <f t="shared" si="229"/>
        <v>454.74</v>
      </c>
      <c r="M4966" s="563">
        <f t="shared" si="230"/>
        <v>1098.24</v>
      </c>
      <c r="N4966" s="580"/>
      <c r="O4966" s="558"/>
      <c r="P4966" s="564"/>
    </row>
    <row r="4967" spans="4:16" x14ac:dyDescent="0.25">
      <c r="D4967" s="559" t="s">
        <v>867</v>
      </c>
      <c r="E4967" s="558" t="s">
        <v>2044</v>
      </c>
      <c r="F4967" s="559">
        <v>701687</v>
      </c>
      <c r="G4967" s="558" t="s">
        <v>1023</v>
      </c>
      <c r="H4967" s="564">
        <v>40015</v>
      </c>
      <c r="I4967" s="563">
        <v>23.4</v>
      </c>
      <c r="J4967" s="563">
        <v>-23.4</v>
      </c>
      <c r="K4967" s="563">
        <f t="shared" si="228"/>
        <v>0</v>
      </c>
      <c r="L4967" s="563">
        <f t="shared" si="229"/>
        <v>0</v>
      </c>
      <c r="M4967" s="563">
        <f t="shared" si="230"/>
        <v>25.740000000000002</v>
      </c>
      <c r="N4967" s="580"/>
      <c r="O4967" s="558"/>
      <c r="P4967" s="564"/>
    </row>
    <row r="4968" spans="4:16" x14ac:dyDescent="0.25">
      <c r="D4968" s="559" t="s">
        <v>867</v>
      </c>
      <c r="E4968" s="558" t="s">
        <v>3920</v>
      </c>
      <c r="F4968" s="559">
        <v>702231</v>
      </c>
      <c r="G4968" s="558" t="s">
        <v>1023</v>
      </c>
      <c r="H4968" s="564">
        <v>40015</v>
      </c>
      <c r="I4968" s="563">
        <v>959.4</v>
      </c>
      <c r="J4968" s="563">
        <v>-585</v>
      </c>
      <c r="K4968" s="582">
        <f t="shared" si="228"/>
        <v>374.4</v>
      </c>
      <c r="L4968" s="563">
        <f t="shared" si="229"/>
        <v>411.84000000000003</v>
      </c>
      <c r="M4968" s="563">
        <f t="shared" si="230"/>
        <v>1055.3400000000001</v>
      </c>
      <c r="N4968" s="580"/>
    </row>
    <row r="4969" spans="4:16" x14ac:dyDescent="0.25">
      <c r="D4969" s="559" t="s">
        <v>867</v>
      </c>
      <c r="E4969" s="558" t="s">
        <v>2045</v>
      </c>
      <c r="F4969" s="559">
        <v>702347</v>
      </c>
      <c r="G4969" s="558" t="s">
        <v>2046</v>
      </c>
      <c r="H4969" s="564">
        <v>40015</v>
      </c>
      <c r="I4969" s="563">
        <v>183.3</v>
      </c>
      <c r="J4969" s="563">
        <v>-183.3</v>
      </c>
      <c r="K4969" s="563">
        <f t="shared" ref="K4969:K5032" si="231">+I4969+J4969</f>
        <v>0</v>
      </c>
      <c r="L4969" s="563">
        <f t="shared" ref="L4969:L5032" si="232">+K4969*1.1</f>
        <v>0</v>
      </c>
      <c r="M4969" s="563">
        <f t="shared" ref="M4969:M5036" si="233">+I4969*1.1</f>
        <v>201.63000000000002</v>
      </c>
      <c r="N4969" s="580"/>
      <c r="O4969" s="558"/>
      <c r="P4969" s="564"/>
    </row>
    <row r="4970" spans="4:16" x14ac:dyDescent="0.25">
      <c r="D4970" s="559" t="s">
        <v>867</v>
      </c>
      <c r="E4970" s="558" t="s">
        <v>3921</v>
      </c>
      <c r="F4970" s="559">
        <v>701165</v>
      </c>
      <c r="G4970" s="558" t="s">
        <v>2046</v>
      </c>
      <c r="H4970" s="564">
        <v>40015</v>
      </c>
      <c r="I4970" s="563">
        <v>583.04999999999995</v>
      </c>
      <c r="J4970" s="563">
        <v>-583.04999999999995</v>
      </c>
      <c r="K4970" s="582">
        <f t="shared" si="231"/>
        <v>0</v>
      </c>
      <c r="L4970" s="563">
        <f t="shared" si="232"/>
        <v>0</v>
      </c>
      <c r="M4970" s="563">
        <f t="shared" si="233"/>
        <v>641.35500000000002</v>
      </c>
      <c r="N4970" s="580"/>
    </row>
    <row r="4971" spans="4:16" x14ac:dyDescent="0.25">
      <c r="D4971" s="559" t="s">
        <v>867</v>
      </c>
      <c r="E4971" s="558" t="s">
        <v>3922</v>
      </c>
      <c r="F4971" s="559">
        <v>701143</v>
      </c>
      <c r="G4971" s="558" t="s">
        <v>2046</v>
      </c>
      <c r="H4971" s="564">
        <v>40015</v>
      </c>
      <c r="I4971" s="563">
        <v>23.4</v>
      </c>
      <c r="J4971" s="563">
        <v>-23.4</v>
      </c>
      <c r="K4971" s="582">
        <f t="shared" si="231"/>
        <v>0</v>
      </c>
      <c r="L4971" s="563">
        <f t="shared" si="232"/>
        <v>0</v>
      </c>
      <c r="M4971" s="563">
        <f t="shared" si="233"/>
        <v>25.740000000000002</v>
      </c>
      <c r="N4971" s="580"/>
    </row>
    <row r="4972" spans="4:16" x14ac:dyDescent="0.25">
      <c r="D4972" s="559" t="s">
        <v>867</v>
      </c>
      <c r="E4972" s="558" t="s">
        <v>3923</v>
      </c>
      <c r="F4972" s="559">
        <v>701143</v>
      </c>
      <c r="G4972" s="558" t="s">
        <v>2046</v>
      </c>
      <c r="H4972" s="564">
        <v>40015</v>
      </c>
      <c r="I4972" s="563">
        <v>23.4</v>
      </c>
      <c r="J4972" s="563">
        <v>-23.4</v>
      </c>
      <c r="K4972" s="582">
        <f t="shared" si="231"/>
        <v>0</v>
      </c>
      <c r="L4972" s="563">
        <f t="shared" si="232"/>
        <v>0</v>
      </c>
      <c r="M4972" s="563">
        <f t="shared" si="233"/>
        <v>25.740000000000002</v>
      </c>
      <c r="N4972" s="580"/>
    </row>
    <row r="4973" spans="4:16" x14ac:dyDescent="0.25">
      <c r="D4973" s="559" t="s">
        <v>867</v>
      </c>
      <c r="E4973" s="558" t="s">
        <v>3924</v>
      </c>
      <c r="F4973" s="559">
        <v>700149</v>
      </c>
      <c r="G4973" s="558" t="s">
        <v>2046</v>
      </c>
      <c r="H4973" s="564">
        <v>40015</v>
      </c>
      <c r="I4973" s="563">
        <v>5.85</v>
      </c>
      <c r="J4973" s="563">
        <v>-5.85</v>
      </c>
      <c r="K4973" s="582">
        <f t="shared" si="231"/>
        <v>0</v>
      </c>
      <c r="L4973" s="563">
        <f t="shared" si="232"/>
        <v>0</v>
      </c>
      <c r="M4973" s="563">
        <f t="shared" si="233"/>
        <v>6.4350000000000005</v>
      </c>
      <c r="N4973" s="580"/>
    </row>
    <row r="4974" spans="4:16" x14ac:dyDescent="0.25">
      <c r="D4974" s="559" t="s">
        <v>867</v>
      </c>
      <c r="E4974" s="558" t="s">
        <v>2047</v>
      </c>
      <c r="F4974" s="559">
        <v>701651</v>
      </c>
      <c r="G4974" s="558" t="s">
        <v>2048</v>
      </c>
      <c r="H4974" s="564">
        <v>40015</v>
      </c>
      <c r="I4974" s="563">
        <v>13.65</v>
      </c>
      <c r="J4974" s="563">
        <v>-13.65</v>
      </c>
      <c r="K4974" s="563">
        <f t="shared" si="231"/>
        <v>0</v>
      </c>
      <c r="L4974" s="563">
        <f t="shared" si="232"/>
        <v>0</v>
      </c>
      <c r="M4974" s="563">
        <f t="shared" si="233"/>
        <v>15.015000000000002</v>
      </c>
      <c r="N4974" s="580"/>
      <c r="O4974" s="558"/>
      <c r="P4974" s="564"/>
    </row>
    <row r="4975" spans="4:16" x14ac:dyDescent="0.25">
      <c r="D4975" s="559" t="s">
        <v>867</v>
      </c>
      <c r="E4975" s="558" t="s">
        <v>2049</v>
      </c>
      <c r="F4975" s="559">
        <v>702153</v>
      </c>
      <c r="G4975" s="558" t="s">
        <v>2048</v>
      </c>
      <c r="H4975" s="564">
        <v>40015</v>
      </c>
      <c r="I4975" s="563">
        <v>2281.5</v>
      </c>
      <c r="J4975" s="563">
        <v>-585</v>
      </c>
      <c r="K4975" s="563">
        <f t="shared" si="231"/>
        <v>1696.5</v>
      </c>
      <c r="L4975" s="563">
        <f t="shared" si="232"/>
        <v>1866.15</v>
      </c>
      <c r="M4975" s="563">
        <f t="shared" si="233"/>
        <v>2509.65</v>
      </c>
      <c r="N4975" s="580"/>
      <c r="O4975" s="558"/>
      <c r="P4975" s="564"/>
    </row>
    <row r="4976" spans="4:16" x14ac:dyDescent="0.25">
      <c r="D4976" s="559" t="s">
        <v>867</v>
      </c>
      <c r="E4976" s="558" t="s">
        <v>2050</v>
      </c>
      <c r="F4976" s="559">
        <v>700088</v>
      </c>
      <c r="G4976" s="558" t="s">
        <v>2048</v>
      </c>
      <c r="H4976" s="564">
        <v>40015</v>
      </c>
      <c r="I4976" s="563">
        <v>2.75</v>
      </c>
      <c r="J4976" s="563">
        <v>-2.75</v>
      </c>
      <c r="K4976" s="563">
        <f t="shared" si="231"/>
        <v>0</v>
      </c>
      <c r="L4976" s="563">
        <f t="shared" si="232"/>
        <v>0</v>
      </c>
      <c r="M4976" s="563">
        <f t="shared" si="233"/>
        <v>3.0250000000000004</v>
      </c>
      <c r="N4976" s="580"/>
      <c r="O4976" s="558"/>
      <c r="P4976" s="564"/>
    </row>
    <row r="4977" spans="4:16" x14ac:dyDescent="0.25">
      <c r="D4977" s="559" t="s">
        <v>867</v>
      </c>
      <c r="E4977" s="558" t="s">
        <v>3925</v>
      </c>
      <c r="F4977" s="559">
        <v>700220</v>
      </c>
      <c r="G4977" s="558" t="s">
        <v>2048</v>
      </c>
      <c r="H4977" s="564">
        <v>40015</v>
      </c>
      <c r="I4977" s="563">
        <v>1563.9</v>
      </c>
      <c r="J4977" s="563">
        <v>-585</v>
      </c>
      <c r="K4977" s="582">
        <f t="shared" si="231"/>
        <v>978.90000000000009</v>
      </c>
      <c r="L4977" s="563">
        <f t="shared" si="232"/>
        <v>1076.7900000000002</v>
      </c>
      <c r="M4977" s="563">
        <f t="shared" si="233"/>
        <v>1720.2900000000002</v>
      </c>
      <c r="N4977" s="580"/>
    </row>
    <row r="4978" spans="4:16" x14ac:dyDescent="0.25">
      <c r="D4978" s="559" t="s">
        <v>867</v>
      </c>
      <c r="E4978" s="558" t="s">
        <v>3926</v>
      </c>
      <c r="F4978" s="559">
        <v>700220</v>
      </c>
      <c r="G4978" s="558" t="s">
        <v>2048</v>
      </c>
      <c r="H4978" s="564">
        <v>40015</v>
      </c>
      <c r="I4978" s="563">
        <v>109.2</v>
      </c>
      <c r="J4978" s="563">
        <v>-109.2</v>
      </c>
      <c r="K4978" s="582">
        <f t="shared" si="231"/>
        <v>0</v>
      </c>
      <c r="L4978" s="563">
        <f t="shared" si="232"/>
        <v>0</v>
      </c>
      <c r="M4978" s="563">
        <f t="shared" si="233"/>
        <v>120.12000000000002</v>
      </c>
      <c r="N4978" s="580"/>
    </row>
    <row r="4979" spans="4:16" x14ac:dyDescent="0.25">
      <c r="D4979" s="559" t="s">
        <v>867</v>
      </c>
      <c r="E4979" s="558" t="s">
        <v>2051</v>
      </c>
      <c r="F4979" s="559">
        <v>702496</v>
      </c>
      <c r="G4979" s="558" t="s">
        <v>845</v>
      </c>
      <c r="H4979" s="564">
        <v>40015</v>
      </c>
      <c r="I4979" s="563">
        <v>1078.3499999999999</v>
      </c>
      <c r="J4979" s="563">
        <v>-585</v>
      </c>
      <c r="K4979" s="563">
        <f t="shared" si="231"/>
        <v>493.34999999999991</v>
      </c>
      <c r="L4979" s="563">
        <f t="shared" si="232"/>
        <v>542.68499999999995</v>
      </c>
      <c r="M4979" s="563">
        <f t="shared" si="233"/>
        <v>1186.1849999999999</v>
      </c>
      <c r="N4979" s="580"/>
      <c r="O4979" s="558"/>
      <c r="P4979" s="564"/>
    </row>
    <row r="4980" spans="4:16" x14ac:dyDescent="0.25">
      <c r="D4980" s="559" t="s">
        <v>867</v>
      </c>
      <c r="E4980" s="558" t="s">
        <v>3927</v>
      </c>
      <c r="F4980" s="559">
        <v>701075</v>
      </c>
      <c r="G4980" s="558" t="s">
        <v>845</v>
      </c>
      <c r="H4980" s="564">
        <v>40015</v>
      </c>
      <c r="I4980" s="563">
        <v>1390.35</v>
      </c>
      <c r="J4980" s="563">
        <v>-585</v>
      </c>
      <c r="K4980" s="582">
        <f t="shared" si="231"/>
        <v>805.34999999999991</v>
      </c>
      <c r="L4980" s="563">
        <f t="shared" si="232"/>
        <v>885.88499999999999</v>
      </c>
      <c r="M4980" s="563">
        <f t="shared" si="233"/>
        <v>1529.385</v>
      </c>
      <c r="N4980" s="580"/>
    </row>
    <row r="4981" spans="4:16" x14ac:dyDescent="0.25">
      <c r="D4981" s="559" t="s">
        <v>867</v>
      </c>
      <c r="E4981" s="558" t="s">
        <v>2052</v>
      </c>
      <c r="F4981" s="559">
        <v>700078</v>
      </c>
      <c r="G4981" s="558" t="s">
        <v>845</v>
      </c>
      <c r="H4981" s="564">
        <v>40015</v>
      </c>
      <c r="I4981" s="563">
        <v>1195.3499999999999</v>
      </c>
      <c r="J4981" s="563">
        <v>-585</v>
      </c>
      <c r="K4981" s="563">
        <f t="shared" si="231"/>
        <v>610.34999999999991</v>
      </c>
      <c r="L4981" s="563">
        <f t="shared" si="232"/>
        <v>671.38499999999999</v>
      </c>
      <c r="M4981" s="563">
        <f t="shared" si="233"/>
        <v>1314.885</v>
      </c>
      <c r="N4981" s="580"/>
      <c r="O4981" s="558"/>
      <c r="P4981" s="564"/>
    </row>
    <row r="4982" spans="4:16" x14ac:dyDescent="0.25">
      <c r="D4982" s="559" t="s">
        <v>867</v>
      </c>
      <c r="E4982" s="558" t="s">
        <v>3928</v>
      </c>
      <c r="F4982" s="559">
        <v>702452</v>
      </c>
      <c r="G4982" s="558" t="s">
        <v>847</v>
      </c>
      <c r="H4982" s="564">
        <v>40015</v>
      </c>
      <c r="I4982" s="563">
        <v>25.35</v>
      </c>
      <c r="J4982" s="563">
        <v>-25.35</v>
      </c>
      <c r="K4982" s="582">
        <f t="shared" si="231"/>
        <v>0</v>
      </c>
      <c r="L4982" s="563">
        <f t="shared" si="232"/>
        <v>0</v>
      </c>
      <c r="M4982" s="563">
        <f t="shared" si="233"/>
        <v>27.885000000000005</v>
      </c>
      <c r="N4982" s="580"/>
    </row>
    <row r="4983" spans="4:16" x14ac:dyDescent="0.25">
      <c r="D4983" s="559" t="s">
        <v>867</v>
      </c>
      <c r="E4983" s="558" t="s">
        <v>2053</v>
      </c>
      <c r="F4983" s="559">
        <v>700005</v>
      </c>
      <c r="G4983" s="558" t="s">
        <v>847</v>
      </c>
      <c r="H4983" s="564">
        <v>40015</v>
      </c>
      <c r="I4983" s="563">
        <v>522.6</v>
      </c>
      <c r="J4983" s="563">
        <v>-522.6</v>
      </c>
      <c r="K4983" s="563">
        <f t="shared" si="231"/>
        <v>0</v>
      </c>
      <c r="L4983" s="563">
        <f t="shared" si="232"/>
        <v>0</v>
      </c>
      <c r="M4983" s="563">
        <f t="shared" si="233"/>
        <v>574.86000000000013</v>
      </c>
      <c r="N4983" s="580"/>
      <c r="O4983" s="558"/>
      <c r="P4983" s="564"/>
    </row>
    <row r="4984" spans="4:16" x14ac:dyDescent="0.25">
      <c r="D4984" s="559" t="s">
        <v>867</v>
      </c>
      <c r="E4984" s="558" t="s">
        <v>2054</v>
      </c>
      <c r="F4984" s="559">
        <v>700006</v>
      </c>
      <c r="G4984" s="558" t="s">
        <v>1026</v>
      </c>
      <c r="H4984" s="564">
        <v>40015</v>
      </c>
      <c r="I4984" s="563">
        <v>4029.1</v>
      </c>
      <c r="J4984" s="563">
        <v>-585</v>
      </c>
      <c r="K4984" s="563">
        <f t="shared" si="231"/>
        <v>3444.1</v>
      </c>
      <c r="L4984" s="563">
        <f t="shared" si="232"/>
        <v>3788.51</v>
      </c>
      <c r="M4984" s="563">
        <f t="shared" si="233"/>
        <v>4432.01</v>
      </c>
      <c r="N4984" s="580"/>
      <c r="O4984" s="558"/>
      <c r="P4984" s="564"/>
    </row>
    <row r="4985" spans="4:16" x14ac:dyDescent="0.25">
      <c r="D4985" s="559" t="s">
        <v>867</v>
      </c>
      <c r="E4985" s="558" t="s">
        <v>2055</v>
      </c>
      <c r="F4985" s="559">
        <v>701175</v>
      </c>
      <c r="G4985" s="558" t="s">
        <v>1026</v>
      </c>
      <c r="H4985" s="564">
        <v>40015</v>
      </c>
      <c r="I4985" s="563">
        <v>1645.8</v>
      </c>
      <c r="J4985" s="563">
        <v>-585</v>
      </c>
      <c r="K4985" s="563">
        <f t="shared" si="231"/>
        <v>1060.8</v>
      </c>
      <c r="L4985" s="563">
        <f t="shared" si="232"/>
        <v>1166.8800000000001</v>
      </c>
      <c r="M4985" s="563">
        <f t="shared" si="233"/>
        <v>1810.38</v>
      </c>
      <c r="N4985" s="580"/>
      <c r="O4985" s="558"/>
      <c r="P4985" s="564"/>
    </row>
    <row r="4986" spans="4:16" x14ac:dyDescent="0.25">
      <c r="D4986" s="559" t="s">
        <v>867</v>
      </c>
      <c r="E4986" s="558" t="s">
        <v>3929</v>
      </c>
      <c r="F4986" s="559">
        <v>700192</v>
      </c>
      <c r="G4986" s="558" t="s">
        <v>1026</v>
      </c>
      <c r="H4986" s="564">
        <v>40015</v>
      </c>
      <c r="I4986" s="563">
        <v>2006.55</v>
      </c>
      <c r="J4986" s="563">
        <v>-585</v>
      </c>
      <c r="K4986" s="582">
        <f t="shared" si="231"/>
        <v>1421.55</v>
      </c>
      <c r="L4986" s="563">
        <f t="shared" si="232"/>
        <v>1563.7050000000002</v>
      </c>
      <c r="M4986" s="563">
        <f t="shared" si="233"/>
        <v>2207.2049999999999</v>
      </c>
      <c r="N4986" s="580"/>
    </row>
    <row r="4987" spans="4:16" x14ac:dyDescent="0.25">
      <c r="D4987" s="559" t="s">
        <v>867</v>
      </c>
      <c r="E4987" s="558" t="s">
        <v>3930</v>
      </c>
      <c r="F4987" s="559">
        <v>700082</v>
      </c>
      <c r="G4987" s="558" t="s">
        <v>1026</v>
      </c>
      <c r="H4987" s="564">
        <v>40015</v>
      </c>
      <c r="I4987" s="563">
        <v>1506.95</v>
      </c>
      <c r="J4987" s="563">
        <v>-585</v>
      </c>
      <c r="K4987" s="582">
        <f t="shared" si="231"/>
        <v>921.95</v>
      </c>
      <c r="L4987" s="563">
        <f t="shared" si="232"/>
        <v>1014.1450000000001</v>
      </c>
      <c r="M4987" s="563">
        <f t="shared" si="233"/>
        <v>1657.6450000000002</v>
      </c>
      <c r="N4987" s="580"/>
    </row>
    <row r="4988" spans="4:16" x14ac:dyDescent="0.25">
      <c r="D4988" s="559" t="s">
        <v>867</v>
      </c>
      <c r="E4988" s="558" t="s">
        <v>3931</v>
      </c>
      <c r="F4988" s="559">
        <v>701150</v>
      </c>
      <c r="G4988" s="558" t="s">
        <v>1029</v>
      </c>
      <c r="H4988" s="564">
        <v>40015</v>
      </c>
      <c r="I4988" s="563">
        <v>6197.1</v>
      </c>
      <c r="J4988" s="563">
        <v>-585</v>
      </c>
      <c r="K4988" s="582">
        <f t="shared" si="231"/>
        <v>5612.1</v>
      </c>
      <c r="L4988" s="563">
        <f t="shared" si="232"/>
        <v>6173.3100000000013</v>
      </c>
      <c r="M4988" s="563">
        <f t="shared" si="233"/>
        <v>6816.8100000000013</v>
      </c>
      <c r="N4988" s="580"/>
    </row>
    <row r="4989" spans="4:16" x14ac:dyDescent="0.25">
      <c r="D4989" s="559" t="s">
        <v>867</v>
      </c>
      <c r="E4989" s="558" t="s">
        <v>3932</v>
      </c>
      <c r="F4989" s="559">
        <v>701143</v>
      </c>
      <c r="G4989" s="558" t="s">
        <v>1029</v>
      </c>
      <c r="H4989" s="564">
        <v>40015</v>
      </c>
      <c r="I4989" s="563">
        <v>4399.2</v>
      </c>
      <c r="J4989" s="563">
        <v>-585</v>
      </c>
      <c r="K4989" s="582">
        <f t="shared" si="231"/>
        <v>3814.2</v>
      </c>
      <c r="L4989" s="563">
        <f t="shared" si="232"/>
        <v>4195.62</v>
      </c>
      <c r="M4989" s="563">
        <f t="shared" si="233"/>
        <v>4839.12</v>
      </c>
      <c r="N4989" s="580"/>
    </row>
    <row r="4990" spans="4:16" x14ac:dyDescent="0.25">
      <c r="D4990" s="559" t="s">
        <v>867</v>
      </c>
      <c r="E4990" s="558" t="s">
        <v>3933</v>
      </c>
      <c r="F4990" s="559">
        <v>700076</v>
      </c>
      <c r="G4990" s="558" t="s">
        <v>1029</v>
      </c>
      <c r="H4990" s="564">
        <v>40015</v>
      </c>
      <c r="I4990" s="563">
        <v>452.4</v>
      </c>
      <c r="J4990" s="563">
        <v>-452.4</v>
      </c>
      <c r="K4990" s="582">
        <f t="shared" si="231"/>
        <v>0</v>
      </c>
      <c r="L4990" s="563">
        <f t="shared" si="232"/>
        <v>0</v>
      </c>
      <c r="M4990" s="563">
        <f t="shared" si="233"/>
        <v>497.64000000000004</v>
      </c>
      <c r="N4990" s="580"/>
    </row>
    <row r="4991" spans="4:16" x14ac:dyDescent="0.25">
      <c r="D4991" s="559" t="s">
        <v>867</v>
      </c>
      <c r="E4991" s="558" t="s">
        <v>3934</v>
      </c>
      <c r="F4991" s="559">
        <v>701680</v>
      </c>
      <c r="G4991" s="558" t="s">
        <v>1029</v>
      </c>
      <c r="H4991" s="564">
        <v>40015</v>
      </c>
      <c r="I4991" s="563">
        <v>1234.3499999999999</v>
      </c>
      <c r="J4991" s="563">
        <v>-585</v>
      </c>
      <c r="K4991" s="582">
        <f t="shared" si="231"/>
        <v>649.34999999999991</v>
      </c>
      <c r="L4991" s="563">
        <f t="shared" si="232"/>
        <v>714.28499999999997</v>
      </c>
      <c r="M4991" s="563">
        <f t="shared" si="233"/>
        <v>1357.7850000000001</v>
      </c>
      <c r="N4991" s="580"/>
    </row>
    <row r="4992" spans="4:16" x14ac:dyDescent="0.25">
      <c r="D4992" s="559" t="s">
        <v>867</v>
      </c>
      <c r="E4992" s="558" t="s">
        <v>3935</v>
      </c>
      <c r="F4992" s="559">
        <v>700203</v>
      </c>
      <c r="G4992" s="558" t="s">
        <v>3936</v>
      </c>
      <c r="H4992" s="564">
        <v>40015</v>
      </c>
      <c r="I4992" s="563">
        <v>2722.2</v>
      </c>
      <c r="J4992" s="563">
        <v>-585</v>
      </c>
      <c r="K4992" s="582">
        <f t="shared" si="231"/>
        <v>2137.1999999999998</v>
      </c>
      <c r="L4992" s="563">
        <f t="shared" si="232"/>
        <v>2350.92</v>
      </c>
      <c r="M4992" s="563">
        <f t="shared" si="233"/>
        <v>2994.42</v>
      </c>
      <c r="N4992" s="580"/>
    </row>
    <row r="4993" spans="4:16" x14ac:dyDescent="0.25">
      <c r="D4993" s="559" t="s">
        <v>867</v>
      </c>
      <c r="E4993" s="558" t="s">
        <v>3937</v>
      </c>
      <c r="F4993" s="559">
        <v>701615</v>
      </c>
      <c r="G4993" s="558" t="s">
        <v>3936</v>
      </c>
      <c r="H4993" s="564">
        <v>40015</v>
      </c>
      <c r="I4993" s="563">
        <v>2609.1</v>
      </c>
      <c r="J4993" s="563">
        <v>-585</v>
      </c>
      <c r="K4993" s="582">
        <f t="shared" si="231"/>
        <v>2024.1</v>
      </c>
      <c r="L4993" s="563">
        <f t="shared" si="232"/>
        <v>2226.5100000000002</v>
      </c>
      <c r="M4993" s="563">
        <f t="shared" si="233"/>
        <v>2870.01</v>
      </c>
      <c r="N4993" s="580"/>
    </row>
    <row r="4994" spans="4:16" x14ac:dyDescent="0.25">
      <c r="D4994" s="559" t="s">
        <v>867</v>
      </c>
      <c r="E4994" s="558" t="s">
        <v>3938</v>
      </c>
      <c r="F4994" s="559">
        <v>701181</v>
      </c>
      <c r="G4994" s="558" t="s">
        <v>3936</v>
      </c>
      <c r="H4994" s="564">
        <v>40015</v>
      </c>
      <c r="I4994" s="563">
        <v>2219.1</v>
      </c>
      <c r="J4994" s="563">
        <v>-585</v>
      </c>
      <c r="K4994" s="582">
        <f t="shared" si="231"/>
        <v>1634.1</v>
      </c>
      <c r="L4994" s="563">
        <f t="shared" si="232"/>
        <v>1797.51</v>
      </c>
      <c r="M4994" s="563">
        <f t="shared" si="233"/>
        <v>2441.0100000000002</v>
      </c>
      <c r="N4994" s="580"/>
    </row>
    <row r="4995" spans="4:16" x14ac:dyDescent="0.25">
      <c r="D4995" s="559" t="s">
        <v>867</v>
      </c>
      <c r="E4995" s="558" t="s">
        <v>3939</v>
      </c>
      <c r="F4995" s="559">
        <v>702156</v>
      </c>
      <c r="G4995" s="558" t="s">
        <v>2057</v>
      </c>
      <c r="H4995" s="564">
        <v>40015</v>
      </c>
      <c r="I4995" s="563">
        <v>5.05</v>
      </c>
      <c r="J4995" s="563">
        <v>-5.05</v>
      </c>
      <c r="K4995" s="582">
        <f t="shared" si="231"/>
        <v>0</v>
      </c>
      <c r="L4995" s="563">
        <f t="shared" si="232"/>
        <v>0</v>
      </c>
      <c r="M4995" s="563">
        <f t="shared" si="233"/>
        <v>5.5550000000000006</v>
      </c>
      <c r="N4995" s="580"/>
    </row>
    <row r="4996" spans="4:16" x14ac:dyDescent="0.25">
      <c r="D4996" s="559" t="s">
        <v>867</v>
      </c>
      <c r="E4996" s="558" t="s">
        <v>3940</v>
      </c>
      <c r="F4996" s="559">
        <v>702156</v>
      </c>
      <c r="G4996" s="558" t="s">
        <v>2057</v>
      </c>
      <c r="H4996" s="564">
        <v>40015</v>
      </c>
      <c r="I4996" s="563">
        <v>5.85</v>
      </c>
      <c r="J4996" s="563">
        <v>-5.85</v>
      </c>
      <c r="K4996" s="582">
        <f t="shared" si="231"/>
        <v>0</v>
      </c>
      <c r="L4996" s="563">
        <f t="shared" si="232"/>
        <v>0</v>
      </c>
      <c r="M4996" s="563">
        <f t="shared" si="233"/>
        <v>6.4350000000000005</v>
      </c>
      <c r="N4996" s="580"/>
    </row>
    <row r="4997" spans="4:16" x14ac:dyDescent="0.25">
      <c r="D4997" s="559" t="s">
        <v>867</v>
      </c>
      <c r="E4997" s="558" t="s">
        <v>2056</v>
      </c>
      <c r="F4997" s="559">
        <v>702496</v>
      </c>
      <c r="G4997" s="558" t="s">
        <v>2057</v>
      </c>
      <c r="H4997" s="564">
        <v>40015</v>
      </c>
      <c r="I4997" s="563">
        <v>13.65</v>
      </c>
      <c r="J4997" s="563">
        <v>-13.65</v>
      </c>
      <c r="K4997" s="563">
        <f t="shared" si="231"/>
        <v>0</v>
      </c>
      <c r="L4997" s="563">
        <f t="shared" si="232"/>
        <v>0</v>
      </c>
      <c r="M4997" s="563">
        <f t="shared" si="233"/>
        <v>15.015000000000002</v>
      </c>
      <c r="N4997" s="580"/>
      <c r="O4997" s="558"/>
      <c r="P4997" s="564"/>
    </row>
    <row r="4998" spans="4:16" x14ac:dyDescent="0.25">
      <c r="D4998" s="559" t="s">
        <v>867</v>
      </c>
      <c r="E4998" s="558" t="s">
        <v>2058</v>
      </c>
      <c r="F4998" s="559">
        <v>702496</v>
      </c>
      <c r="G4998" s="558" t="s">
        <v>2057</v>
      </c>
      <c r="H4998" s="564">
        <v>40015</v>
      </c>
      <c r="I4998" s="563">
        <v>17.55</v>
      </c>
      <c r="J4998" s="563">
        <v>-17.55</v>
      </c>
      <c r="K4998" s="563">
        <f t="shared" si="231"/>
        <v>0</v>
      </c>
      <c r="L4998" s="563">
        <f t="shared" si="232"/>
        <v>0</v>
      </c>
      <c r="M4998" s="563">
        <f t="shared" si="233"/>
        <v>19.305000000000003</v>
      </c>
      <c r="N4998" s="580"/>
      <c r="O4998" s="558"/>
      <c r="P4998" s="564"/>
    </row>
    <row r="4999" spans="4:16" x14ac:dyDescent="0.25">
      <c r="D4999" s="559" t="s">
        <v>867</v>
      </c>
      <c r="E4999" s="558" t="s">
        <v>3941</v>
      </c>
      <c r="F4999" s="559">
        <v>701537</v>
      </c>
      <c r="G4999" s="558" t="s">
        <v>2057</v>
      </c>
      <c r="H4999" s="564">
        <v>40015</v>
      </c>
      <c r="I4999" s="563">
        <v>17.55</v>
      </c>
      <c r="J4999" s="563">
        <v>-17.55</v>
      </c>
      <c r="K4999" s="582">
        <f t="shared" si="231"/>
        <v>0</v>
      </c>
      <c r="L4999" s="563">
        <f t="shared" si="232"/>
        <v>0</v>
      </c>
      <c r="M4999" s="563">
        <f t="shared" si="233"/>
        <v>19.305000000000003</v>
      </c>
      <c r="N4999" s="580"/>
    </row>
    <row r="5000" spans="4:16" x14ac:dyDescent="0.25">
      <c r="D5000" s="559" t="s">
        <v>867</v>
      </c>
      <c r="E5000" s="558" t="s">
        <v>3942</v>
      </c>
      <c r="F5000" s="559">
        <v>700024</v>
      </c>
      <c r="G5000" s="558" t="s">
        <v>849</v>
      </c>
      <c r="H5000" s="564">
        <v>40015</v>
      </c>
      <c r="I5000" s="563">
        <v>238.7</v>
      </c>
      <c r="J5000" s="563">
        <v>-238.7</v>
      </c>
      <c r="K5000" s="582">
        <f t="shared" si="231"/>
        <v>0</v>
      </c>
      <c r="L5000" s="563">
        <f t="shared" si="232"/>
        <v>0</v>
      </c>
      <c r="M5000" s="563">
        <f t="shared" si="233"/>
        <v>262.57</v>
      </c>
      <c r="N5000" s="580"/>
    </row>
    <row r="5001" spans="4:16" x14ac:dyDescent="0.25">
      <c r="D5001" s="559" t="s">
        <v>867</v>
      </c>
      <c r="E5001" s="558" t="s">
        <v>2059</v>
      </c>
      <c r="F5001" s="559">
        <v>702103</v>
      </c>
      <c r="G5001" s="558" t="s">
        <v>849</v>
      </c>
      <c r="H5001" s="564">
        <v>40015</v>
      </c>
      <c r="I5001" s="563">
        <v>3.9</v>
      </c>
      <c r="J5001" s="563">
        <v>-3.9</v>
      </c>
      <c r="K5001" s="563">
        <f t="shared" si="231"/>
        <v>0</v>
      </c>
      <c r="L5001" s="563">
        <f t="shared" si="232"/>
        <v>0</v>
      </c>
      <c r="M5001" s="563">
        <f t="shared" si="233"/>
        <v>4.29</v>
      </c>
      <c r="N5001" s="580"/>
      <c r="O5001" s="558"/>
      <c r="P5001" s="564"/>
    </row>
    <row r="5002" spans="4:16" x14ac:dyDescent="0.25">
      <c r="D5002" s="559" t="s">
        <v>867</v>
      </c>
      <c r="E5002" s="558" t="s">
        <v>2060</v>
      </c>
      <c r="F5002" s="559">
        <v>702496</v>
      </c>
      <c r="G5002" s="558" t="s">
        <v>849</v>
      </c>
      <c r="H5002" s="564">
        <v>40015</v>
      </c>
      <c r="I5002" s="563">
        <v>4.7</v>
      </c>
      <c r="J5002" s="563">
        <v>-4.7</v>
      </c>
      <c r="K5002" s="563">
        <f t="shared" si="231"/>
        <v>0</v>
      </c>
      <c r="L5002" s="563">
        <f t="shared" si="232"/>
        <v>0</v>
      </c>
      <c r="M5002" s="563">
        <f t="shared" si="233"/>
        <v>5.1700000000000008</v>
      </c>
      <c r="N5002" s="580"/>
      <c r="O5002" s="558"/>
      <c r="P5002" s="564"/>
    </row>
    <row r="5003" spans="4:16" x14ac:dyDescent="0.25">
      <c r="D5003" s="559" t="s">
        <v>867</v>
      </c>
      <c r="E5003" s="558" t="s">
        <v>3943</v>
      </c>
      <c r="F5003" s="559">
        <v>701537</v>
      </c>
      <c r="G5003" s="558" t="s">
        <v>849</v>
      </c>
      <c r="H5003" s="564">
        <v>40015</v>
      </c>
      <c r="I5003" s="563">
        <v>4.7</v>
      </c>
      <c r="J5003" s="563">
        <v>-4.7</v>
      </c>
      <c r="K5003" s="582">
        <f t="shared" si="231"/>
        <v>0</v>
      </c>
      <c r="L5003" s="563">
        <f t="shared" si="232"/>
        <v>0</v>
      </c>
      <c r="M5003" s="563">
        <f t="shared" si="233"/>
        <v>5.1700000000000008</v>
      </c>
      <c r="N5003" s="580"/>
    </row>
    <row r="5004" spans="4:16" x14ac:dyDescent="0.25">
      <c r="D5004" s="559" t="s">
        <v>867</v>
      </c>
      <c r="E5004" s="558" t="s">
        <v>3944</v>
      </c>
      <c r="F5004" s="559">
        <v>700208</v>
      </c>
      <c r="G5004" s="558" t="s">
        <v>851</v>
      </c>
      <c r="H5004" s="564">
        <v>40015</v>
      </c>
      <c r="I5004" s="563">
        <v>220.35</v>
      </c>
      <c r="J5004" s="563">
        <v>-220.35</v>
      </c>
      <c r="K5004" s="582">
        <f t="shared" si="231"/>
        <v>0</v>
      </c>
      <c r="L5004" s="563">
        <f t="shared" si="232"/>
        <v>0</v>
      </c>
      <c r="M5004" s="563">
        <f t="shared" si="233"/>
        <v>242.38500000000002</v>
      </c>
      <c r="N5004" s="580"/>
    </row>
    <row r="5005" spans="4:16" x14ac:dyDescent="0.25">
      <c r="D5005" s="559" t="s">
        <v>867</v>
      </c>
      <c r="E5005" s="558" t="s">
        <v>2061</v>
      </c>
      <c r="F5005" s="559">
        <v>702123</v>
      </c>
      <c r="G5005" s="558" t="s">
        <v>851</v>
      </c>
      <c r="H5005" s="564">
        <v>40015</v>
      </c>
      <c r="I5005" s="563">
        <v>17.55</v>
      </c>
      <c r="J5005" s="563">
        <v>-17.55</v>
      </c>
      <c r="K5005" s="563">
        <f t="shared" si="231"/>
        <v>0</v>
      </c>
      <c r="L5005" s="563">
        <f t="shared" si="232"/>
        <v>0</v>
      </c>
      <c r="M5005" s="563">
        <f t="shared" si="233"/>
        <v>19.305000000000003</v>
      </c>
      <c r="N5005" s="580"/>
      <c r="O5005" s="558"/>
      <c r="P5005" s="564"/>
    </row>
    <row r="5006" spans="4:16" x14ac:dyDescent="0.25">
      <c r="D5006" s="559" t="s">
        <v>867</v>
      </c>
      <c r="E5006" s="558" t="s">
        <v>3945</v>
      </c>
      <c r="F5006" s="559">
        <v>700103</v>
      </c>
      <c r="G5006" s="558" t="s">
        <v>851</v>
      </c>
      <c r="H5006" s="564">
        <v>40015</v>
      </c>
      <c r="I5006" s="563">
        <v>842.4</v>
      </c>
      <c r="J5006" s="563">
        <v>-585</v>
      </c>
      <c r="K5006" s="582">
        <f t="shared" si="231"/>
        <v>257.39999999999998</v>
      </c>
      <c r="L5006" s="563">
        <f t="shared" si="232"/>
        <v>283.14</v>
      </c>
      <c r="M5006" s="563">
        <f t="shared" si="233"/>
        <v>926.6400000000001</v>
      </c>
      <c r="N5006" s="580"/>
    </row>
    <row r="5007" spans="4:16" x14ac:dyDescent="0.25">
      <c r="D5007" s="559" t="s">
        <v>867</v>
      </c>
      <c r="E5007" s="558" t="s">
        <v>2062</v>
      </c>
      <c r="F5007" s="559">
        <v>702417</v>
      </c>
      <c r="G5007" s="558" t="s">
        <v>2063</v>
      </c>
      <c r="H5007" s="564">
        <v>40015</v>
      </c>
      <c r="I5007" s="563">
        <v>17.55</v>
      </c>
      <c r="J5007" s="563">
        <v>-17.55</v>
      </c>
      <c r="K5007" s="563">
        <f t="shared" si="231"/>
        <v>0</v>
      </c>
      <c r="L5007" s="563">
        <f t="shared" si="232"/>
        <v>0</v>
      </c>
      <c r="M5007" s="563">
        <f t="shared" si="233"/>
        <v>19.305000000000003</v>
      </c>
      <c r="N5007" s="580"/>
      <c r="O5007" s="558"/>
      <c r="P5007" s="564"/>
    </row>
    <row r="5008" spans="4:16" x14ac:dyDescent="0.25">
      <c r="D5008" s="559" t="s">
        <v>867</v>
      </c>
      <c r="E5008" s="558" t="s">
        <v>3946</v>
      </c>
      <c r="F5008" s="559">
        <v>700050</v>
      </c>
      <c r="G5008" s="558" t="s">
        <v>2063</v>
      </c>
      <c r="H5008" s="564">
        <v>40015</v>
      </c>
      <c r="I5008" s="563">
        <v>8.6</v>
      </c>
      <c r="J5008" s="563">
        <v>-8.6</v>
      </c>
      <c r="K5008" s="582">
        <f t="shared" si="231"/>
        <v>0</v>
      </c>
      <c r="L5008" s="563">
        <f t="shared" si="232"/>
        <v>0</v>
      </c>
      <c r="M5008" s="563">
        <f t="shared" si="233"/>
        <v>9.4600000000000009</v>
      </c>
      <c r="N5008" s="580"/>
    </row>
    <row r="5009" spans="4:16" x14ac:dyDescent="0.25">
      <c r="D5009" s="559" t="s">
        <v>867</v>
      </c>
      <c r="E5009" s="558" t="s">
        <v>2064</v>
      </c>
      <c r="F5009" s="559">
        <v>702349</v>
      </c>
      <c r="G5009" s="558" t="s">
        <v>2063</v>
      </c>
      <c r="H5009" s="564">
        <v>40015</v>
      </c>
      <c r="I5009" s="563">
        <v>801.45</v>
      </c>
      <c r="J5009" s="563">
        <v>-585</v>
      </c>
      <c r="K5009" s="563">
        <f t="shared" si="231"/>
        <v>216.45000000000005</v>
      </c>
      <c r="L5009" s="563">
        <f t="shared" si="232"/>
        <v>238.09500000000006</v>
      </c>
      <c r="M5009" s="563">
        <f t="shared" si="233"/>
        <v>881.59500000000014</v>
      </c>
      <c r="N5009" s="580"/>
      <c r="O5009" s="558"/>
      <c r="P5009" s="564"/>
    </row>
    <row r="5010" spans="4:16" x14ac:dyDescent="0.25">
      <c r="D5010" s="559" t="s">
        <v>867</v>
      </c>
      <c r="E5010" s="558" t="s">
        <v>2065</v>
      </c>
      <c r="F5010" s="559">
        <v>701596</v>
      </c>
      <c r="G5010" s="558" t="s">
        <v>2063</v>
      </c>
      <c r="H5010" s="564">
        <v>40015</v>
      </c>
      <c r="I5010" s="563">
        <v>1226.55</v>
      </c>
      <c r="J5010" s="563">
        <v>-585</v>
      </c>
      <c r="K5010" s="563">
        <f t="shared" si="231"/>
        <v>641.54999999999995</v>
      </c>
      <c r="L5010" s="563">
        <f t="shared" si="232"/>
        <v>705.70500000000004</v>
      </c>
      <c r="M5010" s="563">
        <f t="shared" si="233"/>
        <v>1349.2050000000002</v>
      </c>
      <c r="N5010" s="580"/>
      <c r="O5010" s="558"/>
      <c r="P5010" s="564"/>
    </row>
    <row r="5011" spans="4:16" x14ac:dyDescent="0.25">
      <c r="D5011" s="559" t="s">
        <v>867</v>
      </c>
      <c r="E5011" s="558" t="s">
        <v>2066</v>
      </c>
      <c r="F5011" s="559">
        <v>701595</v>
      </c>
      <c r="G5011" s="558" t="s">
        <v>2063</v>
      </c>
      <c r="H5011" s="564">
        <v>40015</v>
      </c>
      <c r="I5011" s="563">
        <v>1460.55</v>
      </c>
      <c r="J5011" s="563">
        <v>-585</v>
      </c>
      <c r="K5011" s="563">
        <f t="shared" si="231"/>
        <v>875.55</v>
      </c>
      <c r="L5011" s="563">
        <f t="shared" si="232"/>
        <v>963.10500000000002</v>
      </c>
      <c r="M5011" s="563">
        <f t="shared" si="233"/>
        <v>1606.605</v>
      </c>
      <c r="N5011" s="580"/>
      <c r="O5011" s="558"/>
      <c r="P5011" s="564"/>
    </row>
    <row r="5012" spans="4:16" x14ac:dyDescent="0.25">
      <c r="D5012" s="559" t="s">
        <v>867</v>
      </c>
      <c r="E5012" s="558" t="s">
        <v>2067</v>
      </c>
      <c r="F5012" s="559">
        <v>701133</v>
      </c>
      <c r="G5012" s="558" t="s">
        <v>2068</v>
      </c>
      <c r="H5012" s="564">
        <v>40015</v>
      </c>
      <c r="I5012" s="563">
        <v>2786.55</v>
      </c>
      <c r="J5012" s="563">
        <v>-585</v>
      </c>
      <c r="K5012" s="563">
        <f t="shared" si="231"/>
        <v>2201.5500000000002</v>
      </c>
      <c r="L5012" s="563">
        <f t="shared" si="232"/>
        <v>2421.7050000000004</v>
      </c>
      <c r="M5012" s="563">
        <f t="shared" si="233"/>
        <v>3065.2050000000004</v>
      </c>
      <c r="N5012" s="580"/>
      <c r="O5012" s="558"/>
      <c r="P5012" s="564"/>
    </row>
    <row r="5013" spans="4:16" x14ac:dyDescent="0.25">
      <c r="D5013" s="559" t="s">
        <v>867</v>
      </c>
      <c r="E5013" s="558" t="s">
        <v>3947</v>
      </c>
      <c r="F5013" s="559">
        <v>701689</v>
      </c>
      <c r="G5013" s="558" t="s">
        <v>2068</v>
      </c>
      <c r="H5013" s="564">
        <v>40015</v>
      </c>
      <c r="I5013" s="563">
        <v>1811.55</v>
      </c>
      <c r="J5013" s="563">
        <v>-585</v>
      </c>
      <c r="K5013" s="582">
        <f t="shared" si="231"/>
        <v>1226.55</v>
      </c>
      <c r="L5013" s="563">
        <f t="shared" si="232"/>
        <v>1349.2050000000002</v>
      </c>
      <c r="M5013" s="563">
        <f t="shared" si="233"/>
        <v>1992.7050000000002</v>
      </c>
      <c r="N5013" s="580"/>
    </row>
    <row r="5014" spans="4:16" x14ac:dyDescent="0.25">
      <c r="D5014" s="559" t="s">
        <v>867</v>
      </c>
      <c r="E5014" s="558" t="s">
        <v>3948</v>
      </c>
      <c r="F5014" s="559">
        <v>700113</v>
      </c>
      <c r="G5014" s="558" t="s">
        <v>2068</v>
      </c>
      <c r="H5014" s="564">
        <v>40015</v>
      </c>
      <c r="I5014" s="563">
        <v>3568.5</v>
      </c>
      <c r="J5014" s="563">
        <v>-585</v>
      </c>
      <c r="K5014" s="582">
        <f t="shared" si="231"/>
        <v>2983.5</v>
      </c>
      <c r="L5014" s="563">
        <f t="shared" si="232"/>
        <v>3281.8500000000004</v>
      </c>
      <c r="M5014" s="563">
        <f t="shared" si="233"/>
        <v>3925.3500000000004</v>
      </c>
      <c r="N5014" s="580"/>
    </row>
    <row r="5015" spans="4:16" x14ac:dyDescent="0.25">
      <c r="D5015" s="559" t="s">
        <v>867</v>
      </c>
      <c r="E5015" s="558" t="s">
        <v>3949</v>
      </c>
      <c r="F5015" s="559">
        <v>702277</v>
      </c>
      <c r="G5015" s="558" t="s">
        <v>2068</v>
      </c>
      <c r="H5015" s="564">
        <v>40015</v>
      </c>
      <c r="I5015" s="563">
        <v>1560</v>
      </c>
      <c r="J5015" s="563">
        <v>-585</v>
      </c>
      <c r="K5015" s="582">
        <f t="shared" si="231"/>
        <v>975</v>
      </c>
      <c r="L5015" s="563">
        <f t="shared" si="232"/>
        <v>1072.5</v>
      </c>
      <c r="M5015" s="563">
        <f t="shared" si="233"/>
        <v>1716.0000000000002</v>
      </c>
      <c r="N5015" s="580"/>
    </row>
    <row r="5016" spans="4:16" x14ac:dyDescent="0.25">
      <c r="D5016" s="559" t="s">
        <v>867</v>
      </c>
      <c r="E5016" s="558" t="s">
        <v>3950</v>
      </c>
      <c r="F5016" s="559">
        <v>700116</v>
      </c>
      <c r="G5016" s="558" t="s">
        <v>2068</v>
      </c>
      <c r="H5016" s="564">
        <v>40015</v>
      </c>
      <c r="I5016" s="563">
        <v>17.55</v>
      </c>
      <c r="J5016" s="563">
        <v>-17.55</v>
      </c>
      <c r="K5016" s="582">
        <f t="shared" si="231"/>
        <v>0</v>
      </c>
      <c r="L5016" s="563">
        <f t="shared" si="232"/>
        <v>0</v>
      </c>
      <c r="M5016" s="563">
        <f t="shared" si="233"/>
        <v>19.305000000000003</v>
      </c>
      <c r="N5016" s="580"/>
    </row>
    <row r="5017" spans="4:16" x14ac:dyDescent="0.25">
      <c r="D5017" s="559" t="s">
        <v>867</v>
      </c>
      <c r="E5017" s="558" t="s">
        <v>2069</v>
      </c>
      <c r="F5017" s="559">
        <v>701134</v>
      </c>
      <c r="G5017" s="558" t="s">
        <v>2070</v>
      </c>
      <c r="H5017" s="564">
        <v>40015</v>
      </c>
      <c r="I5017" s="563">
        <v>2601.3000000000002</v>
      </c>
      <c r="J5017" s="563">
        <v>-585</v>
      </c>
      <c r="K5017" s="563">
        <f t="shared" si="231"/>
        <v>2016.3000000000002</v>
      </c>
      <c r="L5017" s="563">
        <f t="shared" si="232"/>
        <v>2217.9300000000003</v>
      </c>
      <c r="M5017" s="563">
        <f t="shared" si="233"/>
        <v>2861.4300000000003</v>
      </c>
      <c r="N5017" s="580"/>
      <c r="O5017" s="558"/>
      <c r="P5017" s="564"/>
    </row>
    <row r="5018" spans="4:16" x14ac:dyDescent="0.25">
      <c r="D5018" s="559" t="s">
        <v>867</v>
      </c>
      <c r="E5018" s="558" t="s">
        <v>2071</v>
      </c>
      <c r="F5018" s="559">
        <v>701135</v>
      </c>
      <c r="G5018" s="558" t="s">
        <v>2070</v>
      </c>
      <c r="H5018" s="564">
        <v>40015</v>
      </c>
      <c r="I5018" s="563">
        <v>2398.5</v>
      </c>
      <c r="J5018" s="563">
        <v>-585</v>
      </c>
      <c r="K5018" s="563">
        <f t="shared" si="231"/>
        <v>1813.5</v>
      </c>
      <c r="L5018" s="563">
        <f t="shared" si="232"/>
        <v>1994.8500000000001</v>
      </c>
      <c r="M5018" s="563">
        <f t="shared" si="233"/>
        <v>2638.3500000000004</v>
      </c>
      <c r="N5018" s="580"/>
      <c r="O5018" s="558"/>
      <c r="P5018" s="564"/>
    </row>
    <row r="5019" spans="4:16" x14ac:dyDescent="0.25">
      <c r="D5019" s="559" t="s">
        <v>867</v>
      </c>
      <c r="E5019" s="558" t="s">
        <v>3951</v>
      </c>
      <c r="F5019" s="559">
        <v>700116</v>
      </c>
      <c r="G5019" s="558" t="s">
        <v>2070</v>
      </c>
      <c r="H5019" s="564">
        <v>40015</v>
      </c>
      <c r="I5019" s="563">
        <v>89.7</v>
      </c>
      <c r="J5019" s="563">
        <v>-89.7</v>
      </c>
      <c r="K5019" s="582">
        <f t="shared" si="231"/>
        <v>0</v>
      </c>
      <c r="L5019" s="563">
        <f t="shared" si="232"/>
        <v>0</v>
      </c>
      <c r="M5019" s="563">
        <f t="shared" si="233"/>
        <v>98.670000000000016</v>
      </c>
      <c r="N5019" s="580"/>
    </row>
    <row r="5020" spans="4:16" x14ac:dyDescent="0.25">
      <c r="D5020" s="559" t="s">
        <v>867</v>
      </c>
      <c r="E5020" s="558" t="s">
        <v>3952</v>
      </c>
      <c r="F5020" s="559">
        <v>700124</v>
      </c>
      <c r="G5020" s="558" t="s">
        <v>2070</v>
      </c>
      <c r="H5020" s="564">
        <v>40015</v>
      </c>
      <c r="I5020" s="563">
        <v>1577.55</v>
      </c>
      <c r="J5020" s="563">
        <v>-585</v>
      </c>
      <c r="K5020" s="582">
        <f t="shared" si="231"/>
        <v>992.55</v>
      </c>
      <c r="L5020" s="563">
        <f t="shared" si="232"/>
        <v>1091.8050000000001</v>
      </c>
      <c r="M5020" s="563">
        <f t="shared" si="233"/>
        <v>1735.3050000000001</v>
      </c>
      <c r="N5020" s="580"/>
    </row>
    <row r="5021" spans="4:16" x14ac:dyDescent="0.25">
      <c r="D5021" s="559" t="s">
        <v>867</v>
      </c>
      <c r="E5021" s="558" t="s">
        <v>3953</v>
      </c>
      <c r="F5021" s="559">
        <v>700125</v>
      </c>
      <c r="G5021" s="558" t="s">
        <v>2070</v>
      </c>
      <c r="H5021" s="564">
        <v>40015</v>
      </c>
      <c r="I5021" s="563">
        <v>1232.4000000000001</v>
      </c>
      <c r="J5021" s="563">
        <v>-585</v>
      </c>
      <c r="K5021" s="582">
        <f t="shared" si="231"/>
        <v>647.40000000000009</v>
      </c>
      <c r="L5021" s="563">
        <f t="shared" si="232"/>
        <v>712.14000000000021</v>
      </c>
      <c r="M5021" s="563">
        <f t="shared" si="233"/>
        <v>1355.64</v>
      </c>
      <c r="N5021" s="580"/>
    </row>
    <row r="5022" spans="4:16" x14ac:dyDescent="0.25">
      <c r="D5022" s="559" t="s">
        <v>867</v>
      </c>
      <c r="E5022" s="558" t="s">
        <v>3954</v>
      </c>
      <c r="F5022" s="559">
        <v>700129</v>
      </c>
      <c r="G5022" s="558" t="s">
        <v>2073</v>
      </c>
      <c r="H5022" s="564">
        <v>40015</v>
      </c>
      <c r="I5022" s="563">
        <v>2006.55</v>
      </c>
      <c r="J5022" s="563">
        <v>-585</v>
      </c>
      <c r="K5022" s="582">
        <f t="shared" si="231"/>
        <v>1421.55</v>
      </c>
      <c r="L5022" s="563">
        <f t="shared" si="232"/>
        <v>1563.7050000000002</v>
      </c>
      <c r="M5022" s="563">
        <f t="shared" si="233"/>
        <v>2207.2049999999999</v>
      </c>
      <c r="N5022" s="580"/>
    </row>
    <row r="5023" spans="4:16" x14ac:dyDescent="0.25">
      <c r="D5023" s="559" t="s">
        <v>867</v>
      </c>
      <c r="E5023" s="558" t="s">
        <v>3955</v>
      </c>
      <c r="F5023" s="559">
        <v>702408</v>
      </c>
      <c r="G5023" s="558" t="s">
        <v>2073</v>
      </c>
      <c r="H5023" s="564">
        <v>40015</v>
      </c>
      <c r="I5023" s="563">
        <v>2630.55</v>
      </c>
      <c r="J5023" s="563">
        <v>-585</v>
      </c>
      <c r="K5023" s="582">
        <f t="shared" si="231"/>
        <v>2045.5500000000002</v>
      </c>
      <c r="L5023" s="563">
        <f t="shared" si="232"/>
        <v>2250.1050000000005</v>
      </c>
      <c r="M5023" s="563">
        <f t="shared" si="233"/>
        <v>2893.6050000000005</v>
      </c>
      <c r="N5023" s="580"/>
    </row>
    <row r="5024" spans="4:16" x14ac:dyDescent="0.25">
      <c r="D5024" s="559" t="s">
        <v>867</v>
      </c>
      <c r="E5024" s="558" t="s">
        <v>2072</v>
      </c>
      <c r="F5024" s="559">
        <v>701731</v>
      </c>
      <c r="G5024" s="558" t="s">
        <v>2073</v>
      </c>
      <c r="H5024" s="564">
        <v>40015</v>
      </c>
      <c r="I5024" s="563">
        <v>1733.55</v>
      </c>
      <c r="J5024" s="563">
        <v>-585</v>
      </c>
      <c r="K5024" s="563">
        <f t="shared" si="231"/>
        <v>1148.55</v>
      </c>
      <c r="L5024" s="563">
        <f t="shared" si="232"/>
        <v>1263.405</v>
      </c>
      <c r="M5024" s="563">
        <f t="shared" si="233"/>
        <v>1906.9050000000002</v>
      </c>
      <c r="N5024" s="580"/>
      <c r="O5024" s="558"/>
      <c r="P5024" s="564"/>
    </row>
    <row r="5025" spans="4:16" x14ac:dyDescent="0.25">
      <c r="D5025" s="559" t="s">
        <v>867</v>
      </c>
      <c r="E5025" s="558" t="s">
        <v>3956</v>
      </c>
      <c r="F5025" s="559">
        <v>701591</v>
      </c>
      <c r="G5025" s="558" t="s">
        <v>2073</v>
      </c>
      <c r="H5025" s="564">
        <v>40015</v>
      </c>
      <c r="I5025" s="563">
        <v>1889.55</v>
      </c>
      <c r="J5025" s="563">
        <v>-585</v>
      </c>
      <c r="K5025" s="582">
        <f t="shared" si="231"/>
        <v>1304.55</v>
      </c>
      <c r="L5025" s="563">
        <f t="shared" si="232"/>
        <v>1435.0050000000001</v>
      </c>
      <c r="M5025" s="563">
        <f t="shared" si="233"/>
        <v>2078.5050000000001</v>
      </c>
      <c r="N5025" s="580"/>
    </row>
    <row r="5026" spans="4:16" x14ac:dyDescent="0.25">
      <c r="D5026" s="559" t="s">
        <v>867</v>
      </c>
      <c r="E5026" s="558" t="s">
        <v>3957</v>
      </c>
      <c r="F5026" s="559">
        <v>700042</v>
      </c>
      <c r="G5026" s="558" t="s">
        <v>2073</v>
      </c>
      <c r="H5026" s="564">
        <v>40015</v>
      </c>
      <c r="I5026" s="563">
        <v>142.35</v>
      </c>
      <c r="J5026" s="563">
        <v>-142.35</v>
      </c>
      <c r="K5026" s="582">
        <f t="shared" si="231"/>
        <v>0</v>
      </c>
      <c r="L5026" s="563">
        <f t="shared" si="232"/>
        <v>0</v>
      </c>
      <c r="M5026" s="563">
        <f t="shared" si="233"/>
        <v>156.58500000000001</v>
      </c>
      <c r="N5026" s="580"/>
    </row>
    <row r="5027" spans="4:16" x14ac:dyDescent="0.25">
      <c r="D5027" s="559" t="s">
        <v>867</v>
      </c>
      <c r="E5027" s="558" t="s">
        <v>3958</v>
      </c>
      <c r="F5027" s="559">
        <v>700147</v>
      </c>
      <c r="G5027" s="558" t="s">
        <v>3959</v>
      </c>
      <c r="H5027" s="564">
        <v>40015</v>
      </c>
      <c r="I5027" s="563">
        <v>1078.3499999999999</v>
      </c>
      <c r="J5027" s="563">
        <v>-585</v>
      </c>
      <c r="K5027" s="582">
        <f t="shared" si="231"/>
        <v>493.34999999999991</v>
      </c>
      <c r="L5027" s="563">
        <f t="shared" si="232"/>
        <v>542.68499999999995</v>
      </c>
      <c r="M5027" s="563">
        <f t="shared" si="233"/>
        <v>1186.1849999999999</v>
      </c>
      <c r="N5027" s="580"/>
    </row>
    <row r="5028" spans="4:16" x14ac:dyDescent="0.25">
      <c r="D5028" s="559" t="s">
        <v>867</v>
      </c>
      <c r="E5028" s="558" t="s">
        <v>3960</v>
      </c>
      <c r="F5028" s="559">
        <v>700149</v>
      </c>
      <c r="G5028" s="558" t="s">
        <v>3959</v>
      </c>
      <c r="H5028" s="564">
        <v>40015</v>
      </c>
      <c r="I5028" s="563">
        <v>961.35</v>
      </c>
      <c r="J5028" s="563">
        <v>-585</v>
      </c>
      <c r="K5028" s="582">
        <f t="shared" si="231"/>
        <v>376.35</v>
      </c>
      <c r="L5028" s="563">
        <f t="shared" si="232"/>
        <v>413.98500000000007</v>
      </c>
      <c r="M5028" s="563">
        <f t="shared" si="233"/>
        <v>1057.4850000000001</v>
      </c>
      <c r="N5028" s="580"/>
    </row>
    <row r="5029" spans="4:16" x14ac:dyDescent="0.25">
      <c r="D5029" s="559" t="s">
        <v>867</v>
      </c>
      <c r="E5029" s="558" t="s">
        <v>3961</v>
      </c>
      <c r="F5029" s="559">
        <v>702101</v>
      </c>
      <c r="G5029" s="558" t="s">
        <v>3959</v>
      </c>
      <c r="H5029" s="564">
        <v>40015</v>
      </c>
      <c r="I5029" s="563">
        <v>1351.35</v>
      </c>
      <c r="J5029" s="563">
        <v>-585</v>
      </c>
      <c r="K5029" s="582">
        <f t="shared" si="231"/>
        <v>766.34999999999991</v>
      </c>
      <c r="L5029" s="563">
        <f t="shared" si="232"/>
        <v>842.98500000000001</v>
      </c>
      <c r="M5029" s="563">
        <f t="shared" si="233"/>
        <v>1486.4850000000001</v>
      </c>
      <c r="N5029" s="580"/>
    </row>
    <row r="5030" spans="4:16" x14ac:dyDescent="0.25">
      <c r="D5030" s="559" t="s">
        <v>867</v>
      </c>
      <c r="E5030" s="558" t="s">
        <v>3962</v>
      </c>
      <c r="F5030" s="559">
        <v>701150</v>
      </c>
      <c r="G5030" s="558" t="s">
        <v>3959</v>
      </c>
      <c r="H5030" s="564">
        <v>40015</v>
      </c>
      <c r="I5030" s="563">
        <v>25.35</v>
      </c>
      <c r="J5030" s="563">
        <v>-25.35</v>
      </c>
      <c r="K5030" s="582">
        <f t="shared" si="231"/>
        <v>0</v>
      </c>
      <c r="L5030" s="563">
        <f t="shared" si="232"/>
        <v>0</v>
      </c>
      <c r="M5030" s="563">
        <f t="shared" si="233"/>
        <v>27.885000000000005</v>
      </c>
      <c r="N5030" s="580"/>
    </row>
    <row r="5031" spans="4:16" x14ac:dyDescent="0.25">
      <c r="D5031" s="559" t="s">
        <v>867</v>
      </c>
      <c r="E5031" s="558" t="s">
        <v>3963</v>
      </c>
      <c r="F5031" s="559">
        <v>700183</v>
      </c>
      <c r="G5031" s="558" t="s">
        <v>3959</v>
      </c>
      <c r="H5031" s="564">
        <v>40015</v>
      </c>
      <c r="I5031" s="563">
        <v>15.6</v>
      </c>
      <c r="J5031" s="563">
        <v>-15.6</v>
      </c>
      <c r="K5031" s="582">
        <f t="shared" si="231"/>
        <v>0</v>
      </c>
      <c r="L5031" s="563">
        <f t="shared" si="232"/>
        <v>0</v>
      </c>
      <c r="M5031" s="563">
        <f t="shared" si="233"/>
        <v>17.16</v>
      </c>
      <c r="N5031" s="580"/>
    </row>
    <row r="5032" spans="4:16" x14ac:dyDescent="0.25">
      <c r="D5032" s="559" t="s">
        <v>867</v>
      </c>
      <c r="E5032" s="558" t="s">
        <v>3964</v>
      </c>
      <c r="F5032" s="559">
        <v>700215</v>
      </c>
      <c r="G5032" s="558" t="s">
        <v>854</v>
      </c>
      <c r="H5032" s="564">
        <v>40015</v>
      </c>
      <c r="I5032" s="563">
        <v>103.35</v>
      </c>
      <c r="J5032" s="563">
        <v>-103.35</v>
      </c>
      <c r="K5032" s="582">
        <f t="shared" si="231"/>
        <v>0</v>
      </c>
      <c r="L5032" s="563">
        <f t="shared" si="232"/>
        <v>0</v>
      </c>
      <c r="M5032" s="563">
        <f t="shared" si="233"/>
        <v>113.685</v>
      </c>
      <c r="N5032" s="580"/>
    </row>
    <row r="5033" spans="4:16" x14ac:dyDescent="0.25">
      <c r="D5033" s="559" t="s">
        <v>867</v>
      </c>
      <c r="E5033" s="558" t="s">
        <v>3965</v>
      </c>
      <c r="F5033" s="559">
        <v>700218</v>
      </c>
      <c r="G5033" s="558" t="s">
        <v>854</v>
      </c>
      <c r="H5033" s="564">
        <v>40015</v>
      </c>
      <c r="I5033" s="563">
        <v>688.35</v>
      </c>
      <c r="J5033" s="563">
        <v>-585</v>
      </c>
      <c r="K5033" s="582">
        <f>+I5033+J5033</f>
        <v>103.35000000000002</v>
      </c>
      <c r="L5033" s="563">
        <f>+K5033*1.1</f>
        <v>113.68500000000003</v>
      </c>
      <c r="M5033" s="563">
        <f t="shared" si="233"/>
        <v>757.18500000000006</v>
      </c>
      <c r="N5033" s="580"/>
    </row>
    <row r="5034" spans="4:16" x14ac:dyDescent="0.25">
      <c r="D5034" s="559" t="s">
        <v>867</v>
      </c>
      <c r="E5034" s="558" t="s">
        <v>3966</v>
      </c>
      <c r="F5034" s="559">
        <v>701865</v>
      </c>
      <c r="G5034" s="558" t="s">
        <v>857</v>
      </c>
      <c r="H5034" s="564">
        <v>40015</v>
      </c>
      <c r="I5034" s="563">
        <v>2677.35</v>
      </c>
      <c r="J5034" s="563">
        <v>-585</v>
      </c>
      <c r="K5034" s="582">
        <f>+I5034+J5034</f>
        <v>2092.35</v>
      </c>
      <c r="L5034" s="563">
        <f>+K5034*1.1</f>
        <v>2301.585</v>
      </c>
      <c r="M5034" s="563">
        <f t="shared" si="233"/>
        <v>2945.085</v>
      </c>
      <c r="N5034" s="580"/>
    </row>
    <row r="5035" spans="4:16" x14ac:dyDescent="0.25">
      <c r="D5035" s="559" t="s">
        <v>867</v>
      </c>
      <c r="E5035" s="558" t="s">
        <v>3967</v>
      </c>
      <c r="F5035" s="559">
        <v>700163</v>
      </c>
      <c r="G5035" s="558" t="s">
        <v>857</v>
      </c>
      <c r="H5035" s="564">
        <v>40015</v>
      </c>
      <c r="I5035" s="563">
        <v>2755.35</v>
      </c>
      <c r="J5035" s="563">
        <v>-585</v>
      </c>
      <c r="K5035" s="582">
        <f>+I5035+J5035</f>
        <v>2170.35</v>
      </c>
      <c r="L5035" s="563">
        <f>+K5035*1.1</f>
        <v>2387.3850000000002</v>
      </c>
      <c r="M5035" s="563">
        <f t="shared" si="233"/>
        <v>3030.8850000000002</v>
      </c>
      <c r="N5035" s="580"/>
    </row>
    <row r="5036" spans="4:16" x14ac:dyDescent="0.25">
      <c r="D5036" s="559" t="s">
        <v>867</v>
      </c>
      <c r="E5036" s="558" t="s">
        <v>2074</v>
      </c>
      <c r="F5036" s="559">
        <v>702159</v>
      </c>
      <c r="G5036" s="558" t="s">
        <v>857</v>
      </c>
      <c r="H5036" s="564">
        <v>40015</v>
      </c>
      <c r="I5036" s="563">
        <v>2646.15</v>
      </c>
      <c r="J5036" s="563">
        <v>-585</v>
      </c>
      <c r="K5036" s="563">
        <f>+I5036+J5036</f>
        <v>2061.15</v>
      </c>
      <c r="L5036" s="563">
        <f>+K5036*1.1</f>
        <v>2267.2650000000003</v>
      </c>
      <c r="M5036" s="563">
        <f t="shared" si="233"/>
        <v>2910.7650000000003</v>
      </c>
      <c r="N5036" s="580"/>
      <c r="O5036" s="558"/>
      <c r="P5036" s="564"/>
    </row>
    <row r="5037" spans="4:16" x14ac:dyDescent="0.25">
      <c r="G5037" s="558">
        <f>ROWS(G361:G5036)</f>
        <v>4676</v>
      </c>
      <c r="I5037" s="563">
        <f>SUM(I361:I5036)</f>
        <v>2765725.8500003074</v>
      </c>
      <c r="J5037" s="563">
        <f>SUM(J361:J5036)</f>
        <v>-1450323.5000000247</v>
      </c>
      <c r="K5037" s="563">
        <f>SUM(K361:K5036)</f>
        <v>1315402.3500000145</v>
      </c>
      <c r="L5037" s="563">
        <f>SUM(L361:L5036)</f>
        <v>1446942.5850000193</v>
      </c>
      <c r="M5037" s="563">
        <f>SUM(M361:M5036)</f>
        <v>3042298.4349999679</v>
      </c>
      <c r="N5037" s="562">
        <f>+M5037-L5037</f>
        <v>1595355.8499999486</v>
      </c>
      <c r="O5037" s="665" t="s">
        <v>1084</v>
      </c>
    </row>
    <row r="5038" spans="4:16" x14ac:dyDescent="0.25">
      <c r="L5038" s="559">
        <f>+L5037*1.06</f>
        <v>1533759.1401000204</v>
      </c>
      <c r="M5038" s="559">
        <f>+M5037*1.06</f>
        <v>3224836.3410999663</v>
      </c>
      <c r="N5038" s="562">
        <f>+M5038-L5038</f>
        <v>1691077.2009999459</v>
      </c>
      <c r="O5038" s="665" t="s">
        <v>1083</v>
      </c>
    </row>
    <row r="5039" spans="4:16" x14ac:dyDescent="0.25">
      <c r="L5039" s="559">
        <f>+L5038*1.06</f>
        <v>1625784.6885060219</v>
      </c>
      <c r="M5039" s="559">
        <f>+M5038*1.06</f>
        <v>3418326.5215659644</v>
      </c>
      <c r="N5039" s="562">
        <f>+M5039-L5039</f>
        <v>1792541.8330599426</v>
      </c>
      <c r="O5039" s="665" t="s">
        <v>1085</v>
      </c>
    </row>
    <row r="5040" spans="4:16" x14ac:dyDescent="0.25">
      <c r="D5040" s="559" t="s">
        <v>3968</v>
      </c>
    </row>
    <row r="5041" spans="4:16" x14ac:dyDescent="0.25">
      <c r="D5041" s="559" t="s">
        <v>867</v>
      </c>
      <c r="E5041" s="558" t="s">
        <v>773</v>
      </c>
      <c r="F5041" s="559">
        <v>502195</v>
      </c>
      <c r="G5041" s="558" t="s">
        <v>774</v>
      </c>
      <c r="H5041" s="564">
        <v>40015</v>
      </c>
      <c r="I5041" s="563">
        <v>152604</v>
      </c>
      <c r="J5041" s="563">
        <v>0</v>
      </c>
      <c r="K5041" s="563">
        <f t="shared" ref="K5041:K5056" si="234">+I5041-J5041</f>
        <v>152604</v>
      </c>
      <c r="M5041" s="563">
        <f>+K5041*1.1</f>
        <v>167864.40000000002</v>
      </c>
      <c r="P5041" s="559" t="s">
        <v>3969</v>
      </c>
    </row>
    <row r="5042" spans="4:16" x14ac:dyDescent="0.25">
      <c r="D5042" s="559" t="s">
        <v>867</v>
      </c>
      <c r="E5042" s="558" t="s">
        <v>776</v>
      </c>
      <c r="F5042" s="559">
        <v>502182</v>
      </c>
      <c r="G5042" s="558" t="s">
        <v>777</v>
      </c>
      <c r="H5042" s="564">
        <v>40015</v>
      </c>
      <c r="I5042" s="563">
        <v>162216</v>
      </c>
      <c r="J5042" s="563">
        <v>0</v>
      </c>
      <c r="K5042" s="563">
        <f t="shared" si="234"/>
        <v>162216</v>
      </c>
      <c r="M5042" s="563">
        <f t="shared" ref="M5042:M5056" si="235">+K5042*1.1</f>
        <v>178437.6</v>
      </c>
      <c r="P5042" s="559" t="s">
        <v>3969</v>
      </c>
    </row>
    <row r="5043" spans="4:16" x14ac:dyDescent="0.25">
      <c r="D5043" s="559" t="s">
        <v>867</v>
      </c>
      <c r="E5043" s="558" t="s">
        <v>787</v>
      </c>
      <c r="F5043" s="559">
        <v>502195</v>
      </c>
      <c r="G5043" s="558" t="s">
        <v>785</v>
      </c>
      <c r="H5043" s="564">
        <v>40015</v>
      </c>
      <c r="I5043" s="563">
        <v>76572</v>
      </c>
      <c r="J5043" s="563">
        <v>0</v>
      </c>
      <c r="K5043" s="563">
        <f t="shared" si="234"/>
        <v>76572</v>
      </c>
      <c r="M5043" s="563">
        <f t="shared" si="235"/>
        <v>84229.200000000012</v>
      </c>
      <c r="P5043" s="559" t="s">
        <v>3969</v>
      </c>
    </row>
    <row r="5044" spans="4:16" x14ac:dyDescent="0.25">
      <c r="D5044" s="559" t="s">
        <v>867</v>
      </c>
      <c r="E5044" s="558" t="s">
        <v>795</v>
      </c>
      <c r="F5044" s="559">
        <v>500034</v>
      </c>
      <c r="G5044" s="558" t="s">
        <v>796</v>
      </c>
      <c r="H5044" s="564">
        <v>40015</v>
      </c>
      <c r="I5044" s="563">
        <v>68.400000000000006</v>
      </c>
      <c r="J5044" s="563">
        <v>0</v>
      </c>
      <c r="K5044" s="563">
        <f t="shared" si="234"/>
        <v>68.400000000000006</v>
      </c>
      <c r="M5044" s="563">
        <f t="shared" si="235"/>
        <v>75.240000000000009</v>
      </c>
      <c r="P5044" s="559" t="s">
        <v>3969</v>
      </c>
    </row>
    <row r="5045" spans="4:16" x14ac:dyDescent="0.25">
      <c r="D5045" s="559" t="s">
        <v>867</v>
      </c>
      <c r="E5045" s="558" t="s">
        <v>798</v>
      </c>
      <c r="F5045" s="559">
        <v>500457</v>
      </c>
      <c r="G5045" s="558" t="s">
        <v>796</v>
      </c>
      <c r="H5045" s="564">
        <v>40015</v>
      </c>
      <c r="I5045" s="563">
        <v>68.400000000000006</v>
      </c>
      <c r="J5045" s="563">
        <v>0</v>
      </c>
      <c r="K5045" s="563">
        <f t="shared" si="234"/>
        <v>68.400000000000006</v>
      </c>
      <c r="M5045" s="563">
        <f t="shared" si="235"/>
        <v>75.240000000000009</v>
      </c>
      <c r="P5045" s="559" t="s">
        <v>3969</v>
      </c>
    </row>
    <row r="5046" spans="4:16" x14ac:dyDescent="0.25">
      <c r="D5046" s="559" t="s">
        <v>867</v>
      </c>
      <c r="E5046" s="558" t="s">
        <v>815</v>
      </c>
      <c r="F5046" s="559">
        <v>502194</v>
      </c>
      <c r="G5046" s="558" t="s">
        <v>816</v>
      </c>
      <c r="H5046" s="564">
        <v>40015</v>
      </c>
      <c r="I5046" s="563">
        <v>18972</v>
      </c>
      <c r="J5046" s="563">
        <v>0</v>
      </c>
      <c r="K5046" s="563">
        <f t="shared" si="234"/>
        <v>18972</v>
      </c>
      <c r="M5046" s="563">
        <f t="shared" si="235"/>
        <v>20869.2</v>
      </c>
      <c r="P5046" s="559" t="s">
        <v>3969</v>
      </c>
    </row>
    <row r="5047" spans="4:16" x14ac:dyDescent="0.25">
      <c r="D5047" s="559" t="s">
        <v>867</v>
      </c>
      <c r="E5047" s="558" t="s">
        <v>827</v>
      </c>
      <c r="F5047" s="559">
        <v>700055</v>
      </c>
      <c r="G5047" s="558" t="s">
        <v>828</v>
      </c>
      <c r="H5047" s="564">
        <v>40015</v>
      </c>
      <c r="I5047" s="563">
        <v>12708</v>
      </c>
      <c r="J5047" s="563">
        <v>0</v>
      </c>
      <c r="K5047" s="563">
        <f t="shared" si="234"/>
        <v>12708</v>
      </c>
      <c r="M5047" s="563">
        <f t="shared" si="235"/>
        <v>13978.800000000001</v>
      </c>
      <c r="P5047" s="559" t="s">
        <v>3969</v>
      </c>
    </row>
    <row r="5048" spans="4:16" x14ac:dyDescent="0.25">
      <c r="D5048" s="559" t="s">
        <v>867</v>
      </c>
      <c r="E5048" s="558" t="s">
        <v>833</v>
      </c>
      <c r="F5048" s="559">
        <v>700222</v>
      </c>
      <c r="G5048" s="558" t="s">
        <v>834</v>
      </c>
      <c r="H5048" s="564">
        <v>40015</v>
      </c>
      <c r="I5048" s="563">
        <v>39.6</v>
      </c>
      <c r="J5048" s="563">
        <v>0</v>
      </c>
      <c r="K5048" s="563">
        <f t="shared" si="234"/>
        <v>39.6</v>
      </c>
      <c r="M5048" s="563">
        <f t="shared" si="235"/>
        <v>43.56</v>
      </c>
      <c r="P5048" s="559" t="s">
        <v>3969</v>
      </c>
    </row>
    <row r="5049" spans="4:16" x14ac:dyDescent="0.25">
      <c r="D5049" s="559" t="s">
        <v>867</v>
      </c>
      <c r="E5049" s="558" t="s">
        <v>838</v>
      </c>
      <c r="F5049" s="559">
        <v>700222</v>
      </c>
      <c r="G5049" s="558" t="s">
        <v>834</v>
      </c>
      <c r="H5049" s="564">
        <v>40015</v>
      </c>
      <c r="I5049" s="563">
        <v>61340.4</v>
      </c>
      <c r="J5049" s="563">
        <v>0</v>
      </c>
      <c r="K5049" s="563">
        <f t="shared" si="234"/>
        <v>61340.4</v>
      </c>
      <c r="M5049" s="563">
        <f t="shared" si="235"/>
        <v>67474.44</v>
      </c>
      <c r="P5049" s="559" t="s">
        <v>3969</v>
      </c>
    </row>
    <row r="5050" spans="4:16" x14ac:dyDescent="0.25">
      <c r="D5050" s="559" t="s">
        <v>867</v>
      </c>
      <c r="E5050" s="558">
        <v>120953</v>
      </c>
      <c r="F5050" s="559">
        <v>101179</v>
      </c>
      <c r="G5050" s="558" t="s">
        <v>881</v>
      </c>
      <c r="H5050" s="564">
        <v>40015</v>
      </c>
      <c r="I5050" s="563">
        <v>156394.5</v>
      </c>
      <c r="J5050" s="563">
        <v>0</v>
      </c>
      <c r="K5050" s="563">
        <f t="shared" si="234"/>
        <v>156394.5</v>
      </c>
      <c r="M5050" s="563">
        <f t="shared" si="235"/>
        <v>172033.95</v>
      </c>
      <c r="P5050" s="559" t="s">
        <v>3970</v>
      </c>
    </row>
    <row r="5051" spans="4:16" x14ac:dyDescent="0.25">
      <c r="D5051" s="559" t="s">
        <v>867</v>
      </c>
      <c r="E5051" s="558">
        <v>130813</v>
      </c>
      <c r="F5051" s="559">
        <v>101488</v>
      </c>
      <c r="G5051" s="558" t="s">
        <v>766</v>
      </c>
      <c r="H5051" s="564">
        <v>40015</v>
      </c>
      <c r="I5051" s="563">
        <v>25200</v>
      </c>
      <c r="J5051" s="563">
        <v>0</v>
      </c>
      <c r="K5051" s="563">
        <f t="shared" si="234"/>
        <v>25200</v>
      </c>
      <c r="M5051" s="563">
        <f t="shared" si="235"/>
        <v>27720.000000000004</v>
      </c>
      <c r="P5051" s="559" t="s">
        <v>3971</v>
      </c>
    </row>
    <row r="5052" spans="4:16" x14ac:dyDescent="0.25">
      <c r="D5052" s="559" t="s">
        <v>867</v>
      </c>
      <c r="E5052" s="558">
        <v>330330</v>
      </c>
      <c r="F5052" s="559">
        <v>301718</v>
      </c>
      <c r="G5052" s="558" t="s">
        <v>770</v>
      </c>
      <c r="H5052" s="564">
        <v>40015</v>
      </c>
      <c r="I5052" s="563">
        <v>3420</v>
      </c>
      <c r="J5052" s="563">
        <v>0</v>
      </c>
      <c r="K5052" s="563">
        <f t="shared" si="234"/>
        <v>3420</v>
      </c>
      <c r="M5052" s="563">
        <f t="shared" si="235"/>
        <v>3762.0000000000005</v>
      </c>
      <c r="P5052" s="559" t="s">
        <v>3971</v>
      </c>
    </row>
    <row r="5053" spans="4:16" x14ac:dyDescent="0.25">
      <c r="D5053" s="559" t="s">
        <v>867</v>
      </c>
      <c r="E5053" s="558">
        <v>350323</v>
      </c>
      <c r="F5053" s="559">
        <v>301721</v>
      </c>
      <c r="G5053" s="558" t="s">
        <v>771</v>
      </c>
      <c r="H5053" s="564">
        <v>40015</v>
      </c>
      <c r="I5053" s="563">
        <v>228528</v>
      </c>
      <c r="J5053" s="563">
        <v>0</v>
      </c>
      <c r="K5053" s="563">
        <f t="shared" si="234"/>
        <v>228528</v>
      </c>
      <c r="M5053" s="563">
        <f t="shared" si="235"/>
        <v>251380.80000000002</v>
      </c>
      <c r="P5053" s="559" t="s">
        <v>3971</v>
      </c>
    </row>
    <row r="5054" spans="4:16" x14ac:dyDescent="0.25">
      <c r="D5054" s="559" t="s">
        <v>867</v>
      </c>
      <c r="E5054" s="558">
        <v>350447</v>
      </c>
      <c r="F5054" s="559">
        <v>301722</v>
      </c>
      <c r="G5054" s="558" t="s">
        <v>771</v>
      </c>
      <c r="H5054" s="564">
        <v>40015</v>
      </c>
      <c r="I5054" s="563">
        <v>104400</v>
      </c>
      <c r="J5054" s="563">
        <v>0</v>
      </c>
      <c r="K5054" s="563">
        <f t="shared" si="234"/>
        <v>104400</v>
      </c>
      <c r="M5054" s="563">
        <f t="shared" si="235"/>
        <v>114840.00000000001</v>
      </c>
      <c r="P5054" s="559" t="s">
        <v>3971</v>
      </c>
    </row>
    <row r="5055" spans="4:16" x14ac:dyDescent="0.25">
      <c r="D5055" s="559" t="s">
        <v>867</v>
      </c>
      <c r="E5055" s="558">
        <v>351933</v>
      </c>
      <c r="F5055" s="559">
        <v>301723</v>
      </c>
      <c r="G5055" s="558" t="s">
        <v>771</v>
      </c>
      <c r="H5055" s="564">
        <v>40015</v>
      </c>
      <c r="I5055" s="563">
        <v>143460</v>
      </c>
      <c r="J5055" s="563">
        <v>0</v>
      </c>
      <c r="K5055" s="563">
        <f t="shared" si="234"/>
        <v>143460</v>
      </c>
      <c r="M5055" s="563">
        <f t="shared" si="235"/>
        <v>157806</v>
      </c>
      <c r="P5055" s="559" t="s">
        <v>3971</v>
      </c>
    </row>
    <row r="5056" spans="4:16" x14ac:dyDescent="0.25">
      <c r="D5056" s="559" t="s">
        <v>867</v>
      </c>
      <c r="E5056" s="558" t="s">
        <v>817</v>
      </c>
      <c r="F5056" s="559">
        <v>101496</v>
      </c>
      <c r="G5056" s="558" t="s">
        <v>818</v>
      </c>
      <c r="H5056" s="564">
        <v>40015</v>
      </c>
      <c r="I5056" s="563">
        <v>887.4</v>
      </c>
      <c r="J5056" s="563">
        <v>0</v>
      </c>
      <c r="K5056" s="563">
        <f t="shared" si="234"/>
        <v>887.4</v>
      </c>
      <c r="M5056" s="563">
        <f t="shared" si="235"/>
        <v>976.1400000000001</v>
      </c>
      <c r="P5056" s="559" t="s">
        <v>3971</v>
      </c>
    </row>
    <row r="5057" spans="4:15" x14ac:dyDescent="0.25">
      <c r="G5057" s="664">
        <f>ROWS(G5041:G5056)</f>
        <v>16</v>
      </c>
      <c r="I5057" s="563">
        <f>SUM(I5041:I5056)</f>
        <v>1146878.7</v>
      </c>
      <c r="J5057" s="563">
        <f>SUM(J5041:J5056)</f>
        <v>0</v>
      </c>
      <c r="K5057" s="563">
        <f>SUM(K5041:K5056)</f>
        <v>1146878.7</v>
      </c>
      <c r="L5057" s="563"/>
      <c r="M5057" s="563">
        <f>SUM(M5041:M5056)</f>
        <v>1261566.5699999998</v>
      </c>
    </row>
    <row r="5059" spans="4:15" x14ac:dyDescent="0.25">
      <c r="D5059" s="559" t="s">
        <v>3972</v>
      </c>
      <c r="I5059" s="563">
        <f>+K356+I5037+I5057</f>
        <v>4561411.363924358</v>
      </c>
      <c r="K5059" s="563">
        <f>+I356+K5037+K5057</f>
        <v>3776530.7500000158</v>
      </c>
      <c r="L5059" s="571"/>
      <c r="M5059" s="571">
        <f>+M5057-M5050+L5037</f>
        <v>2536475.2050000192</v>
      </c>
      <c r="N5059" s="562">
        <f>34212100+34887500+5800000+21414500+2000000+3786000+50552000+3400000+57960000+2059500+800000+135534900+4000000</f>
        <v>356406500</v>
      </c>
      <c r="O5059" s="583">
        <f>+M5059/N5059</f>
        <v>7.1168040004882605E-3</v>
      </c>
    </row>
    <row r="5060" spans="4:15" x14ac:dyDescent="0.25">
      <c r="D5060" s="559" t="s">
        <v>3973</v>
      </c>
      <c r="I5060" s="563">
        <f>+I86+I156+I5059</f>
        <v>5518610.5639243582</v>
      </c>
      <c r="K5060" s="563">
        <f>+I86+I156+K5059</f>
        <v>4733729.950000016</v>
      </c>
      <c r="O5060" s="584"/>
    </row>
    <row r="5061" spans="4:15" x14ac:dyDescent="0.25">
      <c r="M5061" s="567"/>
    </row>
    <row r="5062" spans="4:15" x14ac:dyDescent="0.25">
      <c r="K5062" s="571"/>
    </row>
  </sheetData>
  <phoneticPr fontId="37" type="noConversion"/>
  <pageMargins left="0.7" right="0.7" top="0.75" bottom="0.75" header="0.3" footer="0.3"/>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election activeCell="E12" sqref="E12"/>
    </sheetView>
  </sheetViews>
  <sheetFormatPr defaultRowHeight="12.75" x14ac:dyDescent="0.2"/>
  <cols>
    <col min="4" max="4" width="12.1640625" customWidth="1"/>
    <col min="5" max="5" width="14.83203125" bestFit="1" customWidth="1"/>
  </cols>
  <sheetData>
    <row r="1" spans="1:5" x14ac:dyDescent="0.2">
      <c r="A1" s="524" t="s">
        <v>4071</v>
      </c>
    </row>
    <row r="3" spans="1:5" x14ac:dyDescent="0.2">
      <c r="A3" t="s">
        <v>4070</v>
      </c>
      <c r="E3" s="543">
        <f>'OPEX_ Bdgt_F'!G821</f>
        <v>3756210</v>
      </c>
    </row>
    <row r="5" spans="1:5" x14ac:dyDescent="0.2">
      <c r="A5" s="542" t="s">
        <v>4545</v>
      </c>
      <c r="E5" s="543">
        <f>E3*1.1</f>
        <v>4131831.0000000005</v>
      </c>
    </row>
    <row r="7" spans="1:5" x14ac:dyDescent="0.2">
      <c r="A7" t="s">
        <v>2766</v>
      </c>
      <c r="E7" s="543">
        <f>1667872*0.95</f>
        <v>1584478.4</v>
      </c>
    </row>
    <row r="8" spans="1:5" x14ac:dyDescent="0.2">
      <c r="E8" s="556"/>
    </row>
    <row r="9" spans="1:5" x14ac:dyDescent="0.2">
      <c r="A9" t="s">
        <v>4137</v>
      </c>
      <c r="E9" s="557">
        <f>E5-E7</f>
        <v>2547352.6000000006</v>
      </c>
    </row>
    <row r="11" spans="1:5" x14ac:dyDescent="0.2">
      <c r="A11" t="s">
        <v>4069</v>
      </c>
      <c r="E11" s="543">
        <v>356406500</v>
      </c>
    </row>
    <row r="13" spans="1:5" x14ac:dyDescent="0.2">
      <c r="A13" t="s">
        <v>4068</v>
      </c>
      <c r="E13" s="632">
        <f>E9/E11</f>
        <v>7.1473236318641787E-3</v>
      </c>
    </row>
  </sheetData>
  <phoneticPr fontId="33" type="noConversion"/>
  <pageMargins left="0.75" right="0.75" top="1" bottom="1" header="0.5" footer="0.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zoomScale="125" workbookViewId="0">
      <selection activeCell="E3" sqref="E3"/>
    </sheetView>
  </sheetViews>
  <sheetFormatPr defaultRowHeight="12.75" x14ac:dyDescent="0.2"/>
  <cols>
    <col min="4" max="4" width="11.5" customWidth="1"/>
    <col min="5" max="5" width="16.33203125" bestFit="1" customWidth="1"/>
    <col min="6" max="6" width="12.6640625" bestFit="1" customWidth="1"/>
    <col min="7" max="7" width="10.33203125" bestFit="1" customWidth="1"/>
  </cols>
  <sheetData>
    <row r="1" spans="1:9" x14ac:dyDescent="0.2">
      <c r="A1" s="524" t="s">
        <v>4067</v>
      </c>
    </row>
    <row r="2" spans="1:9" x14ac:dyDescent="0.2">
      <c r="F2" s="524" t="s">
        <v>4548</v>
      </c>
    </row>
    <row r="3" spans="1:9" x14ac:dyDescent="0.2">
      <c r="A3" t="s">
        <v>2767</v>
      </c>
      <c r="E3" s="634">
        <f>TARIFF_TOWN!E13</f>
        <v>7.1473236318641787E-3</v>
      </c>
    </row>
    <row r="5" spans="1:9" x14ac:dyDescent="0.2">
      <c r="A5" t="s">
        <v>2770</v>
      </c>
      <c r="E5" s="633">
        <f>E3*0.25</f>
        <v>1.7868309079660447E-3</v>
      </c>
      <c r="F5" s="635">
        <f>+F9/E7</f>
        <v>1.1190222675566532E-3</v>
      </c>
      <c r="G5" s="633"/>
      <c r="H5" s="622"/>
      <c r="I5" s="694"/>
    </row>
    <row r="7" spans="1:9" x14ac:dyDescent="0.2">
      <c r="A7" t="s">
        <v>2768</v>
      </c>
      <c r="E7" s="543">
        <v>2011716000</v>
      </c>
    </row>
    <row r="8" spans="1:9" x14ac:dyDescent="0.2">
      <c r="E8" s="543"/>
    </row>
    <row r="9" spans="1:9" x14ac:dyDescent="0.2">
      <c r="A9" s="542" t="s">
        <v>4546</v>
      </c>
      <c r="E9" s="557">
        <f>E7*E5</f>
        <v>3594596.3268498196</v>
      </c>
      <c r="F9" s="557">
        <f>+F11*2</f>
        <v>2251155</v>
      </c>
    </row>
    <row r="10" spans="1:9" x14ac:dyDescent="0.2">
      <c r="E10" s="543"/>
    </row>
    <row r="11" spans="1:9" x14ac:dyDescent="0.2">
      <c r="A11" t="s">
        <v>4066</v>
      </c>
      <c r="E11" s="540">
        <f>E9/2</f>
        <v>1797298.1634249098</v>
      </c>
      <c r="F11" s="541">
        <f>+F15*E13</f>
        <v>1125577.5</v>
      </c>
    </row>
    <row r="12" spans="1:9" x14ac:dyDescent="0.2">
      <c r="E12" s="534"/>
    </row>
    <row r="13" spans="1:9" x14ac:dyDescent="0.2">
      <c r="A13" t="s">
        <v>2769</v>
      </c>
      <c r="E13" s="543">
        <v>750385</v>
      </c>
    </row>
    <row r="14" spans="1:9" x14ac:dyDescent="0.2">
      <c r="E14" s="543"/>
    </row>
    <row r="15" spans="1:9" x14ac:dyDescent="0.2">
      <c r="A15" s="542" t="s">
        <v>4547</v>
      </c>
      <c r="E15" s="522">
        <f>E11/E13</f>
        <v>2.3951680316436361</v>
      </c>
      <c r="F15" s="636">
        <v>1.5</v>
      </c>
    </row>
    <row r="17" spans="5:5" x14ac:dyDescent="0.2">
      <c r="E17" s="534"/>
    </row>
  </sheetData>
  <phoneticPr fontId="33" type="noConversion"/>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6"/>
  <sheetViews>
    <sheetView view="pageBreakPreview" topLeftCell="A15" zoomScaleNormal="100" workbookViewId="0">
      <selection activeCell="E47" sqref="E47"/>
    </sheetView>
  </sheetViews>
  <sheetFormatPr defaultColWidth="10.6640625" defaultRowHeight="12.75" x14ac:dyDescent="0.2"/>
  <cols>
    <col min="1" max="1" width="12.1640625" style="546" bestFit="1" customWidth="1"/>
    <col min="2" max="2" width="15.5" style="546" customWidth="1"/>
    <col min="3" max="3" width="13.5" style="546" customWidth="1"/>
    <col min="4" max="4" width="15" style="546" bestFit="1" customWidth="1"/>
    <col min="5" max="5" width="15.6640625" style="546" customWidth="1"/>
    <col min="6" max="6" width="14.83203125" style="546" customWidth="1"/>
    <col min="7" max="7" width="6.1640625" style="546" customWidth="1"/>
    <col min="8" max="8" width="10.6640625" style="546"/>
    <col min="9" max="9" width="14.33203125" style="546" bestFit="1" customWidth="1"/>
    <col min="10" max="16384" width="10.6640625" style="546"/>
  </cols>
  <sheetData>
    <row r="2" spans="1:7" x14ac:dyDescent="0.2">
      <c r="A2" s="547" t="s">
        <v>2395</v>
      </c>
    </row>
    <row r="3" spans="1:7" x14ac:dyDescent="0.2">
      <c r="A3" s="547"/>
    </row>
    <row r="4" spans="1:7" x14ac:dyDescent="0.2">
      <c r="A4" s="548" t="s">
        <v>2390</v>
      </c>
      <c r="B4" s="548" t="s">
        <v>737</v>
      </c>
      <c r="C4" s="548" t="s">
        <v>2391</v>
      </c>
      <c r="D4" s="548" t="s">
        <v>2392</v>
      </c>
      <c r="E4" s="548" t="s">
        <v>2393</v>
      </c>
      <c r="F4" s="548" t="s">
        <v>2394</v>
      </c>
    </row>
    <row r="5" spans="1:7" x14ac:dyDescent="0.2">
      <c r="A5" s="549">
        <v>40238</v>
      </c>
      <c r="B5" s="550">
        <v>1789441.5</v>
      </c>
      <c r="C5" s="550">
        <v>37975.75</v>
      </c>
      <c r="D5" s="550">
        <f t="shared" ref="D5:D17" si="0">+B5*12.36%/12</f>
        <v>18431.247449999999</v>
      </c>
      <c r="E5" s="550">
        <f t="shared" ref="E5:E17" si="1">C5-D5</f>
        <v>19544.502550000001</v>
      </c>
      <c r="F5" s="550">
        <f t="shared" ref="F5:F17" si="2">B5-E5</f>
        <v>1769896.9974499999</v>
      </c>
      <c r="G5" s="551"/>
    </row>
    <row r="6" spans="1:7" x14ac:dyDescent="0.2">
      <c r="A6" s="549">
        <v>40269</v>
      </c>
      <c r="B6" s="550">
        <f t="shared" ref="B6:B45" si="3">+F5</f>
        <v>1769896.9974499999</v>
      </c>
      <c r="C6" s="550">
        <v>37975.75</v>
      </c>
      <c r="D6" s="550">
        <f t="shared" si="0"/>
        <v>18229.939073734997</v>
      </c>
      <c r="E6" s="550">
        <f t="shared" si="1"/>
        <v>19745.810926265003</v>
      </c>
      <c r="F6" s="550">
        <f t="shared" si="2"/>
        <v>1750151.1865237348</v>
      </c>
      <c r="G6" s="551"/>
    </row>
    <row r="7" spans="1:7" x14ac:dyDescent="0.2">
      <c r="A7" s="549">
        <v>40299</v>
      </c>
      <c r="B7" s="550">
        <f t="shared" si="3"/>
        <v>1750151.1865237348</v>
      </c>
      <c r="C7" s="550">
        <v>37975.74</v>
      </c>
      <c r="D7" s="550">
        <f t="shared" si="0"/>
        <v>18026.557221194467</v>
      </c>
      <c r="E7" s="550">
        <f t="shared" si="1"/>
        <v>19949.182778805531</v>
      </c>
      <c r="F7" s="550">
        <f t="shared" si="2"/>
        <v>1730202.0037449293</v>
      </c>
      <c r="G7" s="551"/>
    </row>
    <row r="8" spans="1:7" x14ac:dyDescent="0.2">
      <c r="A8" s="549">
        <v>40330</v>
      </c>
      <c r="B8" s="550">
        <f t="shared" si="3"/>
        <v>1730202.0037449293</v>
      </c>
      <c r="C8" s="550">
        <v>37975.75</v>
      </c>
      <c r="D8" s="550">
        <f t="shared" si="0"/>
        <v>17821.08063857277</v>
      </c>
      <c r="E8" s="550">
        <f t="shared" si="1"/>
        <v>20154.66936142723</v>
      </c>
      <c r="F8" s="550">
        <f t="shared" si="2"/>
        <v>1710047.3343835021</v>
      </c>
      <c r="G8" s="551"/>
    </row>
    <row r="9" spans="1:7" x14ac:dyDescent="0.2">
      <c r="A9" s="549"/>
      <c r="B9" s="550"/>
      <c r="C9" s="550"/>
      <c r="D9" s="550"/>
      <c r="E9" s="550"/>
      <c r="F9" s="550"/>
      <c r="G9" s="551"/>
    </row>
    <row r="10" spans="1:7" x14ac:dyDescent="0.2">
      <c r="A10" s="549">
        <v>40360</v>
      </c>
      <c r="B10" s="550">
        <f>+F8</f>
        <v>1710047.3343835021</v>
      </c>
      <c r="C10" s="550">
        <v>37975.75</v>
      </c>
      <c r="D10" s="550">
        <f t="shared" si="0"/>
        <v>17613.48754415007</v>
      </c>
      <c r="E10" s="550">
        <f t="shared" si="1"/>
        <v>20362.26245584993</v>
      </c>
      <c r="F10" s="550">
        <f t="shared" si="2"/>
        <v>1689685.0719276522</v>
      </c>
      <c r="G10" s="551"/>
    </row>
    <row r="11" spans="1:7" x14ac:dyDescent="0.2">
      <c r="A11" s="549">
        <v>40391</v>
      </c>
      <c r="B11" s="550">
        <f t="shared" si="3"/>
        <v>1689685.0719276522</v>
      </c>
      <c r="C11" s="550">
        <v>37975.75</v>
      </c>
      <c r="D11" s="550">
        <f t="shared" si="0"/>
        <v>17403.756240854815</v>
      </c>
      <c r="E11" s="550">
        <f t="shared" si="1"/>
        <v>20571.993759145185</v>
      </c>
      <c r="F11" s="550">
        <f t="shared" si="2"/>
        <v>1669113.078168507</v>
      </c>
      <c r="G11" s="551"/>
    </row>
    <row r="12" spans="1:7" x14ac:dyDescent="0.2">
      <c r="A12" s="549">
        <v>40422</v>
      </c>
      <c r="B12" s="550">
        <f t="shared" si="3"/>
        <v>1669113.078168507</v>
      </c>
      <c r="C12" s="550">
        <v>37975.75</v>
      </c>
      <c r="D12" s="550">
        <f t="shared" si="0"/>
        <v>17191.86470513562</v>
      </c>
      <c r="E12" s="550">
        <f t="shared" si="1"/>
        <v>20783.88529486438</v>
      </c>
      <c r="F12" s="550">
        <f t="shared" si="2"/>
        <v>1648329.1928736425</v>
      </c>
      <c r="G12" s="551"/>
    </row>
    <row r="13" spans="1:7" x14ac:dyDescent="0.2">
      <c r="A13" s="549">
        <v>40452</v>
      </c>
      <c r="B13" s="550">
        <f t="shared" si="3"/>
        <v>1648329.1928736425</v>
      </c>
      <c r="C13" s="550">
        <v>37975.74</v>
      </c>
      <c r="D13" s="550">
        <f t="shared" si="0"/>
        <v>16977.790686598517</v>
      </c>
      <c r="E13" s="550">
        <f t="shared" si="1"/>
        <v>20997.949313401481</v>
      </c>
      <c r="F13" s="550">
        <f t="shared" si="2"/>
        <v>1627331.2435602411</v>
      </c>
      <c r="G13" s="551"/>
    </row>
    <row r="14" spans="1:7" x14ac:dyDescent="0.2">
      <c r="A14" s="549">
        <v>40483</v>
      </c>
      <c r="B14" s="550">
        <f t="shared" si="3"/>
        <v>1627331.2435602411</v>
      </c>
      <c r="C14" s="550">
        <v>37975.74</v>
      </c>
      <c r="D14" s="550">
        <f t="shared" si="0"/>
        <v>16761.511808670482</v>
      </c>
      <c r="E14" s="550">
        <f t="shared" si="1"/>
        <v>21214.228191329516</v>
      </c>
      <c r="F14" s="550">
        <f t="shared" si="2"/>
        <v>1606117.0153689114</v>
      </c>
      <c r="G14" s="551"/>
    </row>
    <row r="15" spans="1:7" x14ac:dyDescent="0.2">
      <c r="A15" s="549">
        <v>40513</v>
      </c>
      <c r="B15" s="550">
        <f t="shared" si="3"/>
        <v>1606117.0153689114</v>
      </c>
      <c r="C15" s="550">
        <v>37975.74</v>
      </c>
      <c r="D15" s="550">
        <f t="shared" si="0"/>
        <v>16543.005258299785</v>
      </c>
      <c r="E15" s="550">
        <f t="shared" si="1"/>
        <v>21432.734741700213</v>
      </c>
      <c r="F15" s="550">
        <f t="shared" si="2"/>
        <v>1584684.2806272113</v>
      </c>
      <c r="G15" s="551"/>
    </row>
    <row r="16" spans="1:7" x14ac:dyDescent="0.2">
      <c r="A16" s="549">
        <v>40544</v>
      </c>
      <c r="B16" s="550">
        <f t="shared" si="3"/>
        <v>1584684.2806272113</v>
      </c>
      <c r="C16" s="550">
        <v>37975.74</v>
      </c>
      <c r="D16" s="550">
        <f t="shared" si="0"/>
        <v>16322.248090460276</v>
      </c>
      <c r="E16" s="550">
        <f t="shared" si="1"/>
        <v>21653.49190953972</v>
      </c>
      <c r="F16" s="550">
        <f t="shared" si="2"/>
        <v>1563030.7887176715</v>
      </c>
      <c r="G16" s="551"/>
    </row>
    <row r="17" spans="1:8" x14ac:dyDescent="0.2">
      <c r="A17" s="549">
        <v>40575</v>
      </c>
      <c r="B17" s="550">
        <f t="shared" si="3"/>
        <v>1563030.7887176715</v>
      </c>
      <c r="C17" s="550">
        <v>37975.74</v>
      </c>
      <c r="D17" s="550">
        <f t="shared" si="0"/>
        <v>16099.217123792014</v>
      </c>
      <c r="E17" s="553">
        <f t="shared" si="1"/>
        <v>21876.522876207986</v>
      </c>
      <c r="F17" s="550">
        <f t="shared" si="2"/>
        <v>1541154.2658414636</v>
      </c>
      <c r="G17" s="551"/>
    </row>
    <row r="18" spans="1:8" x14ac:dyDescent="0.2">
      <c r="A18" s="549">
        <v>40603</v>
      </c>
      <c r="B18" s="550">
        <f t="shared" si="3"/>
        <v>1541154.2658414636</v>
      </c>
      <c r="C18" s="550">
        <v>37975.74</v>
      </c>
      <c r="D18" s="550">
        <f t="shared" ref="D18:D45" si="4">+B18*12.36%/12</f>
        <v>15873.888938167074</v>
      </c>
      <c r="E18" s="553">
        <f t="shared" ref="E18:E45" si="5">C18-D18</f>
        <v>22101.851061832924</v>
      </c>
      <c r="F18" s="550">
        <f t="shared" ref="F18:F45" si="6">B18-E18</f>
        <v>1519052.4147796307</v>
      </c>
      <c r="G18" s="552"/>
      <c r="H18" s="551"/>
    </row>
    <row r="19" spans="1:8" x14ac:dyDescent="0.2">
      <c r="A19" s="549">
        <v>40634</v>
      </c>
      <c r="B19" s="550">
        <f t="shared" si="3"/>
        <v>1519052.4147796307</v>
      </c>
      <c r="C19" s="550">
        <v>37975.74</v>
      </c>
      <c r="D19" s="550">
        <f t="shared" si="4"/>
        <v>15646.239872230195</v>
      </c>
      <c r="E19" s="553">
        <f t="shared" si="5"/>
        <v>22329.500127769803</v>
      </c>
      <c r="F19" s="550">
        <f t="shared" si="6"/>
        <v>1496722.9146518609</v>
      </c>
    </row>
    <row r="20" spans="1:8" x14ac:dyDescent="0.2">
      <c r="A20" s="549">
        <v>40664</v>
      </c>
      <c r="B20" s="550">
        <f t="shared" si="3"/>
        <v>1496722.9146518609</v>
      </c>
      <c r="C20" s="550">
        <v>37975.74</v>
      </c>
      <c r="D20" s="550">
        <f t="shared" si="4"/>
        <v>15416.246020914166</v>
      </c>
      <c r="E20" s="553">
        <f t="shared" si="5"/>
        <v>22559.493979085833</v>
      </c>
      <c r="F20" s="550">
        <f t="shared" si="6"/>
        <v>1474163.420672775</v>
      </c>
    </row>
    <row r="21" spans="1:8" x14ac:dyDescent="0.2">
      <c r="A21" s="549">
        <v>40695</v>
      </c>
      <c r="B21" s="550">
        <f t="shared" si="3"/>
        <v>1474163.420672775</v>
      </c>
      <c r="C21" s="550">
        <v>37975.74</v>
      </c>
      <c r="D21" s="550">
        <f t="shared" si="4"/>
        <v>15183.883232929582</v>
      </c>
      <c r="E21" s="553">
        <f t="shared" si="5"/>
        <v>22791.856767070414</v>
      </c>
      <c r="F21" s="550">
        <f t="shared" si="6"/>
        <v>1451371.5639057045</v>
      </c>
    </row>
    <row r="22" spans="1:8" x14ac:dyDescent="0.2">
      <c r="A22" s="549">
        <v>40725</v>
      </c>
      <c r="B22" s="550">
        <f t="shared" si="3"/>
        <v>1451371.5639057045</v>
      </c>
      <c r="C22" s="550">
        <v>37975.74</v>
      </c>
      <c r="D22" s="550">
        <f t="shared" si="4"/>
        <v>14949.127108228755</v>
      </c>
      <c r="E22" s="553">
        <f t="shared" si="5"/>
        <v>23026.612891771241</v>
      </c>
      <c r="F22" s="550">
        <f t="shared" si="6"/>
        <v>1428344.9510139334</v>
      </c>
    </row>
    <row r="23" spans="1:8" x14ac:dyDescent="0.2">
      <c r="A23" s="549">
        <v>40756</v>
      </c>
      <c r="B23" s="550">
        <f t="shared" si="3"/>
        <v>1428344.9510139334</v>
      </c>
      <c r="C23" s="550">
        <v>37975.74</v>
      </c>
      <c r="D23" s="550">
        <f t="shared" si="4"/>
        <v>14711.952995443513</v>
      </c>
      <c r="E23" s="553">
        <f t="shared" si="5"/>
        <v>23263.787004556485</v>
      </c>
      <c r="F23" s="550">
        <f t="shared" si="6"/>
        <v>1405081.1640093769</v>
      </c>
    </row>
    <row r="24" spans="1:8" x14ac:dyDescent="0.2">
      <c r="A24" s="549">
        <v>40787</v>
      </c>
      <c r="B24" s="550">
        <f t="shared" si="3"/>
        <v>1405081.1640093769</v>
      </c>
      <c r="C24" s="550">
        <v>37975.74</v>
      </c>
      <c r="D24" s="550">
        <f t="shared" si="4"/>
        <v>14472.33598929658</v>
      </c>
      <c r="E24" s="553">
        <f t="shared" si="5"/>
        <v>23503.404010703416</v>
      </c>
      <c r="F24" s="550">
        <f t="shared" si="6"/>
        <v>1381577.7599986736</v>
      </c>
    </row>
    <row r="25" spans="1:8" x14ac:dyDescent="0.2">
      <c r="A25" s="549">
        <v>40817</v>
      </c>
      <c r="B25" s="550">
        <f t="shared" si="3"/>
        <v>1381577.7599986736</v>
      </c>
      <c r="C25" s="550">
        <v>37975.74</v>
      </c>
      <c r="D25" s="550">
        <f t="shared" si="4"/>
        <v>14230.250927986337</v>
      </c>
      <c r="E25" s="553">
        <f t="shared" si="5"/>
        <v>23745.489072013661</v>
      </c>
      <c r="F25" s="550">
        <f t="shared" si="6"/>
        <v>1357832.2709266599</v>
      </c>
    </row>
    <row r="26" spans="1:8" x14ac:dyDescent="0.2">
      <c r="A26" s="549">
        <v>40848</v>
      </c>
      <c r="B26" s="550">
        <f t="shared" si="3"/>
        <v>1357832.2709266599</v>
      </c>
      <c r="C26" s="550">
        <v>37975.74</v>
      </c>
      <c r="D26" s="550">
        <f t="shared" si="4"/>
        <v>13985.672390544596</v>
      </c>
      <c r="E26" s="553">
        <f t="shared" si="5"/>
        <v>23990.0676094554</v>
      </c>
      <c r="F26" s="550">
        <f t="shared" si="6"/>
        <v>1333842.2033172045</v>
      </c>
    </row>
    <row r="27" spans="1:8" x14ac:dyDescent="0.2">
      <c r="A27" s="549">
        <v>40878</v>
      </c>
      <c r="B27" s="550">
        <f t="shared" si="3"/>
        <v>1333842.2033172045</v>
      </c>
      <c r="C27" s="550">
        <v>37975.74</v>
      </c>
      <c r="D27" s="550">
        <f t="shared" si="4"/>
        <v>13738.574694167204</v>
      </c>
      <c r="E27" s="553">
        <f t="shared" si="5"/>
        <v>24237.165305832794</v>
      </c>
      <c r="F27" s="550">
        <f t="shared" si="6"/>
        <v>1309605.0380113716</v>
      </c>
    </row>
    <row r="28" spans="1:8" x14ac:dyDescent="0.2">
      <c r="A28" s="549">
        <v>40909</v>
      </c>
      <c r="B28" s="550">
        <f t="shared" si="3"/>
        <v>1309605.0380113716</v>
      </c>
      <c r="C28" s="550">
        <v>37975.74</v>
      </c>
      <c r="D28" s="550">
        <f t="shared" si="4"/>
        <v>13488.931891517126</v>
      </c>
      <c r="E28" s="553">
        <f t="shared" si="5"/>
        <v>24486.808108482874</v>
      </c>
      <c r="F28" s="550">
        <f t="shared" si="6"/>
        <v>1285118.2299028886</v>
      </c>
    </row>
    <row r="29" spans="1:8" x14ac:dyDescent="0.2">
      <c r="A29" s="549">
        <v>40940</v>
      </c>
      <c r="B29" s="550">
        <f t="shared" si="3"/>
        <v>1285118.2299028886</v>
      </c>
      <c r="C29" s="550">
        <v>37975.74</v>
      </c>
      <c r="D29" s="550">
        <f t="shared" si="4"/>
        <v>13236.717767999753</v>
      </c>
      <c r="E29" s="553">
        <f t="shared" si="5"/>
        <v>24739.022232000243</v>
      </c>
      <c r="F29" s="550">
        <f t="shared" si="6"/>
        <v>1260379.2076708884</v>
      </c>
    </row>
    <row r="30" spans="1:8" x14ac:dyDescent="0.2">
      <c r="A30" s="549">
        <v>40969</v>
      </c>
      <c r="B30" s="550">
        <f t="shared" si="3"/>
        <v>1260379.2076708884</v>
      </c>
      <c r="C30" s="550">
        <v>37975.74</v>
      </c>
      <c r="D30" s="550">
        <f t="shared" si="4"/>
        <v>12981.905839010149</v>
      </c>
      <c r="E30" s="553">
        <f t="shared" si="5"/>
        <v>24993.834160989849</v>
      </c>
      <c r="F30" s="550">
        <f t="shared" si="6"/>
        <v>1235385.3735098985</v>
      </c>
    </row>
    <row r="31" spans="1:8" x14ac:dyDescent="0.2">
      <c r="A31" s="549">
        <v>41000</v>
      </c>
      <c r="B31" s="550">
        <f t="shared" si="3"/>
        <v>1235385.3735098985</v>
      </c>
      <c r="C31" s="550">
        <v>37975.74</v>
      </c>
      <c r="D31" s="550">
        <f t="shared" si="4"/>
        <v>12724.469347151955</v>
      </c>
      <c r="E31" s="553">
        <f t="shared" si="5"/>
        <v>25251.270652848041</v>
      </c>
      <c r="F31" s="550">
        <f t="shared" si="6"/>
        <v>1210134.1028570505</v>
      </c>
    </row>
    <row r="32" spans="1:8" x14ac:dyDescent="0.2">
      <c r="A32" s="549">
        <v>41030</v>
      </c>
      <c r="B32" s="550">
        <f t="shared" si="3"/>
        <v>1210134.1028570505</v>
      </c>
      <c r="C32" s="550">
        <v>37975.74</v>
      </c>
      <c r="D32" s="550">
        <f t="shared" si="4"/>
        <v>12464.381259427619</v>
      </c>
      <c r="E32" s="553">
        <f t="shared" si="5"/>
        <v>25511.358740572381</v>
      </c>
      <c r="F32" s="550">
        <f t="shared" si="6"/>
        <v>1184622.7441164781</v>
      </c>
    </row>
    <row r="33" spans="1:6" x14ac:dyDescent="0.2">
      <c r="A33" s="549">
        <v>41061</v>
      </c>
      <c r="B33" s="550">
        <f t="shared" si="3"/>
        <v>1184622.7441164781</v>
      </c>
      <c r="C33" s="550">
        <v>37975.74</v>
      </c>
      <c r="D33" s="550">
        <f t="shared" si="4"/>
        <v>12201.614264399723</v>
      </c>
      <c r="E33" s="553">
        <f t="shared" si="5"/>
        <v>25774.125735600275</v>
      </c>
      <c r="F33" s="550">
        <f t="shared" si="6"/>
        <v>1158848.6183808779</v>
      </c>
    </row>
    <row r="34" spans="1:6" x14ac:dyDescent="0.2">
      <c r="A34" s="549">
        <v>41091</v>
      </c>
      <c r="B34" s="550">
        <f t="shared" si="3"/>
        <v>1158848.6183808779</v>
      </c>
      <c r="C34" s="550">
        <v>37975.74</v>
      </c>
      <c r="D34" s="550">
        <f t="shared" si="4"/>
        <v>11936.140769323041</v>
      </c>
      <c r="E34" s="553">
        <f t="shared" si="5"/>
        <v>26039.599230676955</v>
      </c>
      <c r="F34" s="550">
        <f t="shared" si="6"/>
        <v>1132809.019150201</v>
      </c>
    </row>
    <row r="35" spans="1:6" x14ac:dyDescent="0.2">
      <c r="A35" s="549">
        <v>41122</v>
      </c>
      <c r="B35" s="550">
        <f t="shared" si="3"/>
        <v>1132809.019150201</v>
      </c>
      <c r="C35" s="550">
        <v>37975.74</v>
      </c>
      <c r="D35" s="550">
        <f t="shared" si="4"/>
        <v>11667.932897247068</v>
      </c>
      <c r="E35" s="553">
        <f t="shared" si="5"/>
        <v>26307.807102752929</v>
      </c>
      <c r="F35" s="550">
        <f t="shared" si="6"/>
        <v>1106501.2120474481</v>
      </c>
    </row>
    <row r="36" spans="1:6" x14ac:dyDescent="0.2">
      <c r="A36" s="549">
        <v>41153</v>
      </c>
      <c r="B36" s="550">
        <f t="shared" si="3"/>
        <v>1106501.2120474481</v>
      </c>
      <c r="C36" s="550">
        <v>37975.74</v>
      </c>
      <c r="D36" s="550">
        <f t="shared" si="4"/>
        <v>11396.962484088714</v>
      </c>
      <c r="E36" s="553">
        <f t="shared" si="5"/>
        <v>26578.777515911286</v>
      </c>
      <c r="F36" s="550">
        <f t="shared" si="6"/>
        <v>1079922.4345315369</v>
      </c>
    </row>
    <row r="37" spans="1:6" x14ac:dyDescent="0.2">
      <c r="A37" s="549">
        <v>41183</v>
      </c>
      <c r="B37" s="550">
        <f t="shared" si="3"/>
        <v>1079922.4345315369</v>
      </c>
      <c r="C37" s="550">
        <v>37975.74</v>
      </c>
      <c r="D37" s="550">
        <f t="shared" si="4"/>
        <v>11123.201075674828</v>
      </c>
      <c r="E37" s="553">
        <f t="shared" si="5"/>
        <v>26852.53892432517</v>
      </c>
      <c r="F37" s="550">
        <f t="shared" si="6"/>
        <v>1053069.8956072116</v>
      </c>
    </row>
    <row r="38" spans="1:6" x14ac:dyDescent="0.2">
      <c r="A38" s="549">
        <v>41214</v>
      </c>
      <c r="B38" s="550">
        <f t="shared" si="3"/>
        <v>1053069.8956072116</v>
      </c>
      <c r="C38" s="550">
        <v>37975.74</v>
      </c>
      <c r="D38" s="550">
        <f t="shared" si="4"/>
        <v>10846.619924754279</v>
      </c>
      <c r="E38" s="553">
        <f t="shared" si="5"/>
        <v>27129.120075245719</v>
      </c>
      <c r="F38" s="550">
        <f t="shared" si="6"/>
        <v>1025940.7755319659</v>
      </c>
    </row>
    <row r="39" spans="1:6" x14ac:dyDescent="0.2">
      <c r="A39" s="549">
        <v>41244</v>
      </c>
      <c r="B39" s="550">
        <f t="shared" si="3"/>
        <v>1025940.7755319659</v>
      </c>
      <c r="C39" s="550">
        <v>37975.74</v>
      </c>
      <c r="D39" s="550">
        <f t="shared" si="4"/>
        <v>10567.189987979247</v>
      </c>
      <c r="E39" s="553">
        <f t="shared" si="5"/>
        <v>27408.550012020751</v>
      </c>
      <c r="F39" s="550">
        <f t="shared" si="6"/>
        <v>998532.22551994515</v>
      </c>
    </row>
    <row r="40" spans="1:6" x14ac:dyDescent="0.2">
      <c r="A40" s="549">
        <v>41275</v>
      </c>
      <c r="B40" s="550">
        <f t="shared" si="3"/>
        <v>998532.22551994515</v>
      </c>
      <c r="C40" s="550">
        <v>37975.74</v>
      </c>
      <c r="D40" s="550">
        <f t="shared" si="4"/>
        <v>10284.881922855433</v>
      </c>
      <c r="E40" s="553">
        <f t="shared" si="5"/>
        <v>27690.858077144563</v>
      </c>
      <c r="F40" s="550">
        <f t="shared" si="6"/>
        <v>970841.36744280055</v>
      </c>
    </row>
    <row r="41" spans="1:6" x14ac:dyDescent="0.2">
      <c r="A41" s="549">
        <v>41306</v>
      </c>
      <c r="B41" s="550">
        <f t="shared" si="3"/>
        <v>970841.36744280055</v>
      </c>
      <c r="C41" s="550">
        <v>37975.74</v>
      </c>
      <c r="D41" s="550">
        <f t="shared" si="4"/>
        <v>9999.6660846608447</v>
      </c>
      <c r="E41" s="553">
        <f t="shared" si="5"/>
        <v>27976.073915339155</v>
      </c>
      <c r="F41" s="550">
        <f t="shared" si="6"/>
        <v>942865.29352746136</v>
      </c>
    </row>
    <row r="42" spans="1:6" x14ac:dyDescent="0.2">
      <c r="A42" s="549">
        <v>41334</v>
      </c>
      <c r="B42" s="550">
        <f t="shared" si="3"/>
        <v>942865.29352746136</v>
      </c>
      <c r="C42" s="550">
        <v>37975.74</v>
      </c>
      <c r="D42" s="550">
        <f t="shared" si="4"/>
        <v>9711.5125233328508</v>
      </c>
      <c r="E42" s="553">
        <f t="shared" si="5"/>
        <v>28264.227476667147</v>
      </c>
      <c r="F42" s="550">
        <f t="shared" si="6"/>
        <v>914601.06605079421</v>
      </c>
    </row>
    <row r="43" spans="1:6" x14ac:dyDescent="0.2">
      <c r="A43" s="549">
        <v>41365</v>
      </c>
      <c r="B43" s="550">
        <f t="shared" si="3"/>
        <v>914601.06605079421</v>
      </c>
      <c r="C43" s="550">
        <v>37975.74</v>
      </c>
      <c r="D43" s="550">
        <f t="shared" si="4"/>
        <v>9420.39098032318</v>
      </c>
      <c r="E43" s="553">
        <f t="shared" si="5"/>
        <v>28555.349019676818</v>
      </c>
      <c r="F43" s="550">
        <f t="shared" si="6"/>
        <v>886045.71703111741</v>
      </c>
    </row>
    <row r="44" spans="1:6" x14ac:dyDescent="0.2">
      <c r="A44" s="549">
        <v>41395</v>
      </c>
      <c r="B44" s="550">
        <f t="shared" si="3"/>
        <v>886045.71703111741</v>
      </c>
      <c r="C44" s="550">
        <v>37975.74</v>
      </c>
      <c r="D44" s="550">
        <f t="shared" si="4"/>
        <v>9126.2708854205084</v>
      </c>
      <c r="E44" s="553">
        <f t="shared" si="5"/>
        <v>28849.46911457949</v>
      </c>
      <c r="F44" s="550">
        <f t="shared" si="6"/>
        <v>857196.24791653792</v>
      </c>
    </row>
    <row r="45" spans="1:6" x14ac:dyDescent="0.2">
      <c r="A45" s="549">
        <v>41426</v>
      </c>
      <c r="B45" s="550">
        <f t="shared" si="3"/>
        <v>857196.24791653792</v>
      </c>
      <c r="C45" s="550">
        <v>37975.74</v>
      </c>
      <c r="D45" s="550">
        <f t="shared" si="4"/>
        <v>8829.1213535403385</v>
      </c>
      <c r="E45" s="553">
        <f t="shared" si="5"/>
        <v>29146.618646459661</v>
      </c>
      <c r="F45" s="550">
        <f t="shared" si="6"/>
        <v>828049.62927007827</v>
      </c>
    </row>
    <row r="46" spans="1:6" x14ac:dyDescent="0.2">
      <c r="A46" s="549"/>
    </row>
  </sheetData>
  <phoneticPr fontId="13" type="noConversion"/>
  <pageMargins left="0.75" right="0.75" top="1" bottom="1" header="0.5" footer="0.5"/>
  <pageSetup scale="8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9"/>
  <sheetViews>
    <sheetView view="pageBreakPreview" topLeftCell="A76" zoomScale="60" zoomScaleNormal="100" workbookViewId="0">
      <selection activeCell="G119" sqref="G119"/>
    </sheetView>
  </sheetViews>
  <sheetFormatPr defaultRowHeight="12.75" x14ac:dyDescent="0.2"/>
  <cols>
    <col min="1" max="1" width="13.33203125" customWidth="1"/>
    <col min="2" max="2" width="14.1640625" customWidth="1"/>
    <col min="3" max="3" width="13.1640625" customWidth="1"/>
    <col min="4" max="5" width="16" customWidth="1"/>
    <col min="6" max="7" width="16.1640625" customWidth="1"/>
    <col min="8" max="8" width="14" customWidth="1"/>
    <col min="9" max="9" width="13.1640625" customWidth="1"/>
    <col min="11" max="11" width="11" bestFit="1" customWidth="1"/>
    <col min="13" max="13" width="9.6640625" bestFit="1" customWidth="1"/>
  </cols>
  <sheetData>
    <row r="1" spans="1:9" x14ac:dyDescent="0.2">
      <c r="A1" s="759" t="s">
        <v>4542</v>
      </c>
      <c r="B1" s="759"/>
      <c r="C1" s="759"/>
      <c r="D1" s="759"/>
      <c r="E1" s="759"/>
      <c r="F1" s="759"/>
      <c r="G1" s="759"/>
      <c r="H1" s="759"/>
      <c r="I1" s="759"/>
    </row>
    <row r="2" spans="1:9" x14ac:dyDescent="0.2">
      <c r="A2" s="524"/>
    </row>
    <row r="3" spans="1:9" x14ac:dyDescent="0.2">
      <c r="C3" s="606" t="s">
        <v>4530</v>
      </c>
      <c r="D3" s="606" t="s">
        <v>4526</v>
      </c>
      <c r="E3" s="606" t="s">
        <v>4531</v>
      </c>
      <c r="F3" s="606" t="s">
        <v>4527</v>
      </c>
      <c r="G3" s="606" t="s">
        <v>4531</v>
      </c>
      <c r="H3" s="606" t="s">
        <v>4528</v>
      </c>
      <c r="I3" s="606" t="s">
        <v>4529</v>
      </c>
    </row>
    <row r="4" spans="1:9" x14ac:dyDescent="0.2">
      <c r="C4" s="606"/>
      <c r="D4" s="606"/>
      <c r="E4" s="606"/>
      <c r="F4" s="606"/>
      <c r="G4" s="606"/>
      <c r="H4" s="606"/>
      <c r="I4" s="606"/>
    </row>
    <row r="5" spans="1:9" x14ac:dyDescent="0.2">
      <c r="A5" s="542" t="s">
        <v>4525</v>
      </c>
      <c r="C5">
        <v>0</v>
      </c>
      <c r="D5" s="607">
        <v>25</v>
      </c>
      <c r="E5" s="607">
        <v>25</v>
      </c>
      <c r="F5" s="607">
        <f>+D5*1.1</f>
        <v>27.500000000000004</v>
      </c>
      <c r="G5" s="607">
        <f>+F5</f>
        <v>27.500000000000004</v>
      </c>
      <c r="H5" s="607">
        <f>+G5-E5</f>
        <v>2.5000000000000036</v>
      </c>
      <c r="I5" s="625">
        <f>+H5/E5</f>
        <v>0.10000000000000014</v>
      </c>
    </row>
    <row r="7" spans="1:9" x14ac:dyDescent="0.2">
      <c r="A7" s="542" t="s">
        <v>4537</v>
      </c>
      <c r="C7" s="605">
        <v>50</v>
      </c>
      <c r="D7">
        <v>0.95</v>
      </c>
      <c r="E7" s="607">
        <v>0</v>
      </c>
      <c r="F7" s="607">
        <f>0.95*1.22</f>
        <v>1.159</v>
      </c>
      <c r="G7" s="607">
        <v>0</v>
      </c>
      <c r="H7" s="607">
        <f>+G7-E7</f>
        <v>0</v>
      </c>
      <c r="I7" s="625">
        <v>0</v>
      </c>
    </row>
    <row r="8" spans="1:9" x14ac:dyDescent="0.2">
      <c r="A8" s="542" t="s">
        <v>4538</v>
      </c>
      <c r="C8" s="624">
        <v>126</v>
      </c>
      <c r="D8">
        <v>0.95</v>
      </c>
      <c r="E8" s="607">
        <f>+C8*D8</f>
        <v>119.69999999999999</v>
      </c>
      <c r="F8" s="607">
        <f>0.95*1.22</f>
        <v>1.159</v>
      </c>
      <c r="G8" s="607">
        <f>+C8*F8</f>
        <v>146.03399999999999</v>
      </c>
      <c r="H8" s="607">
        <f>+G8-E8</f>
        <v>26.334000000000003</v>
      </c>
      <c r="I8" s="625">
        <f>+H8/E8</f>
        <v>0.22000000000000006</v>
      </c>
    </row>
    <row r="10" spans="1:9" x14ac:dyDescent="0.2">
      <c r="A10" s="542" t="s">
        <v>4539</v>
      </c>
      <c r="C10" s="605">
        <v>6</v>
      </c>
      <c r="D10" s="607">
        <v>0</v>
      </c>
      <c r="E10" s="607">
        <v>0</v>
      </c>
      <c r="F10" s="607">
        <v>0</v>
      </c>
      <c r="G10" s="607">
        <v>0</v>
      </c>
      <c r="H10" s="607">
        <v>0</v>
      </c>
      <c r="I10" s="625">
        <v>0</v>
      </c>
    </row>
    <row r="11" spans="1:9" x14ac:dyDescent="0.2">
      <c r="A11" s="542" t="s">
        <v>4540</v>
      </c>
      <c r="C11" s="605">
        <v>0</v>
      </c>
      <c r="D11">
        <v>4.74</v>
      </c>
      <c r="E11">
        <f>+C11*D11</f>
        <v>0</v>
      </c>
      <c r="F11" s="637">
        <f>+D11*1.1</f>
        <v>5.2140000000000004</v>
      </c>
      <c r="G11" s="607">
        <f>+C11*F11</f>
        <v>0</v>
      </c>
      <c r="H11" s="607">
        <f>+G11-E11</f>
        <v>0</v>
      </c>
      <c r="I11" s="625">
        <v>0</v>
      </c>
    </row>
    <row r="12" spans="1:9" x14ac:dyDescent="0.2">
      <c r="A12" s="542" t="s">
        <v>4541</v>
      </c>
      <c r="C12" s="605">
        <v>0</v>
      </c>
      <c r="D12" s="607">
        <v>14.9</v>
      </c>
      <c r="E12" s="607">
        <f>+D12</f>
        <v>14.9</v>
      </c>
      <c r="F12" s="607">
        <f>+D12*1.1</f>
        <v>16.39</v>
      </c>
      <c r="G12" s="607">
        <f>+F12</f>
        <v>16.39</v>
      </c>
      <c r="H12" s="607">
        <f>+G12-E12</f>
        <v>1.4900000000000002</v>
      </c>
      <c r="I12" s="625">
        <f>+H12/E12</f>
        <v>0.1</v>
      </c>
    </row>
    <row r="14" spans="1:9" x14ac:dyDescent="0.2">
      <c r="A14" s="542" t="s">
        <v>3508</v>
      </c>
      <c r="C14">
        <v>1</v>
      </c>
      <c r="D14">
        <v>42.98</v>
      </c>
      <c r="E14">
        <f>+C14*D14</f>
        <v>42.98</v>
      </c>
      <c r="F14" s="607">
        <f>+D14*1.1</f>
        <v>47.277999999999999</v>
      </c>
      <c r="G14" s="608">
        <f>+C14*F14</f>
        <v>47.277999999999999</v>
      </c>
      <c r="H14" s="607">
        <f>+G14-E14</f>
        <v>4.2980000000000018</v>
      </c>
      <c r="I14" s="625">
        <f>+H14/E14</f>
        <v>0.10000000000000005</v>
      </c>
    </row>
    <row r="16" spans="1:9" x14ac:dyDescent="0.2">
      <c r="A16" s="609" t="s">
        <v>3509</v>
      </c>
      <c r="B16" s="610"/>
      <c r="C16" s="610">
        <v>1</v>
      </c>
      <c r="D16" s="610">
        <v>32.46</v>
      </c>
      <c r="E16" s="610">
        <f>+C16*D16</f>
        <v>32.46</v>
      </c>
      <c r="F16" s="611">
        <f>+D16*1.1</f>
        <v>35.706000000000003</v>
      </c>
      <c r="G16" s="611">
        <f>+C16*F16</f>
        <v>35.706000000000003</v>
      </c>
      <c r="H16" s="611">
        <f>+G16-E16</f>
        <v>3.2460000000000022</v>
      </c>
      <c r="I16" s="626">
        <f>+H16/E16</f>
        <v>0.10000000000000006</v>
      </c>
    </row>
    <row r="18" spans="1:12" x14ac:dyDescent="0.2">
      <c r="A18" s="524" t="s">
        <v>4532</v>
      </c>
      <c r="D18" s="607"/>
      <c r="E18" s="607">
        <f>SUM(E5:E16)</f>
        <v>235.04</v>
      </c>
      <c r="G18" s="607">
        <f>SUM(G5:G16)</f>
        <v>272.90799999999996</v>
      </c>
      <c r="H18" s="607">
        <f>+G18-E18</f>
        <v>37.867999999999967</v>
      </c>
      <c r="I18" s="625">
        <f>+H18/E18</f>
        <v>0.16111300204220544</v>
      </c>
    </row>
    <row r="20" spans="1:12" x14ac:dyDescent="0.2">
      <c r="A20" s="542" t="s">
        <v>4533</v>
      </c>
      <c r="E20" s="607">
        <f>+E5+E14+E16</f>
        <v>100.44</v>
      </c>
      <c r="G20" s="607">
        <f>+G5+G14+G16</f>
        <v>110.48400000000001</v>
      </c>
      <c r="H20" s="607">
        <f>+G20-E20</f>
        <v>10.044000000000011</v>
      </c>
      <c r="I20" s="625">
        <f>+H20/E20</f>
        <v>0.10000000000000012</v>
      </c>
    </row>
    <row r="22" spans="1:12" ht="13.5" thickBot="1" x14ac:dyDescent="0.25">
      <c r="A22" s="613" t="s">
        <v>4137</v>
      </c>
      <c r="B22" s="613" t="s">
        <v>4543</v>
      </c>
      <c r="C22" s="612"/>
      <c r="D22" s="612"/>
      <c r="E22" s="614">
        <f>+E18-E20</f>
        <v>134.6</v>
      </c>
      <c r="F22" s="613"/>
      <c r="G22" s="614">
        <f>+G18-G20</f>
        <v>162.42399999999995</v>
      </c>
      <c r="H22" s="614">
        <f>+G22-E22</f>
        <v>27.823999999999955</v>
      </c>
      <c r="I22" s="627">
        <f>+H22/E22</f>
        <v>0.206716196136701</v>
      </c>
    </row>
    <row r="23" spans="1:12" ht="13.5" thickTop="1" x14ac:dyDescent="0.2"/>
    <row r="24" spans="1:12" x14ac:dyDescent="0.2">
      <c r="B24" s="524" t="s">
        <v>4543</v>
      </c>
      <c r="C24" s="524" t="s">
        <v>4544</v>
      </c>
    </row>
    <row r="26" spans="1:12" x14ac:dyDescent="0.2">
      <c r="A26" s="759" t="s">
        <v>4534</v>
      </c>
      <c r="B26" s="759"/>
      <c r="C26" s="759"/>
      <c r="D26" s="759"/>
      <c r="E26" s="759"/>
      <c r="F26" s="759"/>
      <c r="G26" s="759"/>
      <c r="H26" s="759"/>
      <c r="I26" s="759"/>
    </row>
    <row r="27" spans="1:12" x14ac:dyDescent="0.2">
      <c r="A27" s="524"/>
    </row>
    <row r="28" spans="1:12" x14ac:dyDescent="0.2">
      <c r="C28" s="606" t="s">
        <v>4530</v>
      </c>
      <c r="D28" s="606" t="s">
        <v>4526</v>
      </c>
      <c r="E28" s="606" t="s">
        <v>4531</v>
      </c>
      <c r="F28" s="606" t="s">
        <v>4527</v>
      </c>
      <c r="G28" s="606" t="s">
        <v>4531</v>
      </c>
      <c r="H28" s="606" t="s">
        <v>4528</v>
      </c>
      <c r="I28" s="606" t="s">
        <v>4529</v>
      </c>
    </row>
    <row r="29" spans="1:12" x14ac:dyDescent="0.2">
      <c r="C29" s="606"/>
      <c r="D29" s="606"/>
      <c r="E29" s="606"/>
      <c r="F29" s="606"/>
      <c r="G29" s="606"/>
      <c r="H29" s="606"/>
      <c r="I29" s="606"/>
    </row>
    <row r="30" spans="1:12" x14ac:dyDescent="0.2">
      <c r="D30" s="606"/>
      <c r="E30" s="606"/>
      <c r="F30" s="606"/>
      <c r="G30" s="606"/>
      <c r="H30" s="606"/>
      <c r="I30" s="606"/>
      <c r="K30" s="629"/>
      <c r="L30" s="630" t="s">
        <v>4535</v>
      </c>
    </row>
    <row r="31" spans="1:12" x14ac:dyDescent="0.2">
      <c r="A31" s="542" t="s">
        <v>3505</v>
      </c>
      <c r="B31" s="628">
        <v>15000</v>
      </c>
      <c r="C31" s="607">
        <v>20650</v>
      </c>
      <c r="D31" s="623">
        <v>3.9E-2</v>
      </c>
      <c r="E31" s="607">
        <f>+C31*D31/9</f>
        <v>89.483333333333334</v>
      </c>
      <c r="F31" s="623">
        <f>+G31/B31</f>
        <v>0</v>
      </c>
      <c r="G31" s="607">
        <v>0</v>
      </c>
      <c r="H31" s="607">
        <f>+G31-E31</f>
        <v>-89.483333333333334</v>
      </c>
      <c r="I31" s="625">
        <f>+H31/E31</f>
        <v>-1</v>
      </c>
    </row>
    <row r="32" spans="1:12" x14ac:dyDescent="0.2">
      <c r="A32" s="542" t="s">
        <v>4536</v>
      </c>
      <c r="B32" s="628">
        <v>0</v>
      </c>
      <c r="C32" s="611">
        <v>15000</v>
      </c>
      <c r="D32" s="631">
        <v>3.9E-2</v>
      </c>
      <c r="E32" s="611">
        <f>-C32*D32/9</f>
        <v>-65</v>
      </c>
      <c r="F32" s="631">
        <f>+G32/B31</f>
        <v>0</v>
      </c>
      <c r="G32" s="611">
        <v>0</v>
      </c>
      <c r="H32" s="611">
        <f>+G32-E32</f>
        <v>65</v>
      </c>
      <c r="I32" s="626">
        <f>+H32/E32</f>
        <v>-1</v>
      </c>
    </row>
    <row r="33" spans="1:9" x14ac:dyDescent="0.2">
      <c r="E33" s="607">
        <f>+E31+E32</f>
        <v>24.483333333333334</v>
      </c>
      <c r="G33" s="607">
        <f>+G31+G32</f>
        <v>0</v>
      </c>
      <c r="H33" s="607">
        <f>+G33-E33</f>
        <v>-24.483333333333334</v>
      </c>
      <c r="I33" s="625">
        <f>+H33/E33</f>
        <v>-1</v>
      </c>
    </row>
    <row r="34" spans="1:9" x14ac:dyDescent="0.2">
      <c r="E34" s="607"/>
      <c r="G34" s="607"/>
    </row>
    <row r="35" spans="1:9" x14ac:dyDescent="0.2">
      <c r="A35" s="542" t="s">
        <v>4549</v>
      </c>
      <c r="C35" s="605">
        <v>0</v>
      </c>
      <c r="D35">
        <v>0.95</v>
      </c>
      <c r="E35" s="607">
        <v>0</v>
      </c>
      <c r="F35" s="607">
        <f>0.95*1.22</f>
        <v>1.159</v>
      </c>
      <c r="G35" s="607">
        <v>0</v>
      </c>
      <c r="H35" s="607">
        <f>+G35-E35</f>
        <v>0</v>
      </c>
      <c r="I35" s="625">
        <v>0</v>
      </c>
    </row>
    <row r="36" spans="1:9" x14ac:dyDescent="0.2">
      <c r="A36" s="542" t="s">
        <v>4550</v>
      </c>
      <c r="C36" s="624">
        <v>263</v>
      </c>
      <c r="D36">
        <v>0.95</v>
      </c>
      <c r="E36" s="607">
        <f>+C36*D36</f>
        <v>249.85</v>
      </c>
      <c r="F36" s="607">
        <f>0.95*1.22</f>
        <v>1.159</v>
      </c>
      <c r="G36" s="607">
        <f>+C36*F36</f>
        <v>304.81700000000001</v>
      </c>
      <c r="H36" s="607">
        <f>+G36-E36</f>
        <v>54.967000000000013</v>
      </c>
      <c r="I36" s="625">
        <f>+H36/E36</f>
        <v>0.22000000000000006</v>
      </c>
    </row>
    <row r="38" spans="1:9" x14ac:dyDescent="0.2">
      <c r="A38" s="542" t="s">
        <v>4551</v>
      </c>
      <c r="C38" s="605">
        <v>6</v>
      </c>
      <c r="D38" s="607">
        <v>0</v>
      </c>
      <c r="E38" s="607">
        <v>0</v>
      </c>
      <c r="F38" s="607">
        <v>0</v>
      </c>
      <c r="G38" s="607">
        <v>0</v>
      </c>
      <c r="H38" s="607">
        <v>0</v>
      </c>
      <c r="I38" s="625">
        <v>0</v>
      </c>
    </row>
    <row r="39" spans="1:9" x14ac:dyDescent="0.2">
      <c r="A39" s="542" t="s">
        <v>4552</v>
      </c>
      <c r="C39" s="605">
        <v>8</v>
      </c>
      <c r="D39">
        <v>4.74</v>
      </c>
      <c r="E39">
        <f>+C39*D39</f>
        <v>37.92</v>
      </c>
      <c r="F39" s="607">
        <f>+D39*1.1</f>
        <v>5.2140000000000004</v>
      </c>
      <c r="G39" s="607">
        <f>+C39*F39</f>
        <v>41.712000000000003</v>
      </c>
      <c r="H39" s="607">
        <f>+G39-E39</f>
        <v>3.7920000000000016</v>
      </c>
      <c r="I39" s="625">
        <f>+H39/E39</f>
        <v>0.10000000000000003</v>
      </c>
    </row>
    <row r="40" spans="1:9" x14ac:dyDescent="0.2">
      <c r="A40" s="542" t="s">
        <v>4541</v>
      </c>
      <c r="C40" s="605">
        <v>0</v>
      </c>
      <c r="D40" s="607">
        <v>14.9</v>
      </c>
      <c r="E40" s="607">
        <f>+D40</f>
        <v>14.9</v>
      </c>
      <c r="F40" s="607">
        <f>+D40*1.1</f>
        <v>16.39</v>
      </c>
      <c r="G40" s="607">
        <f>+F40</f>
        <v>16.39</v>
      </c>
      <c r="H40" s="607">
        <f>+G40-E40</f>
        <v>1.4900000000000002</v>
      </c>
      <c r="I40" s="625">
        <f>+H40/E40</f>
        <v>0.1</v>
      </c>
    </row>
    <row r="42" spans="1:9" x14ac:dyDescent="0.2">
      <c r="A42" s="542" t="s">
        <v>3508</v>
      </c>
      <c r="C42">
        <v>1</v>
      </c>
      <c r="D42">
        <v>42.98</v>
      </c>
      <c r="E42">
        <f>+C42*D42</f>
        <v>42.98</v>
      </c>
      <c r="F42" s="607">
        <f>+D42*1.1</f>
        <v>47.277999999999999</v>
      </c>
      <c r="G42" s="608">
        <f>+C42*F42</f>
        <v>47.277999999999999</v>
      </c>
      <c r="H42" s="607">
        <f>+G42-E42</f>
        <v>4.2980000000000018</v>
      </c>
      <c r="I42" s="625">
        <f>+H42/E42</f>
        <v>0.10000000000000005</v>
      </c>
    </row>
    <row r="43" spans="1:9" x14ac:dyDescent="0.2">
      <c r="A43" s="537"/>
      <c r="B43" s="537"/>
      <c r="C43" s="537"/>
      <c r="D43" s="537"/>
      <c r="E43" s="537"/>
      <c r="F43" s="537"/>
      <c r="G43" s="537"/>
      <c r="H43" s="537"/>
      <c r="I43" s="537"/>
    </row>
    <row r="44" spans="1:9" x14ac:dyDescent="0.2">
      <c r="A44" s="617" t="s">
        <v>3509</v>
      </c>
      <c r="B44" s="537"/>
      <c r="C44" s="537">
        <v>1</v>
      </c>
      <c r="D44" s="537">
        <v>32.46</v>
      </c>
      <c r="E44" s="537">
        <f>+C44*D44</f>
        <v>32.46</v>
      </c>
      <c r="F44" s="618">
        <f>+D44*1.1</f>
        <v>35.706000000000003</v>
      </c>
      <c r="G44" s="618">
        <f>+C44*F44</f>
        <v>35.706000000000003</v>
      </c>
      <c r="H44" s="618">
        <f>+G44-E44</f>
        <v>3.2460000000000022</v>
      </c>
      <c r="I44" s="638">
        <f>+H44/E44</f>
        <v>0.10000000000000006</v>
      </c>
    </row>
    <row r="46" spans="1:9" ht="13.5" thickBot="1" x14ac:dyDescent="0.25">
      <c r="A46" s="613" t="s">
        <v>4137</v>
      </c>
      <c r="B46" s="613" t="s">
        <v>4543</v>
      </c>
      <c r="C46" s="613"/>
      <c r="D46" s="614"/>
      <c r="E46" s="614">
        <f>SUM(E33:E44)</f>
        <v>402.59333333333331</v>
      </c>
      <c r="F46" s="613"/>
      <c r="G46" s="614">
        <f>SUM(G33:G44)</f>
        <v>445.90300000000002</v>
      </c>
      <c r="H46" s="614">
        <f>+G46-E46</f>
        <v>43.309666666666715</v>
      </c>
      <c r="I46" s="627">
        <f>+H46/E46</f>
        <v>0.10757671099041229</v>
      </c>
    </row>
    <row r="47" spans="1:9" ht="13.5" thickTop="1" x14ac:dyDescent="0.2"/>
    <row r="48" spans="1:9" s="537" customFormat="1" x14ac:dyDescent="0.2">
      <c r="A48" s="617"/>
      <c r="B48" s="524" t="s">
        <v>4543</v>
      </c>
      <c r="C48" s="524" t="s">
        <v>4544</v>
      </c>
      <c r="E48" s="618"/>
      <c r="G48" s="618"/>
      <c r="H48" s="618"/>
      <c r="I48" s="638"/>
    </row>
    <row r="49" spans="1:12" s="537" customFormat="1" x14ac:dyDescent="0.2"/>
    <row r="50" spans="1:12" s="537" customFormat="1" x14ac:dyDescent="0.2">
      <c r="A50" s="615"/>
      <c r="E50" s="621"/>
      <c r="F50" s="615"/>
      <c r="G50" s="621"/>
      <c r="H50" s="621"/>
      <c r="I50" s="639"/>
    </row>
    <row r="51" spans="1:12" x14ac:dyDescent="0.2">
      <c r="A51" s="759" t="s">
        <v>4553</v>
      </c>
      <c r="B51" s="759"/>
      <c r="C51" s="759"/>
      <c r="D51" s="759"/>
      <c r="E51" s="759"/>
      <c r="F51" s="759"/>
      <c r="G51" s="759"/>
      <c r="H51" s="759"/>
      <c r="I51" s="759"/>
    </row>
    <row r="52" spans="1:12" x14ac:dyDescent="0.2">
      <c r="A52" s="524"/>
    </row>
    <row r="53" spans="1:12" x14ac:dyDescent="0.2">
      <c r="C53" s="606" t="s">
        <v>4530</v>
      </c>
      <c r="D53" s="606" t="s">
        <v>4526</v>
      </c>
      <c r="E53" s="606" t="s">
        <v>4531</v>
      </c>
      <c r="F53" s="606" t="s">
        <v>4527</v>
      </c>
      <c r="G53" s="606" t="s">
        <v>4531</v>
      </c>
      <c r="H53" s="606" t="s">
        <v>4528</v>
      </c>
      <c r="I53" s="606" t="s">
        <v>4529</v>
      </c>
    </row>
    <row r="54" spans="1:12" x14ac:dyDescent="0.2">
      <c r="C54" s="606"/>
      <c r="D54" s="606"/>
      <c r="E54" s="606"/>
      <c r="F54" s="606"/>
      <c r="G54" s="606"/>
      <c r="H54" s="606"/>
      <c r="I54" s="606"/>
    </row>
    <row r="55" spans="1:12" x14ac:dyDescent="0.2">
      <c r="D55" s="606"/>
      <c r="E55" s="606"/>
      <c r="F55" s="606"/>
      <c r="G55" s="606"/>
      <c r="H55" s="606"/>
      <c r="I55" s="606"/>
      <c r="K55" s="629"/>
      <c r="L55" s="630" t="s">
        <v>4535</v>
      </c>
    </row>
    <row r="56" spans="1:12" x14ac:dyDescent="0.2">
      <c r="A56" s="542" t="s">
        <v>3505</v>
      </c>
      <c r="B56" s="628">
        <v>60000</v>
      </c>
      <c r="C56" s="607">
        <v>13800</v>
      </c>
      <c r="D56" s="623">
        <v>3.9E-2</v>
      </c>
      <c r="E56" s="607">
        <f>+C56*D56/9</f>
        <v>59.800000000000004</v>
      </c>
      <c r="F56" s="648">
        <f>G56/B56*9</f>
        <v>9.8670000000000008E-3</v>
      </c>
      <c r="G56" s="607">
        <f>E56*1.1</f>
        <v>65.780000000000015</v>
      </c>
      <c r="H56" s="607">
        <f>+G56-E56</f>
        <v>5.9800000000000111</v>
      </c>
      <c r="I56" s="625">
        <f>+H56/E56</f>
        <v>0.10000000000000017</v>
      </c>
    </row>
    <row r="57" spans="1:12" x14ac:dyDescent="0.2">
      <c r="A57" s="542" t="s">
        <v>4536</v>
      </c>
      <c r="B57" s="628">
        <v>0</v>
      </c>
      <c r="C57" s="611">
        <v>0</v>
      </c>
      <c r="D57" s="631">
        <v>3.9E-2</v>
      </c>
      <c r="E57" s="611">
        <f>-C57*D57/9</f>
        <v>0</v>
      </c>
      <c r="F57" s="695">
        <f>+G57/B56</f>
        <v>0</v>
      </c>
      <c r="G57" s="611">
        <v>0</v>
      </c>
      <c r="H57" s="611">
        <f>+G57-E57</f>
        <v>0</v>
      </c>
      <c r="I57" s="626">
        <v>0</v>
      </c>
    </row>
    <row r="58" spans="1:12" x14ac:dyDescent="0.2">
      <c r="E58" s="607">
        <f>+E56+E57</f>
        <v>59.800000000000004</v>
      </c>
      <c r="G58" s="607">
        <f>G56+G57</f>
        <v>65.780000000000015</v>
      </c>
      <c r="H58" s="607">
        <f>+G58-E58</f>
        <v>5.9800000000000111</v>
      </c>
      <c r="I58" s="625">
        <f>+H58/E58</f>
        <v>0.10000000000000017</v>
      </c>
    </row>
    <row r="59" spans="1:12" x14ac:dyDescent="0.2">
      <c r="E59" s="607"/>
      <c r="G59" s="607"/>
      <c r="K59" s="649"/>
    </row>
    <row r="60" spans="1:12" x14ac:dyDescent="0.2">
      <c r="A60" s="542" t="s">
        <v>4549</v>
      </c>
      <c r="C60" s="605">
        <v>0</v>
      </c>
      <c r="D60">
        <v>0.95</v>
      </c>
      <c r="E60" s="607">
        <v>0</v>
      </c>
      <c r="F60" s="607">
        <f>0.95*1.22</f>
        <v>1.159</v>
      </c>
      <c r="G60" s="607">
        <v>0</v>
      </c>
      <c r="H60" s="607">
        <f>+G60-E60</f>
        <v>0</v>
      </c>
      <c r="I60" s="625">
        <v>0</v>
      </c>
    </row>
    <row r="61" spans="1:12" x14ac:dyDescent="0.2">
      <c r="A61" s="542" t="s">
        <v>4550</v>
      </c>
      <c r="C61" s="624">
        <v>421</v>
      </c>
      <c r="D61">
        <v>0.95</v>
      </c>
      <c r="E61" s="607">
        <f>+C61*D61</f>
        <v>399.95</v>
      </c>
      <c r="F61" s="607">
        <f>0.95*1.22</f>
        <v>1.159</v>
      </c>
      <c r="G61" s="607">
        <f>+C61*F61</f>
        <v>487.93900000000002</v>
      </c>
      <c r="H61" s="607">
        <f>+G61-E61</f>
        <v>87.989000000000033</v>
      </c>
      <c r="I61" s="625">
        <f>+H61/E61</f>
        <v>0.22000000000000008</v>
      </c>
    </row>
    <row r="63" spans="1:12" x14ac:dyDescent="0.2">
      <c r="A63" s="542" t="s">
        <v>4551</v>
      </c>
      <c r="C63" s="605">
        <v>6</v>
      </c>
      <c r="D63" s="607">
        <v>0</v>
      </c>
      <c r="E63" s="607">
        <v>0</v>
      </c>
      <c r="F63" s="607">
        <v>0</v>
      </c>
      <c r="G63" s="607">
        <v>0</v>
      </c>
      <c r="H63" s="607">
        <v>0</v>
      </c>
      <c r="I63" s="625">
        <v>0</v>
      </c>
    </row>
    <row r="64" spans="1:12" x14ac:dyDescent="0.2">
      <c r="A64" s="542" t="s">
        <v>4552</v>
      </c>
      <c r="C64" s="605">
        <v>16</v>
      </c>
      <c r="D64">
        <v>4.74</v>
      </c>
      <c r="E64">
        <f>+C64*D64</f>
        <v>75.84</v>
      </c>
      <c r="F64" s="607">
        <f>+D64*1.1</f>
        <v>5.2140000000000004</v>
      </c>
      <c r="G64" s="607">
        <f>+C64*F64</f>
        <v>83.424000000000007</v>
      </c>
      <c r="H64" s="607">
        <f>+G64-E64</f>
        <v>7.5840000000000032</v>
      </c>
      <c r="I64" s="625">
        <f>+H64/E64</f>
        <v>0.10000000000000003</v>
      </c>
    </row>
    <row r="65" spans="1:12" x14ac:dyDescent="0.2">
      <c r="A65" s="542" t="s">
        <v>4541</v>
      </c>
      <c r="C65" s="605">
        <v>0</v>
      </c>
      <c r="D65" s="607">
        <v>14.9</v>
      </c>
      <c r="E65" s="607">
        <f>+D65</f>
        <v>14.9</v>
      </c>
      <c r="F65" s="607">
        <f>+D65*1.1</f>
        <v>16.39</v>
      </c>
      <c r="G65" s="607">
        <f>+F65</f>
        <v>16.39</v>
      </c>
      <c r="H65" s="607">
        <f>+G65-E65</f>
        <v>1.4900000000000002</v>
      </c>
      <c r="I65" s="625">
        <f>+H65/E65</f>
        <v>0.1</v>
      </c>
    </row>
    <row r="67" spans="1:12" x14ac:dyDescent="0.2">
      <c r="A67" s="542" t="s">
        <v>3508</v>
      </c>
      <c r="C67">
        <v>1</v>
      </c>
      <c r="D67">
        <v>42.98</v>
      </c>
      <c r="E67">
        <f>+C67*D67</f>
        <v>42.98</v>
      </c>
      <c r="F67" s="607">
        <f>+D67*1.1</f>
        <v>47.277999999999999</v>
      </c>
      <c r="G67" s="608">
        <f>+C67*F67</f>
        <v>47.277999999999999</v>
      </c>
      <c r="H67" s="607">
        <f>+G67-E67</f>
        <v>4.2980000000000018</v>
      </c>
      <c r="I67" s="625">
        <f>+H67/E67</f>
        <v>0.10000000000000005</v>
      </c>
    </row>
    <row r="68" spans="1:12" x14ac:dyDescent="0.2">
      <c r="A68" s="537"/>
      <c r="B68" s="537"/>
      <c r="C68" s="537"/>
      <c r="D68" s="537"/>
      <c r="E68" s="537"/>
      <c r="F68" s="537"/>
      <c r="G68" s="537"/>
      <c r="H68" s="537"/>
      <c r="I68" s="537"/>
    </row>
    <row r="69" spans="1:12" x14ac:dyDescent="0.2">
      <c r="A69" s="617" t="s">
        <v>3509</v>
      </c>
      <c r="B69" s="537"/>
      <c r="C69" s="537">
        <v>1</v>
      </c>
      <c r="D69" s="537">
        <v>32.46</v>
      </c>
      <c r="E69" s="537">
        <f>+C69*D69</f>
        <v>32.46</v>
      </c>
      <c r="F69" s="618">
        <f>+D69*1.1</f>
        <v>35.706000000000003</v>
      </c>
      <c r="G69" s="618">
        <f>+C69*F69</f>
        <v>35.706000000000003</v>
      </c>
      <c r="H69" s="618">
        <f>+G69-E69</f>
        <v>3.2460000000000022</v>
      </c>
      <c r="I69" s="638">
        <f>+H69/E69</f>
        <v>0.10000000000000006</v>
      </c>
    </row>
    <row r="71" spans="1:12" ht="13.5" thickBot="1" x14ac:dyDescent="0.25">
      <c r="A71" s="613" t="s">
        <v>4137</v>
      </c>
      <c r="B71" s="613" t="s">
        <v>4543</v>
      </c>
      <c r="C71" s="613"/>
      <c r="D71" s="614"/>
      <c r="E71" s="614">
        <f>SUM(E58:E69)</f>
        <v>625.93000000000006</v>
      </c>
      <c r="F71" s="613"/>
      <c r="G71" s="614">
        <f>SUM(G58:G69)</f>
        <v>736.51700000000005</v>
      </c>
      <c r="H71" s="614">
        <f>+G71-E71</f>
        <v>110.58699999999999</v>
      </c>
      <c r="I71" s="627">
        <f>+H71/E71</f>
        <v>0.17667630565718206</v>
      </c>
    </row>
    <row r="72" spans="1:12" ht="13.5" thickTop="1" x14ac:dyDescent="0.2"/>
    <row r="73" spans="1:12" x14ac:dyDescent="0.2">
      <c r="A73" s="617"/>
      <c r="B73" s="524" t="s">
        <v>4543</v>
      </c>
      <c r="C73" s="524" t="s">
        <v>4544</v>
      </c>
      <c r="D73" s="537"/>
      <c r="E73" s="618"/>
      <c r="F73" s="537"/>
      <c r="G73" s="618"/>
      <c r="H73" s="618"/>
      <c r="I73" s="638"/>
      <c r="J73" s="537"/>
      <c r="K73" s="537"/>
      <c r="L73" s="537"/>
    </row>
    <row r="74" spans="1:12" x14ac:dyDescent="0.2">
      <c r="A74" s="640"/>
      <c r="B74" s="640"/>
      <c r="C74" s="640"/>
      <c r="D74" s="640"/>
      <c r="E74" s="640"/>
      <c r="F74" s="640"/>
      <c r="G74" s="640"/>
      <c r="H74" s="640"/>
      <c r="I74" s="640"/>
      <c r="J74" s="640"/>
      <c r="K74" s="640"/>
      <c r="L74" s="640"/>
    </row>
    <row r="76" spans="1:12" x14ac:dyDescent="0.2">
      <c r="A76" s="759" t="s">
        <v>4554</v>
      </c>
      <c r="B76" s="759"/>
      <c r="C76" s="759"/>
      <c r="D76" s="759"/>
      <c r="E76" s="759"/>
      <c r="F76" s="759"/>
      <c r="G76" s="759"/>
      <c r="H76" s="759"/>
      <c r="I76" s="759"/>
    </row>
    <row r="77" spans="1:12" x14ac:dyDescent="0.2">
      <c r="A77" s="524"/>
    </row>
    <row r="78" spans="1:12" x14ac:dyDescent="0.2">
      <c r="C78" s="606" t="s">
        <v>4530</v>
      </c>
      <c r="D78" s="606" t="s">
        <v>4526</v>
      </c>
      <c r="E78" s="606" t="s">
        <v>4531</v>
      </c>
      <c r="F78" s="606" t="s">
        <v>4527</v>
      </c>
      <c r="G78" s="606" t="s">
        <v>4531</v>
      </c>
      <c r="H78" s="606" t="s">
        <v>4528</v>
      </c>
      <c r="I78" s="606" t="s">
        <v>4529</v>
      </c>
    </row>
    <row r="79" spans="1:12" x14ac:dyDescent="0.2">
      <c r="C79" s="606"/>
      <c r="D79" s="606"/>
      <c r="E79" s="606"/>
      <c r="F79" s="606"/>
      <c r="G79" s="606"/>
      <c r="H79" s="606"/>
      <c r="I79" s="606"/>
    </row>
    <row r="80" spans="1:12" x14ac:dyDescent="0.2">
      <c r="D80" s="606"/>
      <c r="E80" s="606"/>
      <c r="F80" s="606"/>
      <c r="G80" s="606"/>
      <c r="H80" s="606"/>
      <c r="I80" s="606"/>
      <c r="K80" s="629"/>
      <c r="L80" s="630" t="s">
        <v>4535</v>
      </c>
    </row>
    <row r="81" spans="1:14" x14ac:dyDescent="0.2">
      <c r="A81" s="542" t="s">
        <v>3505</v>
      </c>
      <c r="B81" s="628">
        <v>240000</v>
      </c>
      <c r="C81" s="607">
        <v>54000</v>
      </c>
      <c r="D81" s="623">
        <v>3.9E-2</v>
      </c>
      <c r="E81" s="607">
        <f>+C81*D81/9</f>
        <v>234</v>
      </c>
      <c r="F81" s="648">
        <f>G81/B81*9</f>
        <v>9.6525000000000014E-3</v>
      </c>
      <c r="G81" s="607">
        <f>E81*1.1</f>
        <v>257.40000000000003</v>
      </c>
      <c r="H81" s="607">
        <f>+G81-E81</f>
        <v>23.400000000000034</v>
      </c>
      <c r="I81" s="625">
        <f>+H81/E81</f>
        <v>0.10000000000000014</v>
      </c>
    </row>
    <row r="82" spans="1:14" x14ac:dyDescent="0.2">
      <c r="A82" s="542" t="s">
        <v>4536</v>
      </c>
      <c r="B82" s="628">
        <v>71500</v>
      </c>
      <c r="C82" s="611">
        <v>15000</v>
      </c>
      <c r="D82" s="631">
        <v>3.9E-2</v>
      </c>
      <c r="E82" s="611">
        <f>-C82*D82/9</f>
        <v>-65</v>
      </c>
      <c r="F82" s="695">
        <f>-G82/B82*9</f>
        <v>9.0000000000000045E-3</v>
      </c>
      <c r="G82" s="611">
        <f>G83-G81</f>
        <v>-71.500000000000028</v>
      </c>
      <c r="H82" s="611">
        <f>+G82-E82</f>
        <v>-6.5000000000000284</v>
      </c>
      <c r="I82" s="626">
        <f>H82/E82</f>
        <v>0.10000000000000044</v>
      </c>
    </row>
    <row r="83" spans="1:14" x14ac:dyDescent="0.2">
      <c r="E83" s="607">
        <f>+E81+E82</f>
        <v>169</v>
      </c>
      <c r="G83" s="607">
        <f>E83*1.1</f>
        <v>185.9</v>
      </c>
      <c r="H83" s="607">
        <f>+G83-E83</f>
        <v>16.900000000000006</v>
      </c>
      <c r="I83" s="625">
        <f>+H83/E83</f>
        <v>0.10000000000000003</v>
      </c>
      <c r="K83" s="607"/>
      <c r="L83" s="607"/>
      <c r="N83" s="648"/>
    </row>
    <row r="84" spans="1:14" x14ac:dyDescent="0.2">
      <c r="E84" s="607"/>
      <c r="G84" s="607"/>
    </row>
    <row r="85" spans="1:14" x14ac:dyDescent="0.2">
      <c r="A85" s="542" t="s">
        <v>4549</v>
      </c>
      <c r="C85" s="605">
        <v>0</v>
      </c>
      <c r="D85">
        <v>0.95</v>
      </c>
      <c r="E85" s="607">
        <v>0</v>
      </c>
      <c r="F85" s="607">
        <f>0.95*1.22</f>
        <v>1.159</v>
      </c>
      <c r="G85" s="607">
        <v>0</v>
      </c>
      <c r="H85" s="607">
        <f>+G85-E85</f>
        <v>0</v>
      </c>
      <c r="I85" s="625">
        <v>0</v>
      </c>
    </row>
    <row r="86" spans="1:14" x14ac:dyDescent="0.2">
      <c r="A86" s="542" t="s">
        <v>4550</v>
      </c>
      <c r="C86" s="624">
        <v>526</v>
      </c>
      <c r="D86">
        <v>0.95</v>
      </c>
      <c r="E86" s="607">
        <f>+C86*D86</f>
        <v>499.7</v>
      </c>
      <c r="F86" s="607">
        <f>0.95*1.22</f>
        <v>1.159</v>
      </c>
      <c r="G86" s="607">
        <f>+C86*F86</f>
        <v>609.63400000000001</v>
      </c>
      <c r="H86" s="607">
        <f>+G86-E86</f>
        <v>109.93400000000003</v>
      </c>
      <c r="I86" s="625">
        <f>+H86/E86</f>
        <v>0.22000000000000006</v>
      </c>
    </row>
    <row r="88" spans="1:14" x14ac:dyDescent="0.2">
      <c r="A88" s="542" t="s">
        <v>4551</v>
      </c>
      <c r="C88" s="605">
        <v>6</v>
      </c>
      <c r="D88" s="607">
        <v>0</v>
      </c>
      <c r="E88" s="607">
        <v>0</v>
      </c>
      <c r="F88" s="607">
        <v>0</v>
      </c>
      <c r="G88" s="607">
        <v>0</v>
      </c>
      <c r="H88" s="607">
        <v>0</v>
      </c>
      <c r="I88" s="625">
        <v>0</v>
      </c>
    </row>
    <row r="89" spans="1:14" x14ac:dyDescent="0.2">
      <c r="A89" s="542" t="s">
        <v>4552</v>
      </c>
      <c r="C89" s="605">
        <v>18</v>
      </c>
      <c r="D89">
        <v>4.74</v>
      </c>
      <c r="E89">
        <f>+C89*D89</f>
        <v>85.320000000000007</v>
      </c>
      <c r="F89" s="607">
        <f>+D89*1.1</f>
        <v>5.2140000000000004</v>
      </c>
      <c r="G89" s="607">
        <f>+C89*F89</f>
        <v>93.852000000000004</v>
      </c>
      <c r="H89" s="607">
        <f>+G89-E89</f>
        <v>8.5319999999999965</v>
      </c>
      <c r="I89" s="625">
        <f>+H89/E89</f>
        <v>9.999999999999995E-2</v>
      </c>
    </row>
    <row r="90" spans="1:14" x14ac:dyDescent="0.2">
      <c r="A90" s="542" t="s">
        <v>4541</v>
      </c>
      <c r="C90" s="605">
        <v>0</v>
      </c>
      <c r="D90" s="607">
        <v>14.9</v>
      </c>
      <c r="E90" s="607">
        <f>+D90</f>
        <v>14.9</v>
      </c>
      <c r="F90" s="607">
        <f>+D90*1.1</f>
        <v>16.39</v>
      </c>
      <c r="G90" s="607">
        <f>+F90</f>
        <v>16.39</v>
      </c>
      <c r="H90" s="607">
        <f>+G90-E90</f>
        <v>1.4900000000000002</v>
      </c>
      <c r="I90" s="625">
        <f>+H90/E90</f>
        <v>0.1</v>
      </c>
    </row>
    <row r="92" spans="1:14" x14ac:dyDescent="0.2">
      <c r="A92" s="542" t="s">
        <v>3508</v>
      </c>
      <c r="C92">
        <v>1</v>
      </c>
      <c r="D92">
        <v>42.98</v>
      </c>
      <c r="E92">
        <f>+C92*D92</f>
        <v>42.98</v>
      </c>
      <c r="F92" s="607">
        <f>+D92*1.1</f>
        <v>47.277999999999999</v>
      </c>
      <c r="G92" s="608">
        <f>+C92*F92</f>
        <v>47.277999999999999</v>
      </c>
      <c r="H92" s="607">
        <f>+G92-E92</f>
        <v>4.2980000000000018</v>
      </c>
      <c r="I92" s="625">
        <f>+H92/E92</f>
        <v>0.10000000000000005</v>
      </c>
    </row>
    <row r="93" spans="1:14" x14ac:dyDescent="0.2">
      <c r="A93" s="537"/>
      <c r="B93" s="537"/>
      <c r="C93" s="537"/>
      <c r="D93" s="537"/>
      <c r="E93" s="537"/>
      <c r="F93" s="537"/>
      <c r="G93" s="537"/>
      <c r="H93" s="537"/>
      <c r="I93" s="537"/>
    </row>
    <row r="94" spans="1:14" x14ac:dyDescent="0.2">
      <c r="A94" s="617" t="s">
        <v>3509</v>
      </c>
      <c r="B94" s="537"/>
      <c r="C94" s="537">
        <v>1</v>
      </c>
      <c r="D94" s="537">
        <v>32.46</v>
      </c>
      <c r="E94" s="537">
        <f>+C94*D94</f>
        <v>32.46</v>
      </c>
      <c r="F94" s="618">
        <f>+D94*1.1</f>
        <v>35.706000000000003</v>
      </c>
      <c r="G94" s="618">
        <f>+C94*F94</f>
        <v>35.706000000000003</v>
      </c>
      <c r="H94" s="618">
        <f>+G94-E94</f>
        <v>3.2460000000000022</v>
      </c>
      <c r="I94" s="638">
        <f>+H94/E94</f>
        <v>0.10000000000000006</v>
      </c>
    </row>
    <row r="96" spans="1:14" ht="13.5" thickBot="1" x14ac:dyDescent="0.25">
      <c r="A96" s="613" t="s">
        <v>4137</v>
      </c>
      <c r="B96" s="613" t="s">
        <v>4543</v>
      </c>
      <c r="C96" s="613"/>
      <c r="D96" s="614"/>
      <c r="E96" s="614">
        <f>SUM(E83:E94)</f>
        <v>844.36000000000013</v>
      </c>
      <c r="F96" s="613"/>
      <c r="G96" s="614">
        <f>SUM(G83:G94)</f>
        <v>988.76</v>
      </c>
      <c r="H96" s="614">
        <f>+G96-E96</f>
        <v>144.39999999999986</v>
      </c>
      <c r="I96" s="627">
        <f>+H96/E96</f>
        <v>0.17101710171017084</v>
      </c>
    </row>
    <row r="97" spans="1:12" ht="13.5" thickTop="1" x14ac:dyDescent="0.2"/>
    <row r="98" spans="1:12" x14ac:dyDescent="0.2">
      <c r="A98" s="617"/>
      <c r="B98" s="524" t="s">
        <v>4543</v>
      </c>
      <c r="C98" s="524" t="s">
        <v>4544</v>
      </c>
      <c r="D98" s="537"/>
      <c r="E98" s="618"/>
      <c r="F98" s="537"/>
      <c r="G98" s="618"/>
      <c r="H98" s="618"/>
      <c r="I98" s="638"/>
      <c r="J98" s="537"/>
      <c r="K98" s="537"/>
      <c r="L98" s="537"/>
    </row>
    <row r="101" spans="1:12" x14ac:dyDescent="0.2">
      <c r="A101" s="759" t="s">
        <v>4555</v>
      </c>
      <c r="B101" s="759"/>
      <c r="C101" s="759"/>
      <c r="D101" s="759"/>
      <c r="E101" s="759"/>
      <c r="F101" s="759"/>
      <c r="G101" s="759"/>
      <c r="H101" s="759"/>
      <c r="I101" s="759"/>
    </row>
    <row r="102" spans="1:12" x14ac:dyDescent="0.2">
      <c r="A102" s="524"/>
    </row>
    <row r="103" spans="1:12" x14ac:dyDescent="0.2">
      <c r="C103" s="606" t="s">
        <v>4530</v>
      </c>
      <c r="D103" s="606" t="s">
        <v>4526</v>
      </c>
      <c r="E103" s="606" t="s">
        <v>4531</v>
      </c>
      <c r="F103" s="606" t="s">
        <v>4527</v>
      </c>
      <c r="G103" s="606" t="s">
        <v>4531</v>
      </c>
      <c r="H103" s="606" t="s">
        <v>4528</v>
      </c>
      <c r="I103" s="606" t="s">
        <v>4529</v>
      </c>
    </row>
    <row r="104" spans="1:12" x14ac:dyDescent="0.2">
      <c r="C104" s="606"/>
      <c r="D104" s="606"/>
      <c r="E104" s="606"/>
      <c r="F104" s="606"/>
      <c r="G104" s="606"/>
      <c r="H104" s="606"/>
      <c r="I104" s="606"/>
    </row>
    <row r="105" spans="1:12" x14ac:dyDescent="0.2">
      <c r="D105" s="606"/>
      <c r="E105" s="606"/>
      <c r="F105" s="606"/>
      <c r="G105" s="606"/>
      <c r="H105" s="606"/>
      <c r="I105" s="606"/>
      <c r="K105" s="629"/>
      <c r="L105" s="630" t="s">
        <v>4535</v>
      </c>
    </row>
    <row r="106" spans="1:12" x14ac:dyDescent="0.2">
      <c r="A106" s="542" t="s">
        <v>3505</v>
      </c>
      <c r="B106" s="628">
        <v>420000</v>
      </c>
      <c r="C106" s="607">
        <v>76000</v>
      </c>
      <c r="D106" s="623">
        <v>3.9E-2</v>
      </c>
      <c r="E106" s="607">
        <f>+C106*D106/9</f>
        <v>329.33333333333331</v>
      </c>
      <c r="F106" s="648">
        <f>G106/B106*9</f>
        <v>7.7628571428571425E-3</v>
      </c>
      <c r="G106" s="607">
        <f>E106*1.1</f>
        <v>362.26666666666665</v>
      </c>
      <c r="H106" s="607">
        <f>+G106-E106</f>
        <v>32.933333333333337</v>
      </c>
      <c r="I106" s="625">
        <f>+H106/E106</f>
        <v>0.10000000000000002</v>
      </c>
    </row>
    <row r="107" spans="1:12" x14ac:dyDescent="0.2">
      <c r="A107" s="542" t="s">
        <v>4536</v>
      </c>
      <c r="B107" s="641">
        <v>71500</v>
      </c>
      <c r="C107" s="611">
        <v>15000</v>
      </c>
      <c r="D107" s="631">
        <v>3.9E-2</v>
      </c>
      <c r="E107" s="611">
        <f>-C107*D107/9</f>
        <v>-65</v>
      </c>
      <c r="F107" s="695">
        <f>-G107/B107*9</f>
        <v>9.0000000000000011E-3</v>
      </c>
      <c r="G107" s="611">
        <f>G108-G106</f>
        <v>-71.5</v>
      </c>
      <c r="H107" s="611">
        <f>+G107-E107</f>
        <v>-6.5</v>
      </c>
      <c r="I107" s="626">
        <f>H107/E107</f>
        <v>0.1</v>
      </c>
    </row>
    <row r="108" spans="1:12" x14ac:dyDescent="0.2">
      <c r="E108" s="607">
        <f>+E106+E107</f>
        <v>264.33333333333331</v>
      </c>
      <c r="G108" s="607">
        <f>E108*1.1</f>
        <v>290.76666666666665</v>
      </c>
      <c r="H108" s="607">
        <f>+G108-E108</f>
        <v>26.433333333333337</v>
      </c>
      <c r="I108" s="625">
        <f>+H108/E108</f>
        <v>0.10000000000000002</v>
      </c>
      <c r="K108" s="607"/>
    </row>
    <row r="109" spans="1:12" x14ac:dyDescent="0.2">
      <c r="E109" s="607"/>
      <c r="G109" s="607"/>
      <c r="L109" s="607"/>
    </row>
    <row r="110" spans="1:12" x14ac:dyDescent="0.2">
      <c r="A110" s="542" t="s">
        <v>4549</v>
      </c>
      <c r="C110" s="605">
        <v>0</v>
      </c>
      <c r="D110">
        <v>0.95</v>
      </c>
      <c r="E110" s="607">
        <v>0</v>
      </c>
      <c r="F110" s="607">
        <f>0.95*1.22</f>
        <v>1.159</v>
      </c>
      <c r="G110" s="607">
        <v>0</v>
      </c>
      <c r="H110" s="607">
        <f>+G110-E110</f>
        <v>0</v>
      </c>
      <c r="I110" s="625">
        <v>0</v>
      </c>
    </row>
    <row r="111" spans="1:12" x14ac:dyDescent="0.2">
      <c r="A111" s="542" t="s">
        <v>4550</v>
      </c>
      <c r="C111" s="624">
        <v>842</v>
      </c>
      <c r="D111">
        <v>0.95</v>
      </c>
      <c r="E111" s="607">
        <f>+C111*D111</f>
        <v>799.9</v>
      </c>
      <c r="F111" s="607">
        <f>0.95*1.22</f>
        <v>1.159</v>
      </c>
      <c r="G111" s="607">
        <f>+C111*F111</f>
        <v>975.87800000000004</v>
      </c>
      <c r="H111" s="607">
        <f>+G111-E111</f>
        <v>175.97800000000007</v>
      </c>
      <c r="I111" s="625">
        <f>+H111/E111</f>
        <v>0.22000000000000008</v>
      </c>
    </row>
    <row r="113" spans="1:12" x14ac:dyDescent="0.2">
      <c r="A113" s="542" t="s">
        <v>4551</v>
      </c>
      <c r="C113" s="605">
        <v>6</v>
      </c>
      <c r="D113" s="607">
        <v>0</v>
      </c>
      <c r="E113" s="607">
        <v>0</v>
      </c>
      <c r="F113" s="607">
        <v>0</v>
      </c>
      <c r="G113" s="607">
        <v>0</v>
      </c>
      <c r="H113" s="607">
        <v>0</v>
      </c>
      <c r="I113" s="625">
        <v>0</v>
      </c>
    </row>
    <row r="114" spans="1:12" x14ac:dyDescent="0.2">
      <c r="A114" s="542" t="s">
        <v>707</v>
      </c>
      <c r="C114" s="605">
        <v>65</v>
      </c>
      <c r="D114" s="607">
        <v>5.86</v>
      </c>
      <c r="E114" s="607">
        <f>+C114*D114</f>
        <v>380.90000000000003</v>
      </c>
      <c r="F114" s="607">
        <f>+D114*1.1</f>
        <v>6.4460000000000006</v>
      </c>
      <c r="G114" s="607">
        <f>+C114*F114</f>
        <v>418.99000000000007</v>
      </c>
      <c r="H114" s="607">
        <f>+G114-E114</f>
        <v>38.090000000000032</v>
      </c>
      <c r="I114" s="625">
        <f>+H114/E114</f>
        <v>0.10000000000000007</v>
      </c>
    </row>
    <row r="115" spans="1:12" x14ac:dyDescent="0.2">
      <c r="A115" s="542" t="s">
        <v>4541</v>
      </c>
      <c r="C115" s="605">
        <v>0</v>
      </c>
      <c r="D115" s="607">
        <v>14.9</v>
      </c>
      <c r="E115" s="607">
        <f>+D115</f>
        <v>14.9</v>
      </c>
      <c r="F115" s="607">
        <f>+D115*1.1</f>
        <v>16.39</v>
      </c>
      <c r="G115" s="607">
        <f>+F115</f>
        <v>16.39</v>
      </c>
      <c r="H115" s="607">
        <f>+G115-E115</f>
        <v>1.4900000000000002</v>
      </c>
      <c r="I115" s="625">
        <f>+H115/E115</f>
        <v>0.1</v>
      </c>
    </row>
    <row r="117" spans="1:12" x14ac:dyDescent="0.2">
      <c r="A117" s="542" t="s">
        <v>3508</v>
      </c>
      <c r="C117">
        <v>1</v>
      </c>
      <c r="D117">
        <v>42.98</v>
      </c>
      <c r="E117">
        <f>+C117*D117</f>
        <v>42.98</v>
      </c>
      <c r="F117" s="607">
        <f>+D117*1.1</f>
        <v>47.277999999999999</v>
      </c>
      <c r="G117" s="608">
        <f>+C117*F117</f>
        <v>47.277999999999999</v>
      </c>
      <c r="H117" s="607">
        <f>+G117-E117</f>
        <v>4.2980000000000018</v>
      </c>
      <c r="I117" s="625">
        <f>+H117/E117</f>
        <v>0.10000000000000005</v>
      </c>
    </row>
    <row r="118" spans="1:12" x14ac:dyDescent="0.2">
      <c r="A118" s="537"/>
      <c r="B118" s="537"/>
      <c r="C118" s="537"/>
      <c r="D118" s="537"/>
      <c r="E118" s="537"/>
      <c r="F118" s="537"/>
      <c r="G118" s="537"/>
      <c r="H118" s="537"/>
      <c r="I118" s="537"/>
    </row>
    <row r="119" spans="1:12" x14ac:dyDescent="0.2">
      <c r="A119" s="617" t="s">
        <v>3509</v>
      </c>
      <c r="B119" s="537"/>
      <c r="C119" s="537">
        <v>1</v>
      </c>
      <c r="D119" s="537">
        <v>32.46</v>
      </c>
      <c r="E119" s="537">
        <f>+C119*D119</f>
        <v>32.46</v>
      </c>
      <c r="F119" s="618">
        <f>+D119*1.1</f>
        <v>35.706000000000003</v>
      </c>
      <c r="G119" s="618">
        <f>+C119*F119</f>
        <v>35.706000000000003</v>
      </c>
      <c r="H119" s="618">
        <f>+G119-E119</f>
        <v>3.2460000000000022</v>
      </c>
      <c r="I119" s="638">
        <f>+H119/E119</f>
        <v>0.10000000000000006</v>
      </c>
    </row>
    <row r="121" spans="1:12" ht="13.5" thickBot="1" x14ac:dyDescent="0.25">
      <c r="A121" s="613" t="s">
        <v>4137</v>
      </c>
      <c r="B121" s="613" t="s">
        <v>4543</v>
      </c>
      <c r="C121" s="613"/>
      <c r="D121" s="614"/>
      <c r="E121" s="614">
        <f>SUM(E108:E119)</f>
        <v>1535.4733333333336</v>
      </c>
      <c r="F121" s="613"/>
      <c r="G121" s="614">
        <f>SUM(G108:G119)</f>
        <v>1785.0086666666666</v>
      </c>
      <c r="H121" s="614">
        <f>+G121-E121</f>
        <v>249.53533333333303</v>
      </c>
      <c r="I121" s="627">
        <f>+H121/E121</f>
        <v>0.16251362229236566</v>
      </c>
    </row>
    <row r="122" spans="1:12" ht="13.5" thickTop="1" x14ac:dyDescent="0.2"/>
    <row r="123" spans="1:12" x14ac:dyDescent="0.2">
      <c r="A123" s="617"/>
      <c r="B123" s="524" t="s">
        <v>4543</v>
      </c>
      <c r="C123" s="524" t="s">
        <v>4544</v>
      </c>
      <c r="D123" s="537"/>
      <c r="E123" s="618"/>
      <c r="F123" s="537"/>
      <c r="G123" s="618"/>
      <c r="H123" s="618"/>
      <c r="I123" s="638"/>
      <c r="J123" s="537"/>
      <c r="K123" s="537"/>
      <c r="L123" s="537"/>
    </row>
    <row r="124" spans="1:12" x14ac:dyDescent="0.2">
      <c r="B124" s="524" t="s">
        <v>708</v>
      </c>
      <c r="C124" s="524" t="s">
        <v>709</v>
      </c>
    </row>
    <row r="127" spans="1:12" x14ac:dyDescent="0.2">
      <c r="A127" s="759" t="s">
        <v>710</v>
      </c>
      <c r="B127" s="759"/>
      <c r="C127" s="759"/>
      <c r="D127" s="759"/>
      <c r="E127" s="759"/>
      <c r="F127" s="759"/>
      <c r="G127" s="759"/>
      <c r="H127" s="759"/>
      <c r="I127" s="759"/>
    </row>
    <row r="128" spans="1:12" x14ac:dyDescent="0.2">
      <c r="A128" s="524"/>
    </row>
    <row r="129" spans="1:13" x14ac:dyDescent="0.2">
      <c r="C129" s="606" t="s">
        <v>4530</v>
      </c>
      <c r="D129" s="606" t="s">
        <v>4526</v>
      </c>
      <c r="E129" s="606" t="s">
        <v>4531</v>
      </c>
      <c r="F129" s="606" t="s">
        <v>4527</v>
      </c>
      <c r="G129" s="606" t="s">
        <v>4531</v>
      </c>
      <c r="H129" s="606" t="s">
        <v>4528</v>
      </c>
      <c r="I129" s="606" t="s">
        <v>4529</v>
      </c>
    </row>
    <row r="130" spans="1:13" x14ac:dyDescent="0.2">
      <c r="C130" s="606"/>
      <c r="D130" s="606"/>
      <c r="E130" s="606"/>
      <c r="F130" s="606"/>
      <c r="G130" s="606"/>
      <c r="H130" s="606"/>
      <c r="I130" s="606"/>
    </row>
    <row r="131" spans="1:13" x14ac:dyDescent="0.2">
      <c r="D131" s="606"/>
      <c r="E131" s="606"/>
      <c r="F131" s="606"/>
      <c r="G131" s="606"/>
      <c r="H131" s="606"/>
      <c r="I131" s="606"/>
      <c r="K131" s="629"/>
      <c r="L131" s="630" t="s">
        <v>4535</v>
      </c>
    </row>
    <row r="132" spans="1:13" x14ac:dyDescent="0.2">
      <c r="A132" s="542" t="s">
        <v>3505</v>
      </c>
      <c r="B132" s="628">
        <v>940000</v>
      </c>
      <c r="C132" s="607">
        <v>122200</v>
      </c>
      <c r="D132" s="623">
        <v>3.9E-2</v>
      </c>
      <c r="E132" s="607">
        <f>+C132*D132/9</f>
        <v>529.5333333333333</v>
      </c>
      <c r="F132" s="623">
        <f>G132/B132*9</f>
        <v>5.5770000000000004E-3</v>
      </c>
      <c r="G132" s="607">
        <f>E132*1.1</f>
        <v>582.48666666666668</v>
      </c>
      <c r="H132" s="607">
        <f>+G132-E132</f>
        <v>52.953333333333376</v>
      </c>
      <c r="I132" s="625">
        <f>+H132/E132</f>
        <v>0.10000000000000009</v>
      </c>
    </row>
    <row r="133" spans="1:13" x14ac:dyDescent="0.2">
      <c r="A133" s="542" t="s">
        <v>4536</v>
      </c>
      <c r="B133" s="641">
        <v>71500</v>
      </c>
      <c r="C133" s="611">
        <v>15000</v>
      </c>
      <c r="D133" s="631">
        <v>3.9E-2</v>
      </c>
      <c r="E133" s="611">
        <f>-C133*D133/9</f>
        <v>-65</v>
      </c>
      <c r="F133" s="631">
        <v>8.9999999999999993E-3</v>
      </c>
      <c r="G133" s="611">
        <f>-G132+G134</f>
        <v>-71.5</v>
      </c>
      <c r="H133" s="611">
        <f>+G133-E133</f>
        <v>-6.5</v>
      </c>
      <c r="I133" s="626">
        <f>H133/E133</f>
        <v>0.1</v>
      </c>
      <c r="L133">
        <f>G132*9</f>
        <v>5242.38</v>
      </c>
    </row>
    <row r="134" spans="1:13" x14ac:dyDescent="0.2">
      <c r="E134" s="607">
        <f>+E132+E133</f>
        <v>464.5333333333333</v>
      </c>
      <c r="G134" s="607">
        <f>E134*1.1</f>
        <v>510.98666666666668</v>
      </c>
      <c r="H134" s="607">
        <f>+G134-E134</f>
        <v>46.453333333333376</v>
      </c>
      <c r="I134" s="625">
        <f>+H134/E134</f>
        <v>0.1000000000000001</v>
      </c>
      <c r="L134">
        <f>L133/B132</f>
        <v>5.5770000000000004E-3</v>
      </c>
    </row>
    <row r="135" spans="1:13" x14ac:dyDescent="0.2">
      <c r="E135" s="607"/>
      <c r="G135" s="607"/>
      <c r="L135" s="607"/>
      <c r="M135" s="542"/>
    </row>
    <row r="136" spans="1:13" x14ac:dyDescent="0.2">
      <c r="A136" s="542" t="s">
        <v>4549</v>
      </c>
      <c r="C136" s="605">
        <v>0</v>
      </c>
      <c r="D136">
        <v>0.95</v>
      </c>
      <c r="E136" s="607">
        <v>0</v>
      </c>
      <c r="F136" s="607">
        <f>0.95*1.22</f>
        <v>1.159</v>
      </c>
      <c r="G136" s="607">
        <v>0</v>
      </c>
      <c r="H136" s="607">
        <f>+G136-E136</f>
        <v>0</v>
      </c>
      <c r="I136" s="625">
        <v>0</v>
      </c>
    </row>
    <row r="137" spans="1:13" x14ac:dyDescent="0.2">
      <c r="A137" s="542" t="s">
        <v>4550</v>
      </c>
      <c r="C137" s="624">
        <v>421</v>
      </c>
      <c r="D137">
        <v>0.95</v>
      </c>
      <c r="E137" s="607">
        <f>+C137*D137</f>
        <v>399.95</v>
      </c>
      <c r="F137" s="607">
        <f>0.95*1.22</f>
        <v>1.159</v>
      </c>
      <c r="G137" s="607">
        <f>+C137*F137</f>
        <v>487.93900000000002</v>
      </c>
      <c r="H137" s="607">
        <f>+G137-E137</f>
        <v>87.989000000000033</v>
      </c>
      <c r="I137" s="625">
        <f>+H137/E137</f>
        <v>0.22000000000000008</v>
      </c>
    </row>
    <row r="139" spans="1:13" x14ac:dyDescent="0.2">
      <c r="A139" s="542" t="s">
        <v>4551</v>
      </c>
      <c r="C139" s="605">
        <v>6</v>
      </c>
      <c r="D139" s="607">
        <v>0</v>
      </c>
      <c r="E139" s="607">
        <v>0</v>
      </c>
      <c r="F139" s="607">
        <v>0</v>
      </c>
      <c r="G139" s="607">
        <v>0</v>
      </c>
      <c r="H139" s="607">
        <v>0</v>
      </c>
      <c r="I139" s="625">
        <v>0</v>
      </c>
    </row>
    <row r="140" spans="1:13" x14ac:dyDescent="0.2">
      <c r="A140" s="542" t="s">
        <v>711</v>
      </c>
      <c r="C140" s="605">
        <v>14</v>
      </c>
      <c r="D140">
        <v>4.74</v>
      </c>
      <c r="E140" s="607">
        <f>+C140*D140</f>
        <v>66.36</v>
      </c>
      <c r="F140" s="607">
        <f>+D140*1.1</f>
        <v>5.2140000000000004</v>
      </c>
      <c r="G140" s="607">
        <f>+C140*F140</f>
        <v>72.996000000000009</v>
      </c>
      <c r="H140" s="607">
        <f>+G140-E140</f>
        <v>6.6360000000000099</v>
      </c>
      <c r="I140" s="625">
        <f>+H140/E140</f>
        <v>0.10000000000000014</v>
      </c>
    </row>
    <row r="141" spans="1:13" x14ac:dyDescent="0.2">
      <c r="A141" s="542" t="s">
        <v>4541</v>
      </c>
      <c r="C141" s="605">
        <v>0</v>
      </c>
      <c r="D141" s="607">
        <v>14.9</v>
      </c>
      <c r="E141" s="607">
        <f>+D141</f>
        <v>14.9</v>
      </c>
      <c r="F141" s="607">
        <f>+D141*1.1</f>
        <v>16.39</v>
      </c>
      <c r="G141" s="607">
        <f>+F141</f>
        <v>16.39</v>
      </c>
      <c r="H141" s="607">
        <f>+G141-E141</f>
        <v>1.4900000000000002</v>
      </c>
      <c r="I141" s="625">
        <f>+H141/E141</f>
        <v>0.1</v>
      </c>
    </row>
    <row r="143" spans="1:13" x14ac:dyDescent="0.2">
      <c r="A143" s="542" t="s">
        <v>3508</v>
      </c>
      <c r="C143">
        <v>1</v>
      </c>
      <c r="D143">
        <v>42.98</v>
      </c>
      <c r="E143">
        <f>+C143*D143</f>
        <v>42.98</v>
      </c>
      <c r="F143" s="607">
        <f>+D143*1.1</f>
        <v>47.277999999999999</v>
      </c>
      <c r="G143" s="608">
        <f>+C143*F143</f>
        <v>47.277999999999999</v>
      </c>
      <c r="H143" s="607">
        <f>+G143-E143</f>
        <v>4.2980000000000018</v>
      </c>
      <c r="I143" s="625">
        <f>+H143/E143</f>
        <v>0.10000000000000005</v>
      </c>
    </row>
    <row r="144" spans="1:13" x14ac:dyDescent="0.2">
      <c r="A144" s="537"/>
      <c r="B144" s="537"/>
      <c r="C144" s="537"/>
      <c r="D144" s="537"/>
      <c r="E144" s="537"/>
      <c r="F144" s="537"/>
      <c r="G144" s="537"/>
      <c r="H144" s="537"/>
      <c r="I144" s="537"/>
    </row>
    <row r="145" spans="1:12" x14ac:dyDescent="0.2">
      <c r="A145" s="617" t="s">
        <v>3509</v>
      </c>
      <c r="B145" s="537"/>
      <c r="C145" s="537">
        <v>1</v>
      </c>
      <c r="D145" s="537">
        <v>32.46</v>
      </c>
      <c r="E145" s="537">
        <f>+C145*D145</f>
        <v>32.46</v>
      </c>
      <c r="F145" s="618">
        <f>+D145*1.1</f>
        <v>35.706000000000003</v>
      </c>
      <c r="G145" s="618">
        <f>+C145*F145</f>
        <v>35.706000000000003</v>
      </c>
      <c r="H145" s="618">
        <f>+G145-E145</f>
        <v>3.2460000000000022</v>
      </c>
      <c r="I145" s="638">
        <f>+H145/E145</f>
        <v>0.10000000000000006</v>
      </c>
    </row>
    <row r="147" spans="1:12" ht="13.5" thickBot="1" x14ac:dyDescent="0.25">
      <c r="A147" s="613" t="s">
        <v>4137</v>
      </c>
      <c r="B147" s="613" t="s">
        <v>4543</v>
      </c>
      <c r="C147" s="613"/>
      <c r="D147" s="614"/>
      <c r="E147" s="614">
        <f>SUM(E134:E145)</f>
        <v>1021.1833333333334</v>
      </c>
      <c r="F147" s="613"/>
      <c r="G147" s="614">
        <f>SUM(G134:G145)</f>
        <v>1171.2956666666669</v>
      </c>
      <c r="H147" s="614">
        <f>+G147-E147</f>
        <v>150.11233333333348</v>
      </c>
      <c r="I147" s="627">
        <f>+H147/E147</f>
        <v>0.14699841686931842</v>
      </c>
    </row>
    <row r="148" spans="1:12" ht="13.5" thickTop="1" x14ac:dyDescent="0.2"/>
    <row r="149" spans="1:12" x14ac:dyDescent="0.2">
      <c r="A149" s="617"/>
      <c r="B149" s="524" t="s">
        <v>4543</v>
      </c>
      <c r="C149" s="524" t="s">
        <v>4544</v>
      </c>
      <c r="D149" s="537"/>
      <c r="E149" s="618"/>
      <c r="F149" s="537"/>
      <c r="G149" s="618"/>
      <c r="H149" s="618"/>
      <c r="I149" s="638"/>
      <c r="J149" s="537"/>
      <c r="K149" s="537"/>
      <c r="L149" s="537"/>
    </row>
    <row r="152" spans="1:12" x14ac:dyDescent="0.2">
      <c r="A152" s="759" t="s">
        <v>712</v>
      </c>
      <c r="B152" s="759"/>
      <c r="C152" s="759"/>
      <c r="D152" s="759"/>
      <c r="E152" s="759"/>
      <c r="F152" s="759"/>
      <c r="G152" s="759"/>
      <c r="H152" s="759"/>
      <c r="I152" s="759"/>
    </row>
    <row r="153" spans="1:12" x14ac:dyDescent="0.2">
      <c r="A153" s="524"/>
    </row>
    <row r="154" spans="1:12" x14ac:dyDescent="0.2">
      <c r="C154" s="606" t="s">
        <v>4530</v>
      </c>
      <c r="D154" s="606" t="s">
        <v>4526</v>
      </c>
      <c r="E154" s="606" t="s">
        <v>4531</v>
      </c>
      <c r="F154" s="606" t="s">
        <v>4527</v>
      </c>
      <c r="G154" s="606" t="s">
        <v>4531</v>
      </c>
      <c r="H154" s="606" t="s">
        <v>4528</v>
      </c>
      <c r="I154" s="606" t="s">
        <v>4529</v>
      </c>
    </row>
    <row r="155" spans="1:12" x14ac:dyDescent="0.2">
      <c r="C155" s="606"/>
      <c r="D155" s="606"/>
      <c r="E155" s="606"/>
      <c r="F155" s="606"/>
      <c r="G155" s="606"/>
      <c r="H155" s="606"/>
      <c r="I155" s="606"/>
    </row>
    <row r="156" spans="1:12" x14ac:dyDescent="0.2">
      <c r="D156" s="606"/>
      <c r="E156" s="606"/>
      <c r="F156" s="606"/>
      <c r="G156" s="606"/>
      <c r="H156" s="606"/>
      <c r="I156" s="606"/>
      <c r="K156" s="629"/>
      <c r="L156" s="630" t="s">
        <v>4535</v>
      </c>
    </row>
    <row r="157" spans="1:12" x14ac:dyDescent="0.2">
      <c r="A157" s="542" t="s">
        <v>3505</v>
      </c>
      <c r="B157" s="628">
        <v>480000</v>
      </c>
      <c r="C157" s="607">
        <v>78500</v>
      </c>
      <c r="D157" s="623">
        <v>3.9E-2</v>
      </c>
      <c r="E157" s="607">
        <f>+C157*D157/9</f>
        <v>340.16666666666669</v>
      </c>
      <c r="F157" s="623">
        <f>G157/B157*9</f>
        <v>7.0159375000000013E-3</v>
      </c>
      <c r="G157" s="607">
        <f>E157*1.1</f>
        <v>374.18333333333339</v>
      </c>
      <c r="H157" s="607">
        <f>+G157-E157</f>
        <v>34.016666666666708</v>
      </c>
      <c r="I157" s="625">
        <f>+H157/E157</f>
        <v>0.10000000000000012</v>
      </c>
    </row>
    <row r="158" spans="1:12" x14ac:dyDescent="0.2">
      <c r="A158" s="542" t="s">
        <v>4536</v>
      </c>
      <c r="B158" s="641">
        <v>0</v>
      </c>
      <c r="C158" s="611">
        <v>0</v>
      </c>
      <c r="D158" s="631">
        <v>0</v>
      </c>
      <c r="E158" s="611">
        <f>-C158*D158/9</f>
        <v>0</v>
      </c>
      <c r="F158" s="631">
        <v>0</v>
      </c>
      <c r="G158" s="611">
        <f>-G157+(E159*1.1)</f>
        <v>0</v>
      </c>
      <c r="H158" s="611">
        <f>+G158-E158</f>
        <v>0</v>
      </c>
      <c r="I158" s="626">
        <v>0</v>
      </c>
    </row>
    <row r="159" spans="1:12" x14ac:dyDescent="0.2">
      <c r="E159" s="607">
        <f>+E157+E158</f>
        <v>340.16666666666669</v>
      </c>
      <c r="G159" s="607">
        <f>+G157+G158</f>
        <v>374.18333333333339</v>
      </c>
      <c r="H159" s="607">
        <f>+G159-E159</f>
        <v>34.016666666666708</v>
      </c>
      <c r="I159" s="625">
        <f>+H159/E159</f>
        <v>0.10000000000000012</v>
      </c>
    </row>
    <row r="160" spans="1:12" x14ac:dyDescent="0.2">
      <c r="E160" s="607"/>
      <c r="G160" s="607"/>
      <c r="L160" s="622"/>
    </row>
    <row r="161" spans="1:12" x14ac:dyDescent="0.2">
      <c r="A161" s="542" t="s">
        <v>4549</v>
      </c>
      <c r="C161" s="605">
        <v>0</v>
      </c>
      <c r="D161">
        <v>0.95</v>
      </c>
      <c r="E161" s="607">
        <v>0</v>
      </c>
      <c r="F161" s="607">
        <f>0.95*1.22</f>
        <v>1.159</v>
      </c>
      <c r="G161" s="607">
        <v>0</v>
      </c>
      <c r="H161" s="607">
        <f>+G161-E161</f>
        <v>0</v>
      </c>
      <c r="I161" s="625">
        <v>0</v>
      </c>
    </row>
    <row r="162" spans="1:12" x14ac:dyDescent="0.2">
      <c r="A162" s="542" t="s">
        <v>4550</v>
      </c>
      <c r="C162" s="624">
        <v>15355</v>
      </c>
      <c r="D162">
        <v>0.95</v>
      </c>
      <c r="E162" s="607">
        <f>+C162*D162</f>
        <v>14587.25</v>
      </c>
      <c r="F162" s="607">
        <f>0.95*1.22</f>
        <v>1.159</v>
      </c>
      <c r="G162" s="607">
        <f>+C162*F162</f>
        <v>17796.445</v>
      </c>
      <c r="H162" s="607">
        <f>+G162-E162</f>
        <v>3209.1949999999997</v>
      </c>
      <c r="I162" s="625">
        <f>+H162/E162</f>
        <v>0.21999999999999997</v>
      </c>
      <c r="L162" s="542"/>
    </row>
    <row r="164" spans="1:12" x14ac:dyDescent="0.2">
      <c r="A164" s="542" t="s">
        <v>4551</v>
      </c>
      <c r="C164" s="605">
        <v>0</v>
      </c>
      <c r="D164" s="607">
        <v>0</v>
      </c>
      <c r="E164" s="607">
        <v>0</v>
      </c>
      <c r="F164" s="607">
        <v>0</v>
      </c>
      <c r="G164" s="607">
        <v>0</v>
      </c>
      <c r="H164" s="607">
        <v>0</v>
      </c>
      <c r="I164" s="625">
        <v>0</v>
      </c>
    </row>
    <row r="165" spans="1:12" x14ac:dyDescent="0.2">
      <c r="A165" s="542" t="s">
        <v>711</v>
      </c>
      <c r="C165" s="605">
        <v>65</v>
      </c>
      <c r="D165">
        <v>4.74</v>
      </c>
      <c r="E165" s="607">
        <f>+C165*D165</f>
        <v>308.10000000000002</v>
      </c>
      <c r="F165" s="607">
        <f>+D165*1.1</f>
        <v>5.2140000000000004</v>
      </c>
      <c r="G165" s="607">
        <f>+C165*F165</f>
        <v>338.91</v>
      </c>
      <c r="H165" s="607">
        <f>+G165-E165</f>
        <v>30.810000000000002</v>
      </c>
      <c r="I165" s="625">
        <f>+H165/E165</f>
        <v>0.1</v>
      </c>
    </row>
    <row r="166" spans="1:12" x14ac:dyDescent="0.2">
      <c r="A166" s="542" t="s">
        <v>4541</v>
      </c>
      <c r="C166" s="605">
        <v>0</v>
      </c>
      <c r="D166" s="607">
        <v>14.9</v>
      </c>
      <c r="E166" s="607">
        <f>+D166</f>
        <v>14.9</v>
      </c>
      <c r="F166" s="607">
        <f>+D166*1.1</f>
        <v>16.39</v>
      </c>
      <c r="G166" s="607">
        <f>+F166</f>
        <v>16.39</v>
      </c>
      <c r="H166" s="607">
        <f>+G166-E166</f>
        <v>1.4900000000000002</v>
      </c>
      <c r="I166" s="625">
        <f>+H166/E166</f>
        <v>0.1</v>
      </c>
    </row>
    <row r="168" spans="1:12" x14ac:dyDescent="0.2">
      <c r="A168" s="542" t="s">
        <v>3508</v>
      </c>
      <c r="C168">
        <v>1</v>
      </c>
      <c r="D168">
        <v>115.78</v>
      </c>
      <c r="E168">
        <f>+C168*D168</f>
        <v>115.78</v>
      </c>
      <c r="F168" s="607">
        <f>+D168*1.1</f>
        <v>127.35800000000002</v>
      </c>
      <c r="G168" s="608">
        <f>+C168*F168</f>
        <v>127.35800000000002</v>
      </c>
      <c r="H168" s="607">
        <f>+G168-E168</f>
        <v>11.578000000000017</v>
      </c>
      <c r="I168" s="625">
        <f>+H168/E168</f>
        <v>0.10000000000000014</v>
      </c>
    </row>
    <row r="169" spans="1:12" x14ac:dyDescent="0.2">
      <c r="A169" s="537"/>
      <c r="B169" s="537"/>
      <c r="C169" s="537"/>
      <c r="D169" s="537"/>
      <c r="E169" s="537"/>
      <c r="F169" s="537"/>
      <c r="G169" s="537"/>
      <c r="H169" s="537"/>
      <c r="I169" s="537"/>
    </row>
    <row r="170" spans="1:12" x14ac:dyDescent="0.2">
      <c r="A170" s="617" t="s">
        <v>3509</v>
      </c>
      <c r="B170" s="537"/>
      <c r="C170" s="537">
        <v>1</v>
      </c>
      <c r="D170" s="537">
        <v>47.37</v>
      </c>
      <c r="E170" s="537">
        <f>+C170*D170</f>
        <v>47.37</v>
      </c>
      <c r="F170" s="618">
        <f>+D170*1.1</f>
        <v>52.106999999999999</v>
      </c>
      <c r="G170" s="618">
        <f>+C170*F170</f>
        <v>52.106999999999999</v>
      </c>
      <c r="H170" s="618">
        <f>+G170-E170</f>
        <v>4.7370000000000019</v>
      </c>
      <c r="I170" s="638">
        <f>+H170/E170</f>
        <v>0.10000000000000005</v>
      </c>
    </row>
    <row r="172" spans="1:12" ht="13.5" thickBot="1" x14ac:dyDescent="0.25">
      <c r="A172" s="613" t="s">
        <v>4137</v>
      </c>
      <c r="B172" s="613" t="s">
        <v>4543</v>
      </c>
      <c r="C172" s="613"/>
      <c r="D172" s="614"/>
      <c r="E172" s="614">
        <f>SUM(E159:E170)</f>
        <v>15413.566666666668</v>
      </c>
      <c r="F172" s="613"/>
      <c r="G172" s="614">
        <f>SUM(G159:G170)</f>
        <v>18705.393333333333</v>
      </c>
      <c r="H172" s="614">
        <f>+G172-E172</f>
        <v>3291.8266666666659</v>
      </c>
      <c r="I172" s="627">
        <f>+H172/E172</f>
        <v>0.21356683614218636</v>
      </c>
    </row>
    <row r="173" spans="1:12" ht="13.5" thickTop="1" x14ac:dyDescent="0.2"/>
    <row r="174" spans="1:12" x14ac:dyDescent="0.2">
      <c r="A174" s="617"/>
      <c r="B174" s="524" t="s">
        <v>4543</v>
      </c>
      <c r="C174" s="524" t="s">
        <v>4544</v>
      </c>
      <c r="D174" s="537"/>
      <c r="E174" s="618"/>
      <c r="F174" s="537"/>
      <c r="G174" s="618"/>
      <c r="H174" s="618"/>
      <c r="I174" s="638"/>
      <c r="J174" s="537"/>
      <c r="K174" s="537"/>
      <c r="L174" s="537"/>
    </row>
    <row r="177" spans="1:13" x14ac:dyDescent="0.2">
      <c r="A177" s="801"/>
      <c r="B177" s="801"/>
      <c r="C177" s="801"/>
      <c r="D177" s="801"/>
      <c r="E177" s="801"/>
      <c r="F177" s="801"/>
      <c r="G177" s="801"/>
      <c r="H177" s="801"/>
      <c r="I177" s="801"/>
      <c r="J177" s="537"/>
      <c r="K177" s="537"/>
      <c r="L177" s="537"/>
      <c r="M177" s="537"/>
    </row>
    <row r="178" spans="1:13" x14ac:dyDescent="0.2">
      <c r="A178" s="615"/>
      <c r="B178" s="537"/>
      <c r="C178" s="537"/>
      <c r="D178" s="537"/>
      <c r="E178" s="537"/>
      <c r="F178" s="537"/>
      <c r="G178" s="537"/>
      <c r="H178" s="537"/>
      <c r="I178" s="537"/>
      <c r="J178" s="537"/>
      <c r="K178" s="537"/>
      <c r="L178" s="537"/>
      <c r="M178" s="537"/>
    </row>
    <row r="179" spans="1:13" x14ac:dyDescent="0.2">
      <c r="A179" s="537"/>
      <c r="B179" s="537"/>
      <c r="C179" s="616"/>
      <c r="D179" s="616"/>
      <c r="E179" s="616"/>
      <c r="F179" s="616"/>
      <c r="G179" s="616"/>
      <c r="H179" s="616"/>
      <c r="I179" s="616"/>
      <c r="J179" s="537"/>
      <c r="K179" s="537"/>
      <c r="L179" s="537"/>
      <c r="M179" s="537"/>
    </row>
    <row r="180" spans="1:13" x14ac:dyDescent="0.2">
      <c r="A180" s="537"/>
      <c r="B180" s="537"/>
      <c r="C180" s="616"/>
      <c r="D180" s="616"/>
      <c r="E180" s="616"/>
      <c r="F180" s="616"/>
      <c r="G180" s="616"/>
      <c r="H180" s="616"/>
      <c r="I180" s="616"/>
      <c r="J180" s="537"/>
      <c r="K180" s="537"/>
      <c r="L180" s="537"/>
      <c r="M180" s="537"/>
    </row>
    <row r="181" spans="1:13" x14ac:dyDescent="0.2">
      <c r="A181" s="537"/>
      <c r="B181" s="537"/>
      <c r="C181" s="537"/>
      <c r="D181" s="616"/>
      <c r="E181" s="616"/>
      <c r="F181" s="616"/>
      <c r="G181" s="616"/>
      <c r="H181" s="616"/>
      <c r="I181" s="616"/>
      <c r="J181" s="537"/>
      <c r="K181" s="537"/>
      <c r="L181" s="537"/>
      <c r="M181" s="537"/>
    </row>
    <row r="182" spans="1:13" x14ac:dyDescent="0.2">
      <c r="A182" s="617"/>
      <c r="B182" s="642"/>
      <c r="C182" s="618"/>
      <c r="D182" s="643"/>
      <c r="E182" s="618"/>
      <c r="F182" s="644"/>
      <c r="G182" s="618"/>
      <c r="H182" s="618"/>
      <c r="I182" s="638"/>
      <c r="J182" s="537"/>
      <c r="K182" s="537"/>
      <c r="L182" s="537"/>
      <c r="M182" s="618"/>
    </row>
    <row r="183" spans="1:13" x14ac:dyDescent="0.2">
      <c r="A183" s="617"/>
      <c r="B183" s="645"/>
      <c r="C183" s="618"/>
      <c r="D183" s="643"/>
      <c r="E183" s="618"/>
      <c r="F183" s="646"/>
      <c r="G183" s="618"/>
      <c r="H183" s="618"/>
      <c r="I183" s="638"/>
      <c r="J183" s="537"/>
      <c r="K183" s="537"/>
      <c r="L183" s="537"/>
      <c r="M183" s="537"/>
    </row>
    <row r="184" spans="1:13" x14ac:dyDescent="0.2">
      <c r="A184" s="537"/>
      <c r="B184" s="537"/>
      <c r="C184" s="537"/>
      <c r="D184" s="537"/>
      <c r="E184" s="618"/>
      <c r="F184" s="537"/>
      <c r="G184" s="618"/>
      <c r="H184" s="618"/>
      <c r="I184" s="638"/>
      <c r="J184" s="537"/>
      <c r="K184" s="537"/>
      <c r="L184" s="537"/>
      <c r="M184" s="537"/>
    </row>
    <row r="185" spans="1:13" x14ac:dyDescent="0.2">
      <c r="A185" s="537"/>
      <c r="B185" s="537"/>
      <c r="C185" s="537"/>
      <c r="D185" s="537"/>
      <c r="E185" s="618"/>
      <c r="F185" s="537"/>
      <c r="G185" s="618"/>
      <c r="H185" s="537"/>
      <c r="I185" s="537"/>
      <c r="J185" s="537"/>
      <c r="K185" s="537"/>
      <c r="L185" s="537"/>
      <c r="M185" s="537"/>
    </row>
    <row r="186" spans="1:13" x14ac:dyDescent="0.2">
      <c r="A186" s="617"/>
      <c r="B186" s="537"/>
      <c r="C186" s="619"/>
      <c r="D186" s="537"/>
      <c r="E186" s="618"/>
      <c r="F186" s="618"/>
      <c r="G186" s="618"/>
      <c r="H186" s="618"/>
      <c r="I186" s="638"/>
      <c r="J186" s="537"/>
      <c r="K186" s="537"/>
      <c r="L186" s="537"/>
      <c r="M186" s="537"/>
    </row>
    <row r="187" spans="1:13" x14ac:dyDescent="0.2">
      <c r="A187" s="617"/>
      <c r="B187" s="537"/>
      <c r="C187" s="647"/>
      <c r="D187" s="537"/>
      <c r="E187" s="618"/>
      <c r="F187" s="618"/>
      <c r="G187" s="618"/>
      <c r="H187" s="618"/>
      <c r="I187" s="638"/>
      <c r="J187" s="537"/>
      <c r="K187" s="537"/>
      <c r="L187" s="537"/>
      <c r="M187" s="537"/>
    </row>
    <row r="188" spans="1:13" x14ac:dyDescent="0.2">
      <c r="A188" s="537"/>
      <c r="B188" s="537"/>
      <c r="C188" s="537"/>
      <c r="D188" s="537"/>
      <c r="E188" s="537"/>
      <c r="F188" s="537"/>
      <c r="G188" s="537"/>
      <c r="H188" s="537"/>
      <c r="I188" s="537"/>
      <c r="J188" s="537"/>
      <c r="K188" s="537"/>
      <c r="L188" s="537"/>
      <c r="M188" s="537"/>
    </row>
    <row r="189" spans="1:13" x14ac:dyDescent="0.2">
      <c r="A189" s="617"/>
      <c r="B189" s="537"/>
      <c r="C189" s="619"/>
      <c r="D189" s="618"/>
      <c r="E189" s="618"/>
      <c r="F189" s="618"/>
      <c r="G189" s="618"/>
      <c r="H189" s="618"/>
      <c r="I189" s="638"/>
      <c r="J189" s="537"/>
      <c r="K189" s="537"/>
      <c r="L189" s="537"/>
      <c r="M189" s="537"/>
    </row>
    <row r="190" spans="1:13" x14ac:dyDescent="0.2">
      <c r="A190" s="617"/>
      <c r="B190" s="537"/>
      <c r="C190" s="619"/>
      <c r="D190" s="537"/>
      <c r="E190" s="618"/>
      <c r="F190" s="618"/>
      <c r="G190" s="618"/>
      <c r="H190" s="618"/>
      <c r="I190" s="638"/>
      <c r="J190" s="537"/>
      <c r="K190" s="537"/>
      <c r="L190" s="537"/>
      <c r="M190" s="537"/>
    </row>
    <row r="191" spans="1:13" x14ac:dyDescent="0.2">
      <c r="A191" s="617"/>
      <c r="B191" s="537"/>
      <c r="C191" s="619"/>
      <c r="D191" s="618"/>
      <c r="E191" s="618"/>
      <c r="F191" s="618"/>
      <c r="G191" s="618"/>
      <c r="H191" s="618"/>
      <c r="I191" s="638"/>
      <c r="J191" s="537"/>
      <c r="K191" s="537"/>
      <c r="L191" s="537"/>
      <c r="M191" s="537"/>
    </row>
    <row r="192" spans="1:13" x14ac:dyDescent="0.2">
      <c r="A192" s="537"/>
      <c r="B192" s="537"/>
      <c r="C192" s="537"/>
      <c r="D192" s="537"/>
      <c r="E192" s="537"/>
      <c r="F192" s="537"/>
      <c r="G192" s="537"/>
      <c r="H192" s="537"/>
      <c r="I192" s="537"/>
      <c r="J192" s="537"/>
      <c r="K192" s="537"/>
      <c r="L192" s="537"/>
      <c r="M192" s="537"/>
    </row>
    <row r="193" spans="1:13" x14ac:dyDescent="0.2">
      <c r="A193" s="617"/>
      <c r="B193" s="537"/>
      <c r="C193" s="537"/>
      <c r="D193" s="537"/>
      <c r="E193" s="537"/>
      <c r="F193" s="618"/>
      <c r="G193" s="620"/>
      <c r="H193" s="618"/>
      <c r="I193" s="638"/>
      <c r="J193" s="537"/>
      <c r="K193" s="537"/>
      <c r="L193" s="537"/>
      <c r="M193" s="537"/>
    </row>
    <row r="194" spans="1:13" x14ac:dyDescent="0.2">
      <c r="A194" s="537"/>
      <c r="B194" s="537"/>
      <c r="C194" s="537"/>
      <c r="D194" s="537"/>
      <c r="E194" s="537"/>
      <c r="F194" s="537"/>
      <c r="G194" s="537"/>
      <c r="H194" s="537"/>
      <c r="I194" s="537"/>
      <c r="J194" s="537"/>
      <c r="K194" s="537"/>
      <c r="L194" s="537"/>
      <c r="M194" s="537"/>
    </row>
    <row r="195" spans="1:13" x14ac:dyDescent="0.2">
      <c r="A195" s="617"/>
      <c r="B195" s="537"/>
      <c r="C195" s="537"/>
      <c r="D195" s="537"/>
      <c r="E195" s="537"/>
      <c r="F195" s="618"/>
      <c r="G195" s="618"/>
      <c r="H195" s="618"/>
      <c r="I195" s="638"/>
      <c r="J195" s="537"/>
      <c r="K195" s="537"/>
      <c r="L195" s="537"/>
      <c r="M195" s="537"/>
    </row>
    <row r="196" spans="1:13" x14ac:dyDescent="0.2">
      <c r="A196" s="537"/>
      <c r="B196" s="537"/>
      <c r="C196" s="537"/>
      <c r="D196" s="537"/>
      <c r="E196" s="537"/>
      <c r="F196" s="537"/>
      <c r="G196" s="537"/>
      <c r="H196" s="537"/>
      <c r="I196" s="537"/>
      <c r="J196" s="537"/>
      <c r="K196" s="537"/>
      <c r="L196" s="537"/>
      <c r="M196" s="537"/>
    </row>
    <row r="197" spans="1:13" x14ac:dyDescent="0.2">
      <c r="A197" s="615"/>
      <c r="B197" s="615"/>
      <c r="C197" s="615"/>
      <c r="D197" s="621"/>
      <c r="E197" s="621"/>
      <c r="F197" s="615"/>
      <c r="G197" s="621"/>
      <c r="H197" s="621"/>
      <c r="I197" s="639"/>
      <c r="J197" s="537"/>
      <c r="K197" s="537"/>
      <c r="L197" s="537"/>
      <c r="M197" s="537"/>
    </row>
    <row r="198" spans="1:13" x14ac:dyDescent="0.2">
      <c r="A198" s="537"/>
      <c r="B198" s="537"/>
      <c r="C198" s="537"/>
      <c r="D198" s="537"/>
      <c r="E198" s="537"/>
      <c r="F198" s="537"/>
      <c r="G198" s="537"/>
      <c r="H198" s="537"/>
      <c r="I198" s="537"/>
      <c r="J198" s="537"/>
      <c r="K198" s="537"/>
      <c r="L198" s="537"/>
      <c r="M198" s="537"/>
    </row>
    <row r="199" spans="1:13" x14ac:dyDescent="0.2">
      <c r="A199" s="537"/>
      <c r="B199" s="537"/>
      <c r="C199" s="537"/>
      <c r="D199" s="537"/>
      <c r="E199" s="537"/>
      <c r="F199" s="537"/>
      <c r="G199" s="537"/>
      <c r="H199" s="537"/>
      <c r="I199" s="537"/>
      <c r="J199" s="537"/>
      <c r="K199" s="537"/>
      <c r="L199" s="537"/>
      <c r="M199" s="537"/>
    </row>
  </sheetData>
  <mergeCells count="8">
    <mergeCell ref="A152:I152"/>
    <mergeCell ref="A177:I177"/>
    <mergeCell ref="A1:I1"/>
    <mergeCell ref="A26:I26"/>
    <mergeCell ref="A51:I51"/>
    <mergeCell ref="A76:I76"/>
    <mergeCell ref="A101:I101"/>
    <mergeCell ref="A127:I127"/>
  </mergeCells>
  <phoneticPr fontId="41" type="noConversion"/>
  <pageMargins left="0.7" right="0.7" top="0.75" bottom="0.75" header="0.3" footer="0.3"/>
  <pageSetup scale="84" orientation="portrait" r:id="rId1"/>
  <rowBreaks count="3" manualBreakCount="3">
    <brk id="49" max="16383" man="1"/>
    <brk id="99" max="16383" man="1"/>
    <brk id="150" max="16383" man="1"/>
  </rowBreaks>
  <colBreaks count="1" manualBreakCount="1">
    <brk id="9" max="1048575" man="1"/>
  </colBreaks>
  <ignoredErrors>
    <ignoredError sqref="F40 F65 F141"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8"/>
  <sheetViews>
    <sheetView view="pageBreakPreview" topLeftCell="A8" zoomScaleNormal="100" workbookViewId="0">
      <selection activeCell="A40" sqref="A40"/>
    </sheetView>
  </sheetViews>
  <sheetFormatPr defaultColWidth="10.6640625" defaultRowHeight="12.75" x14ac:dyDescent="0.2"/>
  <cols>
    <col min="1" max="8" width="10.6640625" style="457"/>
    <col min="9" max="9" width="13.83203125" style="457" customWidth="1"/>
    <col min="10" max="16384" width="10.6640625" style="457"/>
  </cols>
  <sheetData>
    <row r="2" spans="1:9" ht="15.75" x14ac:dyDescent="0.25">
      <c r="A2" s="756" t="s">
        <v>3565</v>
      </c>
      <c r="B2" s="756"/>
      <c r="C2" s="756"/>
      <c r="D2" s="756"/>
      <c r="E2" s="756"/>
      <c r="F2" s="756"/>
      <c r="G2" s="756"/>
      <c r="H2" s="756"/>
      <c r="I2" s="756"/>
    </row>
    <row r="4" spans="1:9" x14ac:dyDescent="0.2">
      <c r="A4" s="458" t="s">
        <v>50</v>
      </c>
    </row>
    <row r="6" spans="1:9" x14ac:dyDescent="0.2">
      <c r="A6" s="459" t="s">
        <v>454</v>
      </c>
      <c r="B6" s="472" t="s">
        <v>4087</v>
      </c>
    </row>
    <row r="8" spans="1:9" x14ac:dyDescent="0.2">
      <c r="B8" s="472" t="s">
        <v>2986</v>
      </c>
    </row>
    <row r="10" spans="1:9" x14ac:dyDescent="0.2">
      <c r="B10" s="472" t="s">
        <v>4088</v>
      </c>
    </row>
    <row r="11" spans="1:9" x14ac:dyDescent="0.2">
      <c r="B11" s="472"/>
    </row>
    <row r="12" spans="1:9" x14ac:dyDescent="0.2">
      <c r="A12" s="666">
        <v>1.1000000000000001</v>
      </c>
      <c r="B12" s="472" t="s">
        <v>4175</v>
      </c>
    </row>
    <row r="13" spans="1:9" x14ac:dyDescent="0.2">
      <c r="B13" s="472"/>
    </row>
    <row r="14" spans="1:9" x14ac:dyDescent="0.2">
      <c r="A14" s="666">
        <v>1.2</v>
      </c>
      <c r="B14" s="472" t="s">
        <v>4176</v>
      </c>
    </row>
    <row r="16" spans="1:9" x14ac:dyDescent="0.2">
      <c r="A16" s="667">
        <v>1.3</v>
      </c>
      <c r="B16" s="472" t="s">
        <v>600</v>
      </c>
    </row>
    <row r="18" spans="1:2" x14ac:dyDescent="0.2">
      <c r="A18" s="668" t="s">
        <v>4177</v>
      </c>
      <c r="B18" s="472" t="s">
        <v>4178</v>
      </c>
    </row>
    <row r="20" spans="1:2" x14ac:dyDescent="0.2">
      <c r="A20" s="459" t="s">
        <v>455</v>
      </c>
      <c r="B20" s="472" t="s">
        <v>4179</v>
      </c>
    </row>
    <row r="22" spans="1:2" x14ac:dyDescent="0.2">
      <c r="B22" s="472" t="s">
        <v>4181</v>
      </c>
    </row>
    <row r="24" spans="1:2" x14ac:dyDescent="0.2">
      <c r="A24" s="459" t="s">
        <v>456</v>
      </c>
      <c r="B24" s="472" t="s">
        <v>2987</v>
      </c>
    </row>
    <row r="26" spans="1:2" x14ac:dyDescent="0.2">
      <c r="B26" s="472" t="s">
        <v>2988</v>
      </c>
    </row>
    <row r="28" spans="1:2" x14ac:dyDescent="0.2">
      <c r="A28" s="459" t="s">
        <v>458</v>
      </c>
      <c r="B28" s="472" t="s">
        <v>4182</v>
      </c>
    </row>
    <row r="30" spans="1:2" x14ac:dyDescent="0.2">
      <c r="B30" s="472" t="s">
        <v>4183</v>
      </c>
    </row>
    <row r="32" spans="1:2" x14ac:dyDescent="0.2">
      <c r="A32" s="459" t="s">
        <v>464</v>
      </c>
      <c r="B32" s="472" t="s">
        <v>4184</v>
      </c>
    </row>
    <row r="34" spans="1:9" x14ac:dyDescent="0.2">
      <c r="A34" s="459" t="s">
        <v>3567</v>
      </c>
      <c r="B34" s="472" t="s">
        <v>439</v>
      </c>
    </row>
    <row r="36" spans="1:9" x14ac:dyDescent="0.2">
      <c r="B36" s="472" t="s">
        <v>440</v>
      </c>
    </row>
    <row r="38" spans="1:9" x14ac:dyDescent="0.2">
      <c r="A38" s="755" t="s">
        <v>2962</v>
      </c>
      <c r="B38" s="755"/>
      <c r="C38" s="755"/>
      <c r="D38" s="755"/>
      <c r="E38" s="755"/>
      <c r="F38" s="755"/>
      <c r="G38" s="755"/>
      <c r="H38" s="755"/>
      <c r="I38" s="755"/>
    </row>
  </sheetData>
  <mergeCells count="2">
    <mergeCell ref="A38:I38"/>
    <mergeCell ref="A2:I2"/>
  </mergeCells>
  <phoneticPr fontId="13"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0"/>
  <sheetViews>
    <sheetView view="pageBreakPreview" topLeftCell="A264" zoomScale="125" zoomScaleNormal="100" workbookViewId="0">
      <selection activeCell="C275" sqref="C275"/>
    </sheetView>
  </sheetViews>
  <sheetFormatPr defaultRowHeight="12.75" x14ac:dyDescent="0.2"/>
  <cols>
    <col min="1" max="1" width="38.6640625" style="2" customWidth="1"/>
    <col min="2" max="2" width="13.83203125" style="2" bestFit="1" customWidth="1"/>
    <col min="3" max="3" width="13.6640625" style="2" bestFit="1" customWidth="1"/>
    <col min="4" max="4" width="13.6640625" style="2" customWidth="1"/>
    <col min="5" max="5" width="13.6640625" style="2" bestFit="1" customWidth="1"/>
    <col min="6" max="6" width="13.83203125" style="2" bestFit="1" customWidth="1"/>
    <col min="7" max="7" width="15" style="2" customWidth="1"/>
    <col min="8" max="8" width="14.6640625" style="2" customWidth="1"/>
    <col min="9" max="9" width="10.33203125" style="2" customWidth="1"/>
    <col min="10" max="10" width="31.6640625" style="2" customWidth="1"/>
    <col min="11" max="16384" width="9.33203125" style="2"/>
  </cols>
  <sheetData>
    <row r="1" spans="1:10" ht="15.75" x14ac:dyDescent="0.25">
      <c r="A1" s="754" t="s">
        <v>52</v>
      </c>
      <c r="B1" s="754"/>
      <c r="C1" s="754"/>
      <c r="D1" s="754"/>
      <c r="E1" s="754"/>
      <c r="F1" s="754"/>
      <c r="G1" s="754"/>
      <c r="H1" s="754"/>
      <c r="I1" s="754"/>
      <c r="J1" s="754"/>
    </row>
    <row r="3" spans="1:10" x14ac:dyDescent="0.2">
      <c r="A3" s="5" t="s">
        <v>53</v>
      </c>
    </row>
    <row r="4" spans="1:10" ht="13.5" thickBot="1" x14ac:dyDescent="0.25"/>
    <row r="5" spans="1:10" x14ac:dyDescent="0.2">
      <c r="A5" s="464"/>
      <c r="B5" s="17" t="s">
        <v>54</v>
      </c>
      <c r="C5" s="17" t="s">
        <v>2970</v>
      </c>
      <c r="D5" s="18" t="s">
        <v>2973</v>
      </c>
      <c r="E5" s="17" t="s">
        <v>2971</v>
      </c>
      <c r="F5" s="18" t="s">
        <v>2974</v>
      </c>
      <c r="G5" s="19" t="s">
        <v>2974</v>
      </c>
      <c r="H5" s="19" t="s">
        <v>2974</v>
      </c>
      <c r="I5" s="465"/>
      <c r="J5" s="669"/>
    </row>
    <row r="6" spans="1:10" x14ac:dyDescent="0.2">
      <c r="A6" s="466"/>
      <c r="B6" s="20" t="s">
        <v>55</v>
      </c>
      <c r="C6" s="20" t="s">
        <v>468</v>
      </c>
      <c r="D6" s="21" t="s">
        <v>468</v>
      </c>
      <c r="E6" s="20" t="s">
        <v>2972</v>
      </c>
      <c r="F6" s="21" t="s">
        <v>468</v>
      </c>
      <c r="G6" s="22" t="s">
        <v>2976</v>
      </c>
      <c r="H6" s="22" t="s">
        <v>2977</v>
      </c>
      <c r="I6" s="467" t="s">
        <v>56</v>
      </c>
      <c r="J6" s="671" t="s">
        <v>4185</v>
      </c>
    </row>
    <row r="7" spans="1:10" ht="13.5" thickBot="1" x14ac:dyDescent="0.25">
      <c r="A7" s="468" t="s">
        <v>470</v>
      </c>
      <c r="B7" s="23" t="s">
        <v>57</v>
      </c>
      <c r="C7" s="23" t="s">
        <v>471</v>
      </c>
      <c r="D7" s="469" t="s">
        <v>471</v>
      </c>
      <c r="E7" s="23" t="s">
        <v>471</v>
      </c>
      <c r="F7" s="469" t="s">
        <v>58</v>
      </c>
      <c r="G7" s="470" t="s">
        <v>59</v>
      </c>
      <c r="H7" s="470" t="s">
        <v>2975</v>
      </c>
      <c r="I7" s="471" t="s">
        <v>60</v>
      </c>
      <c r="J7" s="670"/>
    </row>
    <row r="9" spans="1:10" x14ac:dyDescent="0.2">
      <c r="A9" s="5" t="s">
        <v>61</v>
      </c>
      <c r="B9" s="24"/>
      <c r="C9" s="24"/>
      <c r="D9" s="24"/>
      <c r="E9" s="24"/>
      <c r="F9" s="24"/>
      <c r="G9" s="24"/>
      <c r="H9" s="24"/>
    </row>
    <row r="10" spans="1:10" x14ac:dyDescent="0.2">
      <c r="A10" s="24" t="s">
        <v>62</v>
      </c>
      <c r="B10" s="25">
        <f>'OPEX_ Bdgt_F'!C819</f>
        <v>0</v>
      </c>
      <c r="C10" s="25">
        <f>'OPEX_ Bdgt_F'!D819</f>
        <v>1296505</v>
      </c>
      <c r="D10" s="25">
        <f>'OPEX_ Bdgt_F'!E819</f>
        <v>1296505</v>
      </c>
      <c r="E10" s="25">
        <f>'OPEX_ Bdgt_F'!G819</f>
        <v>1314250</v>
      </c>
      <c r="F10" s="25">
        <f>'OPEX_ Bdgt_F'!H819</f>
        <v>713687</v>
      </c>
      <c r="G10" s="25">
        <f>'OPEX_ Bdgt_F'!I819</f>
        <v>756508</v>
      </c>
      <c r="H10" s="25">
        <f>'OPEX_ Bdgt_F'!J819</f>
        <v>801898</v>
      </c>
      <c r="I10" s="673">
        <f>(F10-D10)/D10</f>
        <v>-0.44953008279952644</v>
      </c>
      <c r="J10" s="24" t="s">
        <v>4187</v>
      </c>
    </row>
    <row r="11" spans="1:10" x14ac:dyDescent="0.2">
      <c r="A11" s="24"/>
      <c r="B11" s="25"/>
      <c r="C11" s="25"/>
      <c r="D11" s="25"/>
      <c r="E11" s="25"/>
      <c r="F11" s="672"/>
      <c r="G11" s="25"/>
      <c r="H11" s="25"/>
      <c r="I11" s="673"/>
      <c r="J11" s="674"/>
    </row>
    <row r="12" spans="1:10" x14ac:dyDescent="0.2">
      <c r="A12" s="24" t="s">
        <v>63</v>
      </c>
      <c r="B12" s="25">
        <f>'OPEX_ Bdgt_F'!C820</f>
        <v>707630</v>
      </c>
      <c r="C12" s="25">
        <f>'OPEX_ Bdgt_F'!D820</f>
        <v>1550078</v>
      </c>
      <c r="D12" s="25">
        <f>'OPEX_ Bdgt_F'!E820</f>
        <v>1550078</v>
      </c>
      <c r="E12" s="25">
        <f>'OPEX_ Bdgt_F'!G820</f>
        <v>1791920.66</v>
      </c>
      <c r="F12" s="25">
        <f>'OPEX_ Bdgt_F'!H820</f>
        <v>1971113</v>
      </c>
      <c r="G12" s="25">
        <f>'OPEX_ Bdgt_F'!I820</f>
        <v>2089380</v>
      </c>
      <c r="H12" s="25">
        <f>'OPEX_ Bdgt_F'!J820</f>
        <v>2214743</v>
      </c>
      <c r="I12" s="673">
        <f>(F12-D12)/D12</f>
        <v>0.27162181516026934</v>
      </c>
      <c r="J12" s="24" t="s">
        <v>4200</v>
      </c>
    </row>
    <row r="13" spans="1:10" x14ac:dyDescent="0.2">
      <c r="A13" s="24"/>
      <c r="B13" s="25"/>
      <c r="C13" s="25"/>
      <c r="D13" s="25"/>
      <c r="E13" s="25"/>
      <c r="F13" s="672"/>
      <c r="G13" s="25"/>
      <c r="H13" s="25"/>
      <c r="I13" s="673"/>
      <c r="J13" s="674"/>
    </row>
    <row r="14" spans="1:10" x14ac:dyDescent="0.2">
      <c r="A14" s="24" t="s">
        <v>2979</v>
      </c>
      <c r="B14" s="25">
        <f>'OPEX_ Bdgt_F'!C821</f>
        <v>4611378</v>
      </c>
      <c r="C14" s="25">
        <f>'OPEX_ Bdgt_F'!D821</f>
        <v>3399897</v>
      </c>
      <c r="D14" s="25">
        <f>'OPEX_ Bdgt_F'!E821</f>
        <v>3399897</v>
      </c>
      <c r="E14" s="25">
        <f>'OPEX_ Bdgt_F'!G821+'OPEX_ Bdgt_F'!G823+'OPEX_ Bdgt_F'!G822</f>
        <v>4849787.5</v>
      </c>
      <c r="F14" s="25">
        <f>'OPEX_ Bdgt_F'!H821+'OPEX_ Bdgt_F'!H822+'OPEX_ Bdgt_F'!H823</f>
        <v>5447693</v>
      </c>
      <c r="G14" s="25">
        <f>'OPEX_ Bdgt_F'!I821+'OPEX_ Bdgt_F'!I822+'OPEX_ Bdgt_F'!I823</f>
        <v>5774555</v>
      </c>
      <c r="H14" s="25">
        <f>'OPEX_ Bdgt_F'!J821+'OPEX_ Bdgt_F'!J822+'OPEX_ Bdgt_F'!J823</f>
        <v>6121027</v>
      </c>
      <c r="I14" s="673">
        <f>(F14-D14)/D14</f>
        <v>0.60231118766244973</v>
      </c>
      <c r="J14" s="24" t="s">
        <v>4201</v>
      </c>
    </row>
    <row r="15" spans="1:10" x14ac:dyDescent="0.2">
      <c r="A15" s="24"/>
      <c r="B15" s="25"/>
      <c r="C15" s="25"/>
      <c r="D15" s="25"/>
      <c r="E15" s="25"/>
      <c r="F15" s="25"/>
      <c r="G15" s="25"/>
      <c r="H15" s="25"/>
      <c r="I15" s="673"/>
      <c r="J15" s="24" t="s">
        <v>4202</v>
      </c>
    </row>
    <row r="16" spans="1:10" x14ac:dyDescent="0.2">
      <c r="A16" s="24" t="s">
        <v>2978</v>
      </c>
      <c r="B16" s="25">
        <f>'OPEX_ Bdgt_F'!C818</f>
        <v>0</v>
      </c>
      <c r="C16" s="25">
        <f>'OPEX_ Bdgt_F'!D818</f>
        <v>0</v>
      </c>
      <c r="D16" s="25">
        <f>'OPEX_ Bdgt_F'!E818</f>
        <v>0</v>
      </c>
      <c r="E16" s="25">
        <f>'OPEX_ Bdgt_F'!G818</f>
        <v>0</v>
      </c>
      <c r="F16" s="25">
        <f>'OPEX_ Bdgt_F'!H818</f>
        <v>2251155</v>
      </c>
      <c r="G16" s="25">
        <f>'OPEX_ Bdgt_F'!I818</f>
        <v>2386224</v>
      </c>
      <c r="H16" s="25">
        <f>'OPEX_ Bdgt_F'!J818</f>
        <v>2529397</v>
      </c>
      <c r="I16" s="673">
        <v>1</v>
      </c>
      <c r="J16" s="24" t="s">
        <v>4188</v>
      </c>
    </row>
    <row r="17" spans="1:10" x14ac:dyDescent="0.2">
      <c r="A17" s="24"/>
      <c r="B17" s="25"/>
      <c r="C17" s="25"/>
      <c r="D17" s="25"/>
      <c r="E17" s="25"/>
      <c r="F17" s="25"/>
      <c r="G17" s="25"/>
      <c r="H17" s="25"/>
      <c r="I17" s="673"/>
      <c r="J17" s="674"/>
    </row>
    <row r="18" spans="1:10" x14ac:dyDescent="0.2">
      <c r="A18" s="24" t="s">
        <v>64</v>
      </c>
      <c r="B18" s="25">
        <f>'OPEX_ Bdgt_F'!C827</f>
        <v>175821</v>
      </c>
      <c r="C18" s="25">
        <f>'OPEX_ Bdgt_F'!D827</f>
        <v>170100</v>
      </c>
      <c r="D18" s="25">
        <f>'OPEX_ Bdgt_F'!E827</f>
        <v>170100</v>
      </c>
      <c r="E18" s="25">
        <f>'OPEX_ Bdgt_F'!G827</f>
        <v>223906.80000000002</v>
      </c>
      <c r="F18" s="25">
        <f>'OPEX_ Bdgt_F'!H827</f>
        <v>311509</v>
      </c>
      <c r="G18" s="25">
        <f>'OPEX_ Bdgt_F'!I827</f>
        <v>330200</v>
      </c>
      <c r="H18" s="25">
        <f>'OPEX_ Bdgt_F'!J827</f>
        <v>350012</v>
      </c>
      <c r="I18" s="673">
        <f>(F18-D18)/D18</f>
        <v>0.83132863021751913</v>
      </c>
      <c r="J18" s="24" t="s">
        <v>4189</v>
      </c>
    </row>
    <row r="19" spans="1:10" x14ac:dyDescent="0.2">
      <c r="A19" s="24"/>
      <c r="B19" s="25"/>
      <c r="C19" s="25"/>
      <c r="D19" s="25"/>
      <c r="E19" s="25"/>
      <c r="F19" s="25"/>
      <c r="G19" s="25"/>
      <c r="H19" s="25"/>
      <c r="I19" s="673"/>
      <c r="J19" s="674"/>
    </row>
    <row r="20" spans="1:10" x14ac:dyDescent="0.2">
      <c r="A20" s="24" t="s">
        <v>65</v>
      </c>
      <c r="B20" s="25">
        <f>'OPEX_ Bdgt_F'!C3119</f>
        <v>10015263</v>
      </c>
      <c r="C20" s="25">
        <f>'OPEX_ Bdgt_F'!D3119</f>
        <v>17491473</v>
      </c>
      <c r="D20" s="25">
        <f>'OPEX_ Bdgt_F'!E3119</f>
        <v>17491473</v>
      </c>
      <c r="E20" s="25">
        <f>'OPEX_ Bdgt_F'!G3119</f>
        <v>13259815.199999999</v>
      </c>
      <c r="F20" s="25">
        <f>'OPEX_ Bdgt_F'!H3119</f>
        <v>32866754</v>
      </c>
      <c r="G20" s="25">
        <f>'OPEX_ Bdgt_F'!I3119</f>
        <v>39467010</v>
      </c>
      <c r="H20" s="25">
        <f>'OPEX_ Bdgt_F'!J3119</f>
        <v>47958379</v>
      </c>
      <c r="I20" s="673">
        <f>(F20-D20)/D20</f>
        <v>0.87901579243783523</v>
      </c>
      <c r="J20" s="24" t="s">
        <v>4186</v>
      </c>
    </row>
    <row r="21" spans="1:10" x14ac:dyDescent="0.2">
      <c r="A21" s="24"/>
      <c r="B21" s="25"/>
      <c r="C21" s="25"/>
      <c r="D21" s="25"/>
      <c r="E21" s="25"/>
      <c r="F21" s="25"/>
      <c r="G21" s="25"/>
      <c r="H21" s="25"/>
      <c r="I21" s="673"/>
      <c r="J21" s="674"/>
    </row>
    <row r="22" spans="1:10" x14ac:dyDescent="0.2">
      <c r="A22" s="24" t="s">
        <v>66</v>
      </c>
      <c r="B22" s="25">
        <f>'OPEX_ Bdgt_F'!C3121</f>
        <v>421958</v>
      </c>
      <c r="C22" s="25">
        <f>'OPEX_ Bdgt_F'!D3121</f>
        <v>332868</v>
      </c>
      <c r="D22" s="25">
        <f>'OPEX_ Bdgt_F'!E3121</f>
        <v>332868</v>
      </c>
      <c r="E22" s="25">
        <f>'OPEX_ Bdgt_F'!G3121</f>
        <v>463792.79999999993</v>
      </c>
      <c r="F22" s="25">
        <f>'OPEX_ Bdgt_F'!H3121</f>
        <v>511171</v>
      </c>
      <c r="G22" s="25">
        <f>'OPEX_ Bdgt_F'!I3121</f>
        <v>542416</v>
      </c>
      <c r="H22" s="25">
        <f>'OPEX_ Bdgt_F'!J3121</f>
        <v>575593</v>
      </c>
      <c r="I22" s="673">
        <f>(F22-D22)/D22</f>
        <v>0.53565677686049729</v>
      </c>
      <c r="J22" s="24" t="s">
        <v>4190</v>
      </c>
    </row>
    <row r="23" spans="1:10" x14ac:dyDescent="0.2">
      <c r="A23" s="24"/>
      <c r="B23" s="25"/>
      <c r="C23" s="25"/>
      <c r="D23" s="25"/>
      <c r="E23" s="25"/>
      <c r="F23" s="25"/>
      <c r="G23" s="25"/>
      <c r="H23" s="25"/>
      <c r="I23" s="673"/>
      <c r="J23" s="674"/>
    </row>
    <row r="24" spans="1:10" x14ac:dyDescent="0.2">
      <c r="A24" s="24" t="s">
        <v>4005</v>
      </c>
      <c r="B24" s="25">
        <f>'OPEX_ Bdgt_F'!C3123</f>
        <v>76165</v>
      </c>
      <c r="C24" s="25">
        <f>'OPEX_ Bdgt_F'!D3123</f>
        <v>36100</v>
      </c>
      <c r="D24" s="25">
        <f>'OPEX_ Bdgt_F'!E3123</f>
        <v>36100</v>
      </c>
      <c r="E24" s="25">
        <f>'OPEX_ Bdgt_F'!G3123</f>
        <v>50349.599999999999</v>
      </c>
      <c r="F24" s="25">
        <f>'OPEX_ Bdgt_F'!H3123</f>
        <v>75300</v>
      </c>
      <c r="G24" s="25">
        <f>'OPEX_ Bdgt_F'!I3123</f>
        <v>75830</v>
      </c>
      <c r="H24" s="25">
        <f>'OPEX_ Bdgt_F'!J3123</f>
        <v>76413</v>
      </c>
      <c r="I24" s="673">
        <f>(F24-D24)/D24</f>
        <v>1.0858725761772854</v>
      </c>
      <c r="J24" s="24" t="s">
        <v>4191</v>
      </c>
    </row>
    <row r="25" spans="1:10" x14ac:dyDescent="0.2">
      <c r="A25" s="24"/>
      <c r="B25" s="25"/>
      <c r="C25" s="25"/>
      <c r="D25" s="25"/>
      <c r="E25" s="25"/>
      <c r="F25" s="25"/>
      <c r="G25" s="25"/>
      <c r="H25" s="25"/>
      <c r="I25" s="673"/>
      <c r="J25" s="674"/>
    </row>
    <row r="26" spans="1:10" x14ac:dyDescent="0.2">
      <c r="A26" s="24" t="s">
        <v>4006</v>
      </c>
      <c r="B26" s="25">
        <f>'OPEX_ Bdgt_F'!C3125</f>
        <v>3158</v>
      </c>
      <c r="C26" s="25">
        <f>'OPEX_ Bdgt_F'!D3125</f>
        <v>4211</v>
      </c>
      <c r="D26" s="25">
        <f>'OPEX_ Bdgt_F'!E3125</f>
        <v>4211</v>
      </c>
      <c r="E26" s="25">
        <f>'OPEX_ Bdgt_F'!G3125</f>
        <v>5204</v>
      </c>
      <c r="F26" s="25">
        <f>'OPEX_ Bdgt_F'!H3125</f>
        <v>0</v>
      </c>
      <c r="G26" s="25">
        <f>'OPEX_ Bdgt_F'!I3125</f>
        <v>0</v>
      </c>
      <c r="H26" s="25">
        <f>'OPEX_ Bdgt_F'!J3125</f>
        <v>0</v>
      </c>
      <c r="I26" s="673">
        <f>(F26-D26)/D26</f>
        <v>-1</v>
      </c>
      <c r="J26" s="24" t="s">
        <v>4192</v>
      </c>
    </row>
    <row r="27" spans="1:10" x14ac:dyDescent="0.2">
      <c r="A27" s="24"/>
      <c r="B27" s="25"/>
      <c r="C27" s="25"/>
      <c r="D27" s="25"/>
      <c r="E27" s="25"/>
      <c r="F27" s="25"/>
      <c r="G27" s="25"/>
      <c r="H27" s="25"/>
      <c r="I27" s="673"/>
      <c r="J27" s="674"/>
    </row>
    <row r="28" spans="1:10" x14ac:dyDescent="0.2">
      <c r="A28" s="24" t="s">
        <v>4007</v>
      </c>
      <c r="B28" s="25">
        <f>'OPEX_ Bdgt_F'!C3127</f>
        <v>1033960</v>
      </c>
      <c r="C28" s="25">
        <f>'OPEX_ Bdgt_F'!D3127</f>
        <v>1360885</v>
      </c>
      <c r="D28" s="25">
        <f>'OPEX_ Bdgt_F'!E3127</f>
        <v>1360885</v>
      </c>
      <c r="E28" s="25">
        <f>'OPEX_ Bdgt_F'!G3127</f>
        <v>1081886.3999999999</v>
      </c>
      <c r="F28" s="25">
        <f>'OPEX_ Bdgt_F'!H3127</f>
        <v>1100000</v>
      </c>
      <c r="G28" s="25">
        <f>'OPEX_ Bdgt_F'!I3127</f>
        <v>1166000</v>
      </c>
      <c r="H28" s="25">
        <f>'OPEX_ Bdgt_F'!J3127</f>
        <v>1235960</v>
      </c>
      <c r="I28" s="673">
        <f>(F28-D28)/D28</f>
        <v>-0.19170245832675062</v>
      </c>
      <c r="J28" s="24" t="s">
        <v>4195</v>
      </c>
    </row>
    <row r="29" spans="1:10" x14ac:dyDescent="0.2">
      <c r="A29" s="24"/>
      <c r="B29" s="25"/>
      <c r="C29" s="25"/>
      <c r="D29" s="25"/>
      <c r="E29" s="25"/>
      <c r="F29" s="25"/>
      <c r="G29" s="25"/>
      <c r="H29" s="25"/>
      <c r="I29" s="673"/>
      <c r="J29" s="674"/>
    </row>
    <row r="30" spans="1:10" x14ac:dyDescent="0.2">
      <c r="A30" s="24" t="s">
        <v>4008</v>
      </c>
      <c r="B30" s="25">
        <f>'OPEX_ Bdgt_F'!C3129</f>
        <v>24832097</v>
      </c>
      <c r="C30" s="25">
        <f>'OPEX_ Bdgt_F'!D3129</f>
        <v>32087000</v>
      </c>
      <c r="D30" s="25">
        <f>'OPEX_ Bdgt_F'!E3129</f>
        <v>32768000</v>
      </c>
      <c r="E30" s="25">
        <f>'OPEX_ Bdgt_F'!G3129</f>
        <v>32181000</v>
      </c>
      <c r="F30" s="25">
        <f>'OPEX_ Bdgt_F'!H3129</f>
        <v>40862000</v>
      </c>
      <c r="G30" s="25">
        <f>'OPEX_ Bdgt_F'!I3129</f>
        <v>46076000</v>
      </c>
      <c r="H30" s="25">
        <f>'OPEX_ Bdgt_F'!J3129</f>
        <v>50691000</v>
      </c>
      <c r="I30" s="673">
        <f>(F30-D30)/D30</f>
        <v>0.24700927734375</v>
      </c>
      <c r="J30" s="674"/>
    </row>
    <row r="31" spans="1:10" x14ac:dyDescent="0.2">
      <c r="A31" s="24"/>
      <c r="B31" s="25"/>
      <c r="C31" s="25"/>
      <c r="D31" s="25"/>
      <c r="E31" s="25"/>
      <c r="F31" s="25"/>
      <c r="G31" s="25"/>
      <c r="H31" s="25"/>
      <c r="I31" s="673"/>
      <c r="J31" s="674"/>
    </row>
    <row r="32" spans="1:10" x14ac:dyDescent="0.2">
      <c r="A32" s="24" t="s">
        <v>4009</v>
      </c>
      <c r="B32" s="25">
        <f>'OPEX_ Bdgt_F'!C3131</f>
        <v>1352379</v>
      </c>
      <c r="C32" s="25">
        <f>'OPEX_ Bdgt_F'!D3131</f>
        <v>4115000</v>
      </c>
      <c r="D32" s="25">
        <f>'OPEX_ Bdgt_F'!E3131</f>
        <v>4331350</v>
      </c>
      <c r="E32" s="25">
        <f>'OPEX_ Bdgt_F'!G3131</f>
        <v>4281500</v>
      </c>
      <c r="F32" s="25">
        <f>'OPEX_ Bdgt_F'!H3131</f>
        <v>6087155</v>
      </c>
      <c r="G32" s="25">
        <f>'OPEX_ Bdgt_F'!I3131</f>
        <v>3850685</v>
      </c>
      <c r="H32" s="25">
        <f>'OPEX_ Bdgt_F'!J3131</f>
        <v>3983270</v>
      </c>
      <c r="I32" s="673">
        <f>(F32-D32)/D32</f>
        <v>0.40537130455862491</v>
      </c>
      <c r="J32" s="24" t="s">
        <v>4193</v>
      </c>
    </row>
    <row r="33" spans="1:10" x14ac:dyDescent="0.2">
      <c r="A33" s="24"/>
      <c r="B33" s="25"/>
      <c r="C33" s="25"/>
      <c r="D33" s="25"/>
      <c r="E33" s="25"/>
      <c r="F33" s="25"/>
      <c r="G33" s="25"/>
      <c r="H33" s="25"/>
      <c r="I33" s="673"/>
      <c r="J33" s="674"/>
    </row>
    <row r="34" spans="1:10" x14ac:dyDescent="0.2">
      <c r="A34" s="24" t="s">
        <v>4010</v>
      </c>
      <c r="B34" s="25">
        <f>'OPEX_ Bdgt_F'!C3133</f>
        <v>632163</v>
      </c>
      <c r="C34" s="25">
        <f>'OPEX_ Bdgt_F'!D3133</f>
        <v>460917</v>
      </c>
      <c r="D34" s="25">
        <f>'OPEX_ Bdgt_F'!E3133</f>
        <v>1035517</v>
      </c>
      <c r="E34" s="25">
        <f>'OPEX_ Bdgt_F'!G3133</f>
        <v>800322</v>
      </c>
      <c r="F34" s="25">
        <f>'OPEX_ Bdgt_F'!H3133</f>
        <v>330511</v>
      </c>
      <c r="G34" s="25">
        <f>'OPEX_ Bdgt_F'!I3133</f>
        <v>350342</v>
      </c>
      <c r="H34" s="25">
        <f>'OPEX_ Bdgt_F'!J3133</f>
        <v>371361</v>
      </c>
      <c r="I34" s="673">
        <f>(F34-D34)/D34</f>
        <v>-0.68082513372547238</v>
      </c>
      <c r="J34" s="24" t="s">
        <v>4194</v>
      </c>
    </row>
    <row r="35" spans="1:10" x14ac:dyDescent="0.2">
      <c r="A35" s="24"/>
      <c r="B35" s="25"/>
      <c r="C35" s="25"/>
      <c r="D35" s="25"/>
      <c r="E35" s="25"/>
      <c r="F35" s="25"/>
      <c r="G35" s="25"/>
      <c r="H35" s="25"/>
      <c r="I35" s="673"/>
      <c r="J35" s="24" t="s">
        <v>4196</v>
      </c>
    </row>
    <row r="36" spans="1:10" x14ac:dyDescent="0.2">
      <c r="A36" s="24" t="s">
        <v>4011</v>
      </c>
      <c r="B36" s="25">
        <f>'OPEX_ Bdgt_F'!C3135</f>
        <v>-1313887</v>
      </c>
      <c r="C36" s="25">
        <f>'OPEX_ Bdgt_F'!D3135</f>
        <v>-1731073</v>
      </c>
      <c r="D36" s="25">
        <f>'OPEX_ Bdgt_F'!E3135-D38</f>
        <v>-1731073</v>
      </c>
      <c r="E36" s="25">
        <f>'OPEX_ Bdgt_F'!G3135</f>
        <v>-1878720</v>
      </c>
      <c r="F36" s="25">
        <f>'OPEX_ Bdgt_F'!H3135</f>
        <v>-2720933</v>
      </c>
      <c r="G36" s="25">
        <f>'OPEX_ Bdgt_F'!I3135</f>
        <v>-3480745</v>
      </c>
      <c r="H36" s="25">
        <f>'OPEX_ Bdgt_F'!J3135</f>
        <v>-1792542</v>
      </c>
      <c r="I36" s="673">
        <f>(F36-D36)/D36</f>
        <v>0.57181875056684495</v>
      </c>
      <c r="J36" s="24" t="s">
        <v>4197</v>
      </c>
    </row>
    <row r="37" spans="1:10" x14ac:dyDescent="0.2">
      <c r="A37" s="24"/>
      <c r="B37" s="25"/>
      <c r="C37" s="25"/>
      <c r="D37" s="25"/>
      <c r="E37" s="25"/>
      <c r="F37" s="25"/>
      <c r="G37" s="25"/>
      <c r="H37" s="25"/>
      <c r="I37" s="673"/>
      <c r="J37" s="674"/>
    </row>
    <row r="38" spans="1:10" x14ac:dyDescent="0.2">
      <c r="A38" s="24" t="s">
        <v>4012</v>
      </c>
      <c r="B38" s="25">
        <v>0</v>
      </c>
      <c r="C38" s="25">
        <v>0</v>
      </c>
      <c r="D38" s="25">
        <v>-656458</v>
      </c>
      <c r="E38" s="25">
        <v>0</v>
      </c>
      <c r="F38" s="25">
        <v>0</v>
      </c>
      <c r="G38" s="25">
        <v>0</v>
      </c>
      <c r="H38" s="25">
        <v>0</v>
      </c>
      <c r="I38" s="673">
        <f>(F38-D38)/D38</f>
        <v>-1</v>
      </c>
      <c r="J38" s="24" t="s">
        <v>4198</v>
      </c>
    </row>
    <row r="39" spans="1:10" x14ac:dyDescent="0.2">
      <c r="A39" s="24"/>
      <c r="B39" s="25"/>
      <c r="C39" s="25"/>
      <c r="D39" s="25"/>
      <c r="E39" s="25"/>
      <c r="F39" s="25"/>
      <c r="G39" s="25"/>
      <c r="H39" s="25"/>
      <c r="I39" s="673"/>
      <c r="J39" s="674"/>
    </row>
    <row r="40" spans="1:10" x14ac:dyDescent="0.2">
      <c r="A40" s="28" t="s">
        <v>2727</v>
      </c>
      <c r="B40" s="29">
        <f>'OPEX_ Bdgt_F'!C3137</f>
        <v>-678648</v>
      </c>
      <c r="C40" s="29">
        <f>'OPEX_ Bdgt_F'!D3137</f>
        <v>-3134013</v>
      </c>
      <c r="D40" s="29">
        <f>'OPEX_ Bdgt_F'!E3137</f>
        <v>-3334013</v>
      </c>
      <c r="E40" s="29">
        <f>'OPEX_ Bdgt_F'!G3137</f>
        <v>-490704</v>
      </c>
      <c r="F40" s="29">
        <f>'OPEX_ Bdgt_F'!H3137</f>
        <v>-3409974</v>
      </c>
      <c r="G40" s="29">
        <f>'OPEX_ Bdgt_F'!I3137</f>
        <v>-4223744</v>
      </c>
      <c r="H40" s="29">
        <f>'OPEX_ Bdgt_F'!J3137</f>
        <v>-4908431</v>
      </c>
      <c r="I40" s="673">
        <f>(F40-D40)/-D40</f>
        <v>-2.2783654412865218E-2</v>
      </c>
      <c r="J40" s="24" t="s">
        <v>4199</v>
      </c>
    </row>
    <row r="41" spans="1:10" ht="13.5" thickBot="1" x14ac:dyDescent="0.25">
      <c r="A41" s="30"/>
      <c r="B41" s="31"/>
      <c r="C41" s="31"/>
      <c r="D41" s="31"/>
      <c r="E41" s="31"/>
      <c r="F41" s="31"/>
      <c r="G41" s="31"/>
      <c r="H41" s="31"/>
      <c r="I41" s="675"/>
      <c r="J41" s="674"/>
    </row>
    <row r="42" spans="1:10" ht="13.5" thickBot="1" x14ac:dyDescent="0.25">
      <c r="A42" s="676" t="s">
        <v>4014</v>
      </c>
      <c r="B42" s="683">
        <f>SUM(B10:B40)</f>
        <v>41869437</v>
      </c>
      <c r="C42" s="683">
        <f t="shared" ref="C42:H42" si="0">SUM(C10:C40)</f>
        <v>57439948</v>
      </c>
      <c r="D42" s="683">
        <f>SUM(D10:D40)</f>
        <v>58055440</v>
      </c>
      <c r="E42" s="683">
        <f>SUM(E10:E40)</f>
        <v>57934310.960000001</v>
      </c>
      <c r="F42" s="683">
        <f t="shared" si="0"/>
        <v>86397141</v>
      </c>
      <c r="G42" s="683">
        <f t="shared" si="0"/>
        <v>95160661</v>
      </c>
      <c r="H42" s="683">
        <f t="shared" si="0"/>
        <v>110208080</v>
      </c>
      <c r="I42" s="684">
        <f>(F42-D42)/D42</f>
        <v>0.4881833812645292</v>
      </c>
      <c r="J42" s="674"/>
    </row>
    <row r="43" spans="1:10" x14ac:dyDescent="0.2">
      <c r="A43" s="24"/>
      <c r="B43" s="25"/>
      <c r="C43" s="25"/>
      <c r="D43" s="25"/>
      <c r="E43" s="25"/>
      <c r="F43" s="25"/>
      <c r="G43" s="25"/>
      <c r="H43" s="25"/>
      <c r="I43" s="32"/>
      <c r="J43" s="27"/>
    </row>
    <row r="44" spans="1:10" x14ac:dyDescent="0.2">
      <c r="A44" s="757" t="s">
        <v>1180</v>
      </c>
      <c r="B44" s="757"/>
      <c r="C44" s="757"/>
      <c r="D44" s="757"/>
      <c r="E44" s="757"/>
      <c r="F44" s="757"/>
      <c r="G44" s="757"/>
      <c r="H44" s="757"/>
      <c r="I44" s="757"/>
      <c r="J44" s="757"/>
    </row>
    <row r="45" spans="1:10" ht="15.75" x14ac:dyDescent="0.25">
      <c r="A45" s="754" t="s">
        <v>52</v>
      </c>
      <c r="B45" s="754"/>
      <c r="C45" s="754"/>
      <c r="D45" s="754"/>
      <c r="E45" s="754"/>
      <c r="F45" s="754"/>
      <c r="G45" s="754"/>
      <c r="H45" s="754"/>
      <c r="I45" s="754"/>
      <c r="J45" s="754"/>
    </row>
    <row r="47" spans="1:10" x14ac:dyDescent="0.2">
      <c r="A47" s="5" t="s">
        <v>53</v>
      </c>
    </row>
    <row r="48" spans="1:10" ht="13.5" thickBot="1" x14ac:dyDescent="0.25"/>
    <row r="49" spans="1:10" x14ac:dyDescent="0.2">
      <c r="A49" s="464"/>
      <c r="B49" s="17" t="s">
        <v>54</v>
      </c>
      <c r="C49" s="17" t="s">
        <v>2970</v>
      </c>
      <c r="D49" s="18" t="s">
        <v>2973</v>
      </c>
      <c r="E49" s="17" t="s">
        <v>2971</v>
      </c>
      <c r="F49" s="18" t="s">
        <v>2974</v>
      </c>
      <c r="G49" s="19" t="s">
        <v>2974</v>
      </c>
      <c r="H49" s="19" t="s">
        <v>2974</v>
      </c>
      <c r="I49" s="465"/>
      <c r="J49" s="669"/>
    </row>
    <row r="50" spans="1:10" x14ac:dyDescent="0.2">
      <c r="A50" s="466"/>
      <c r="B50" s="20" t="s">
        <v>55</v>
      </c>
      <c r="C50" s="20" t="s">
        <v>468</v>
      </c>
      <c r="D50" s="21" t="s">
        <v>468</v>
      </c>
      <c r="E50" s="20" t="s">
        <v>2972</v>
      </c>
      <c r="F50" s="21" t="s">
        <v>468</v>
      </c>
      <c r="G50" s="22" t="s">
        <v>2976</v>
      </c>
      <c r="H50" s="22" t="s">
        <v>2977</v>
      </c>
      <c r="I50" s="467" t="s">
        <v>56</v>
      </c>
      <c r="J50" s="671" t="s">
        <v>4185</v>
      </c>
    </row>
    <row r="51" spans="1:10" ht="13.5" thickBot="1" x14ac:dyDescent="0.25">
      <c r="A51" s="468" t="s">
        <v>470</v>
      </c>
      <c r="B51" s="23" t="s">
        <v>57</v>
      </c>
      <c r="C51" s="23" t="s">
        <v>471</v>
      </c>
      <c r="D51" s="469" t="s">
        <v>471</v>
      </c>
      <c r="E51" s="23" t="s">
        <v>471</v>
      </c>
      <c r="F51" s="469" t="s">
        <v>58</v>
      </c>
      <c r="G51" s="470" t="s">
        <v>59</v>
      </c>
      <c r="H51" s="470" t="s">
        <v>2975</v>
      </c>
      <c r="I51" s="471" t="s">
        <v>60</v>
      </c>
      <c r="J51" s="670"/>
    </row>
    <row r="52" spans="1:10" x14ac:dyDescent="0.2">
      <c r="A52" s="686"/>
      <c r="B52" s="686"/>
      <c r="C52" s="686"/>
      <c r="D52" s="686"/>
      <c r="E52" s="686"/>
      <c r="F52" s="686"/>
      <c r="G52" s="686"/>
      <c r="H52" s="686"/>
      <c r="I52" s="686"/>
      <c r="J52" s="686"/>
    </row>
    <row r="53" spans="1:10" x14ac:dyDescent="0.2">
      <c r="A53" s="5" t="s">
        <v>4018</v>
      </c>
      <c r="B53" s="25"/>
      <c r="C53" s="25"/>
      <c r="D53" s="25"/>
      <c r="E53" s="25"/>
      <c r="F53" s="544"/>
      <c r="G53" s="25"/>
      <c r="H53" s="25"/>
    </row>
    <row r="54" spans="1:10" x14ac:dyDescent="0.2">
      <c r="A54" s="24" t="s">
        <v>4019</v>
      </c>
      <c r="B54" s="25">
        <f>'OPEX_ Bdgt_F'!C3152</f>
        <v>19489880.759999998</v>
      </c>
      <c r="C54" s="25">
        <f>'OPEX_ Bdgt_F'!D3152</f>
        <v>23277687</v>
      </c>
      <c r="D54" s="25">
        <f>'OPEX_ Bdgt_F'!E3152</f>
        <v>23277687</v>
      </c>
      <c r="E54" s="25">
        <f>'OPEX_ Bdgt_F'!G3152</f>
        <v>22392280.800000004</v>
      </c>
      <c r="F54" s="25">
        <f>'OPEX_ Bdgt_F'!H3152</f>
        <v>32957191</v>
      </c>
      <c r="G54" s="25">
        <f>'OPEX_ Bdgt_F'!I3152</f>
        <v>35569437</v>
      </c>
      <c r="H54" s="25">
        <f>'OPEX_ Bdgt_F'!J3152</f>
        <v>38415001</v>
      </c>
      <c r="I54" s="673">
        <f>(F54-D54)/D54</f>
        <v>0.41582756912231011</v>
      </c>
      <c r="J54" s="24" t="s">
        <v>1171</v>
      </c>
    </row>
    <row r="55" spans="1:10" x14ac:dyDescent="0.2">
      <c r="A55" s="24"/>
      <c r="B55" s="25"/>
      <c r="C55" s="25"/>
      <c r="D55" s="25"/>
      <c r="E55" s="25"/>
      <c r="F55" s="25"/>
      <c r="G55" s="25"/>
      <c r="H55" s="25"/>
      <c r="I55" s="677"/>
      <c r="J55" s="24"/>
    </row>
    <row r="56" spans="1:10" x14ac:dyDescent="0.2">
      <c r="A56" s="24" t="s">
        <v>4020</v>
      </c>
      <c r="B56" s="25">
        <f>'OPEX_ Bdgt_F'!C3154</f>
        <v>1714439</v>
      </c>
      <c r="C56" s="25">
        <f>'OPEX_ Bdgt_F'!D3154</f>
        <v>2006037</v>
      </c>
      <c r="D56" s="25">
        <f>'OPEX_ Bdgt_F'!E3154</f>
        <v>2006037</v>
      </c>
      <c r="E56" s="25">
        <f>'OPEX_ Bdgt_F'!G3154</f>
        <v>1935979.2000000002</v>
      </c>
      <c r="F56" s="25">
        <f>'OPEX_ Bdgt_F'!H3154</f>
        <v>2174900</v>
      </c>
      <c r="G56" s="25">
        <f>'OPEX_ Bdgt_F'!I3154</f>
        <v>2348893</v>
      </c>
      <c r="H56" s="25">
        <f>'OPEX_ Bdgt_F'!J3154</f>
        <v>2536805</v>
      </c>
      <c r="I56" s="673">
        <f>(F56-D56)/D56</f>
        <v>8.4177410486446655E-2</v>
      </c>
      <c r="J56" s="24" t="s">
        <v>1172</v>
      </c>
    </row>
    <row r="57" spans="1:10" x14ac:dyDescent="0.2">
      <c r="A57" s="24"/>
      <c r="B57" s="25"/>
      <c r="C57" s="25"/>
      <c r="D57" s="25"/>
      <c r="E57" s="25"/>
      <c r="F57" s="25"/>
      <c r="G57" s="679"/>
      <c r="H57" s="25"/>
      <c r="I57" s="677"/>
      <c r="J57" s="24"/>
    </row>
    <row r="58" spans="1:10" x14ac:dyDescent="0.2">
      <c r="A58" s="24" t="s">
        <v>4021</v>
      </c>
      <c r="B58" s="25">
        <f>'OPEX_ Bdgt_F'!C3156</f>
        <v>1346275</v>
      </c>
      <c r="C58" s="25">
        <f>'OPEX_ Bdgt_F'!D3156</f>
        <v>5141300</v>
      </c>
      <c r="D58" s="25">
        <f>'OPEX_ Bdgt_F'!E3156</f>
        <v>4137608</v>
      </c>
      <c r="E58" s="25">
        <f>'OPEX_ Bdgt_F'!G3156</f>
        <v>3208072.8</v>
      </c>
      <c r="F58" s="25">
        <f>'OPEX_ Bdgt_F'!H3156</f>
        <v>3932859</v>
      </c>
      <c r="G58" s="25">
        <f>'OPEX_ Bdgt_F'!I3156</f>
        <v>4167782</v>
      </c>
      <c r="H58" s="25">
        <f>'OPEX_ Bdgt_F'!J3156</f>
        <v>4416750</v>
      </c>
      <c r="I58" s="673">
        <f>(F58-D58)/D58</f>
        <v>-4.9484871452298046E-2</v>
      </c>
      <c r="J58" s="24" t="s">
        <v>1173</v>
      </c>
    </row>
    <row r="59" spans="1:10" x14ac:dyDescent="0.2">
      <c r="A59" s="24"/>
      <c r="B59" s="25"/>
      <c r="C59" s="25"/>
      <c r="D59" s="25"/>
      <c r="E59" s="25"/>
      <c r="F59" s="25"/>
      <c r="G59" s="25"/>
      <c r="H59" s="25"/>
      <c r="I59" s="677"/>
      <c r="J59" s="24" t="s">
        <v>1174</v>
      </c>
    </row>
    <row r="60" spans="1:10" x14ac:dyDescent="0.2">
      <c r="A60" s="24" t="s">
        <v>4022</v>
      </c>
      <c r="B60" s="25">
        <f>'OPEX_ Bdgt_F'!C3158</f>
        <v>476943</v>
      </c>
      <c r="C60" s="25">
        <f>'OPEX_ Bdgt_F'!D3158</f>
        <v>199742</v>
      </c>
      <c r="D60" s="25">
        <f>'OPEX_ Bdgt_F'!E3158</f>
        <v>199742</v>
      </c>
      <c r="E60" s="25">
        <f>'OPEX_ Bdgt_F'!G3158</f>
        <v>168000</v>
      </c>
      <c r="F60" s="25">
        <f>'OPEX_ Bdgt_F'!H3158</f>
        <v>5030795</v>
      </c>
      <c r="G60" s="25">
        <f>'OPEX_ Bdgt_F'!I3158</f>
        <v>5629154</v>
      </c>
      <c r="H60" s="25">
        <f>'OPEX_ Bdgt_F'!J3158</f>
        <v>5553208</v>
      </c>
      <c r="I60" s="673">
        <f>(F60-D60)/D60</f>
        <v>24.186465540547307</v>
      </c>
      <c r="J60" s="24" t="s">
        <v>1175</v>
      </c>
    </row>
    <row r="61" spans="1:10" x14ac:dyDescent="0.2">
      <c r="A61" s="24"/>
      <c r="B61" s="25"/>
      <c r="C61" s="25"/>
      <c r="D61" s="25"/>
      <c r="E61" s="25"/>
      <c r="F61" s="25"/>
      <c r="G61" s="25"/>
      <c r="H61" s="25"/>
      <c r="I61" s="677"/>
      <c r="J61" s="24"/>
    </row>
    <row r="62" spans="1:10" x14ac:dyDescent="0.2">
      <c r="A62" s="24" t="s">
        <v>4023</v>
      </c>
      <c r="B62" s="25">
        <f>'OPEX_ Bdgt_F'!C3160</f>
        <v>437765</v>
      </c>
      <c r="C62" s="25">
        <f>'OPEX_ Bdgt_F'!D3160</f>
        <v>655418</v>
      </c>
      <c r="D62" s="25">
        <f>'OPEX_ Bdgt_F'!E3160</f>
        <v>655418</v>
      </c>
      <c r="E62" s="25">
        <f>'OPEX_ Bdgt_F'!G3160</f>
        <v>372656.4</v>
      </c>
      <c r="F62" s="25">
        <f>'OPEX_ Bdgt_F'!H3160</f>
        <v>9243802</v>
      </c>
      <c r="G62" s="25">
        <f>'OPEX_ Bdgt_F'!I3160</f>
        <v>11628703</v>
      </c>
      <c r="H62" s="25">
        <f>'OPEX_ Bdgt_F'!J3160</f>
        <v>14640537</v>
      </c>
      <c r="I62" s="673">
        <v>1</v>
      </c>
      <c r="J62" s="24" t="s">
        <v>1176</v>
      </c>
    </row>
    <row r="63" spans="1:10" x14ac:dyDescent="0.2">
      <c r="A63" s="24"/>
      <c r="B63" s="25"/>
      <c r="C63" s="25"/>
      <c r="D63" s="25"/>
      <c r="E63" s="25"/>
      <c r="F63" s="25"/>
      <c r="G63" s="25"/>
      <c r="H63" s="25"/>
      <c r="I63" s="677"/>
      <c r="J63" s="24"/>
    </row>
    <row r="64" spans="1:10" x14ac:dyDescent="0.2">
      <c r="A64" s="28" t="s">
        <v>4024</v>
      </c>
      <c r="B64" s="29">
        <f>'OPEX_ Bdgt_F'!C3162</f>
        <v>17721012</v>
      </c>
      <c r="C64" s="29">
        <f>'OPEX_ Bdgt_F'!D3162</f>
        <v>19107254</v>
      </c>
      <c r="D64" s="29">
        <f>'OPEX_ Bdgt_F'!E3162</f>
        <v>20513569</v>
      </c>
      <c r="E64" s="29">
        <f>'OPEX_ Bdgt_F'!G3162</f>
        <v>21509854.799999997</v>
      </c>
      <c r="F64" s="29">
        <f>'OPEX_ Bdgt_F'!H3162</f>
        <v>23720000</v>
      </c>
      <c r="G64" s="29">
        <f>'OPEX_ Bdgt_F'!I3162</f>
        <v>24673531</v>
      </c>
      <c r="H64" s="29">
        <f>'OPEX_ Bdgt_F'!J3162</f>
        <v>26137946</v>
      </c>
      <c r="I64" s="673">
        <f>(F64-D64)/D64</f>
        <v>0.15630780777347911</v>
      </c>
      <c r="J64" s="24" t="s">
        <v>1176</v>
      </c>
    </row>
    <row r="65" spans="1:10" x14ac:dyDescent="0.2">
      <c r="A65" s="28"/>
      <c r="B65" s="29"/>
      <c r="C65" s="29"/>
      <c r="D65" s="29"/>
      <c r="E65" s="29"/>
      <c r="F65" s="29"/>
      <c r="G65" s="29"/>
      <c r="H65" s="29"/>
      <c r="I65" s="673"/>
      <c r="J65" s="24"/>
    </row>
    <row r="66" spans="1:10" x14ac:dyDescent="0.2">
      <c r="A66" s="28" t="s">
        <v>2388</v>
      </c>
      <c r="B66" s="29">
        <f>+'OPEX_ Bdgt_F'!C3164</f>
        <v>0</v>
      </c>
      <c r="C66" s="29">
        <f>+'OPEX_ Bdgt_F'!D3164</f>
        <v>0</v>
      </c>
      <c r="D66" s="29">
        <f>+'OPEX_ Bdgt_F'!E3164</f>
        <v>0</v>
      </c>
      <c r="E66" s="29">
        <f>+'OPEX_ Bdgt_F'!G3164</f>
        <v>0</v>
      </c>
      <c r="F66" s="29">
        <f>+'OPEX_ Bdgt_F'!H3164</f>
        <v>2322154</v>
      </c>
      <c r="G66" s="29">
        <f>+'OPEX_ Bdgt_F'!I3164</f>
        <v>2322154</v>
      </c>
      <c r="H66" s="29">
        <f>+'OPEX_ Bdgt_F'!J3164</f>
        <v>2322154</v>
      </c>
      <c r="I66" s="673">
        <v>1</v>
      </c>
      <c r="J66" s="24" t="s">
        <v>1177</v>
      </c>
    </row>
    <row r="67" spans="1:10" ht="13.5" thickBot="1" x14ac:dyDescent="0.25">
      <c r="A67" s="30"/>
      <c r="B67" s="31"/>
      <c r="C67" s="31"/>
      <c r="D67" s="31"/>
      <c r="E67" s="31"/>
      <c r="F67" s="31"/>
      <c r="G67" s="31"/>
      <c r="H67" s="31"/>
      <c r="I67" s="678"/>
      <c r="J67" s="24"/>
    </row>
    <row r="68" spans="1:10" x14ac:dyDescent="0.2">
      <c r="A68" s="33" t="s">
        <v>4025</v>
      </c>
      <c r="B68" s="34">
        <f>SUM(B54:B66)</f>
        <v>41186314.759999998</v>
      </c>
      <c r="C68" s="34">
        <f t="shared" ref="C68:H68" si="1">SUM(C54:C66)</f>
        <v>50387438</v>
      </c>
      <c r="D68" s="34">
        <f t="shared" si="1"/>
        <v>50790061</v>
      </c>
      <c r="E68" s="34">
        <f t="shared" si="1"/>
        <v>49586844</v>
      </c>
      <c r="F68" s="34">
        <f t="shared" si="1"/>
        <v>79381701</v>
      </c>
      <c r="G68" s="34">
        <f t="shared" si="1"/>
        <v>86339654</v>
      </c>
      <c r="H68" s="34">
        <f t="shared" si="1"/>
        <v>94022401</v>
      </c>
      <c r="I68" s="682">
        <f>(F68-D68)/D68</f>
        <v>0.56293769759402335</v>
      </c>
      <c r="J68" s="109"/>
    </row>
    <row r="69" spans="1:10" x14ac:dyDescent="0.2">
      <c r="A69" s="24"/>
      <c r="B69" s="25"/>
      <c r="C69" s="25"/>
      <c r="D69" s="25"/>
      <c r="E69" s="25"/>
      <c r="F69" s="25"/>
      <c r="G69" s="25"/>
      <c r="H69" s="25"/>
      <c r="I69" s="677"/>
      <c r="J69" s="24"/>
    </row>
    <row r="70" spans="1:10" x14ac:dyDescent="0.2">
      <c r="A70" s="24" t="s">
        <v>4026</v>
      </c>
      <c r="B70" s="25">
        <f>'OPEX_ Bdgt_F'!C3168</f>
        <v>5763609</v>
      </c>
      <c r="C70" s="25">
        <f>'OPEX_ Bdgt_F'!D3168</f>
        <v>2856181</v>
      </c>
      <c r="D70" s="25">
        <f>'OPEX_ Bdgt_F'!E3168</f>
        <v>2856181</v>
      </c>
      <c r="E70" s="25">
        <f>'OPEX_ Bdgt_F'!G3168</f>
        <v>735398</v>
      </c>
      <c r="F70" s="25">
        <f>'OPEX_ Bdgt_F'!H3168</f>
        <v>4169076</v>
      </c>
      <c r="G70" s="25">
        <f>'OPEX_ Bdgt_F'!I3168</f>
        <v>4586106</v>
      </c>
      <c r="H70" s="25">
        <f>'OPEX_ Bdgt_F'!J3168</f>
        <v>5220385</v>
      </c>
      <c r="I70" s="673">
        <f>(F70-D70)/D70</f>
        <v>0.45966799723126789</v>
      </c>
      <c r="J70" s="24" t="s">
        <v>4199</v>
      </c>
    </row>
    <row r="71" spans="1:10" x14ac:dyDescent="0.2">
      <c r="A71" s="24"/>
      <c r="B71" s="25"/>
      <c r="C71" s="25"/>
      <c r="D71" s="25"/>
      <c r="E71" s="25"/>
      <c r="F71" s="25"/>
      <c r="G71" s="25"/>
      <c r="H71" s="25"/>
      <c r="I71" s="677"/>
      <c r="J71" s="24"/>
    </row>
    <row r="72" spans="1:10" x14ac:dyDescent="0.2">
      <c r="A72" s="24" t="s">
        <v>4027</v>
      </c>
      <c r="B72" s="25">
        <f>'OPEX_ Bdgt_F'!C3170</f>
        <v>0</v>
      </c>
      <c r="C72" s="25">
        <f>'OPEX_ Bdgt_F'!D3170</f>
        <v>0</v>
      </c>
      <c r="D72" s="25">
        <f>'OPEX_ Bdgt_F'!E3170</f>
        <v>0</v>
      </c>
      <c r="E72" s="25">
        <f>'OPEX_ Bdgt_F'!G3170</f>
        <v>336000</v>
      </c>
      <c r="F72" s="25">
        <f>'OPEX_ Bdgt_F'!H3170</f>
        <v>943127</v>
      </c>
      <c r="G72" s="25">
        <f>'OPEX_ Bdgt_F'!I3170</f>
        <v>688564</v>
      </c>
      <c r="H72" s="25">
        <f>'OPEX_ Bdgt_F'!J3170</f>
        <v>1271917</v>
      </c>
      <c r="I72" s="673">
        <v>1</v>
      </c>
      <c r="J72" s="24" t="s">
        <v>1178</v>
      </c>
    </row>
    <row r="73" spans="1:10" x14ac:dyDescent="0.2">
      <c r="A73" s="24"/>
      <c r="B73" s="25"/>
      <c r="C73" s="25"/>
      <c r="D73" s="25"/>
      <c r="E73" s="25"/>
      <c r="F73" s="25"/>
      <c r="G73" s="25"/>
      <c r="H73" s="25"/>
      <c r="I73" s="677"/>
      <c r="J73" s="24"/>
    </row>
    <row r="74" spans="1:10" x14ac:dyDescent="0.2">
      <c r="A74" s="28" t="s">
        <v>4028</v>
      </c>
      <c r="B74" s="29">
        <f>'OPEX_ Bdgt_F'!C3172</f>
        <v>1315758</v>
      </c>
      <c r="C74" s="29">
        <f>'OPEX_ Bdgt_F'!D3172</f>
        <v>966099</v>
      </c>
      <c r="D74" s="29">
        <f>'OPEX_ Bdgt_F'!E3172</f>
        <v>966099</v>
      </c>
      <c r="E74" s="29">
        <f>'OPEX_ Bdgt_F'!G3172</f>
        <v>360879.5</v>
      </c>
      <c r="F74" s="29">
        <f>'OPEX_ Bdgt_F'!H3172</f>
        <v>1049582</v>
      </c>
      <c r="G74" s="29">
        <f>'OPEX_ Bdgt_F'!I3172</f>
        <v>1122591</v>
      </c>
      <c r="H74" s="29">
        <f>'OPEX_ Bdgt_F'!J3172</f>
        <v>1209087</v>
      </c>
      <c r="I74" s="673">
        <f>(F74-D74)/D74</f>
        <v>8.6412469115484031E-2</v>
      </c>
      <c r="J74" s="24" t="s">
        <v>1179</v>
      </c>
    </row>
    <row r="75" spans="1:10" ht="13.5" thickBot="1" x14ac:dyDescent="0.25">
      <c r="A75" s="30"/>
      <c r="B75" s="31"/>
      <c r="C75" s="31"/>
      <c r="D75" s="31"/>
      <c r="E75" s="31"/>
      <c r="F75" s="31"/>
      <c r="G75" s="31"/>
      <c r="H75" s="31"/>
      <c r="I75" s="678"/>
      <c r="J75" s="24"/>
    </row>
    <row r="76" spans="1:10" x14ac:dyDescent="0.2">
      <c r="A76" s="687" t="s">
        <v>4033</v>
      </c>
      <c r="B76" s="688">
        <f>SUM(B68:B74)</f>
        <v>48265681.759999998</v>
      </c>
      <c r="C76" s="688">
        <f t="shared" ref="C76:H76" si="2">SUM(C68:C74)</f>
        <v>54209718</v>
      </c>
      <c r="D76" s="688">
        <f>SUM(D68:D74)</f>
        <v>54612341</v>
      </c>
      <c r="E76" s="688">
        <f t="shared" si="2"/>
        <v>51019121.5</v>
      </c>
      <c r="F76" s="688">
        <f t="shared" si="2"/>
        <v>85543486</v>
      </c>
      <c r="G76" s="688">
        <f t="shared" si="2"/>
        <v>92736915</v>
      </c>
      <c r="H76" s="688">
        <f t="shared" si="2"/>
        <v>101723790</v>
      </c>
      <c r="I76" s="689">
        <f>(F76-D76)/D76</f>
        <v>0.56637647157443771</v>
      </c>
      <c r="J76" s="24"/>
    </row>
    <row r="77" spans="1:10" x14ac:dyDescent="0.2">
      <c r="A77" s="24"/>
      <c r="B77" s="25"/>
      <c r="C77" s="25"/>
      <c r="D77" s="25"/>
      <c r="E77" s="25"/>
      <c r="F77" s="25"/>
      <c r="G77" s="25"/>
      <c r="H77" s="25"/>
      <c r="I77" s="32"/>
    </row>
    <row r="78" spans="1:10" x14ac:dyDescent="0.2">
      <c r="A78" s="33" t="s">
        <v>4034</v>
      </c>
      <c r="B78" s="34">
        <f t="shared" ref="B78:H78" si="3">B42-B76</f>
        <v>-6396244.7599999979</v>
      </c>
      <c r="C78" s="34">
        <f t="shared" si="3"/>
        <v>3230230</v>
      </c>
      <c r="D78" s="34">
        <f t="shared" si="3"/>
        <v>3443099</v>
      </c>
      <c r="E78" s="34">
        <f t="shared" si="3"/>
        <v>6915189.4600000009</v>
      </c>
      <c r="F78" s="34">
        <f t="shared" si="3"/>
        <v>853655</v>
      </c>
      <c r="G78" s="34">
        <f t="shared" si="3"/>
        <v>2423746</v>
      </c>
      <c r="H78" s="34">
        <f t="shared" si="3"/>
        <v>8484290</v>
      </c>
      <c r="I78" s="682">
        <f>(F78-D78)/D78</f>
        <v>-0.75206783191537618</v>
      </c>
    </row>
    <row r="79" spans="1:10" x14ac:dyDescent="0.2">
      <c r="A79" s="24"/>
      <c r="B79" s="25"/>
      <c r="C79" s="25"/>
      <c r="D79" s="25"/>
      <c r="E79" s="25"/>
      <c r="F79" s="25"/>
      <c r="G79" s="25"/>
      <c r="H79" s="25"/>
      <c r="I79" s="681"/>
    </row>
    <row r="80" spans="1:10" x14ac:dyDescent="0.2">
      <c r="A80" s="24" t="s">
        <v>4035</v>
      </c>
      <c r="B80" s="25">
        <f>'OPEX_ Bdgt_F'!C3202</f>
        <v>0</v>
      </c>
      <c r="C80" s="25">
        <f>'OPEX_ Bdgt_F'!D3202</f>
        <v>1500000</v>
      </c>
      <c r="D80" s="25">
        <f>'OPEX_ Bdgt_F'!E3202</f>
        <v>2000000</v>
      </c>
      <c r="E80" s="25">
        <f>'OPEX_ Bdgt_F'!G3202</f>
        <v>0</v>
      </c>
      <c r="F80" s="25">
        <f>'OPEX_ Bdgt_F'!H3202</f>
        <v>0</v>
      </c>
      <c r="G80" s="25">
        <f>'OPEX_ Bdgt_F'!I3202</f>
        <v>0</v>
      </c>
      <c r="H80" s="25">
        <f>'OPEX_ Bdgt_F'!J3202</f>
        <v>6000000</v>
      </c>
      <c r="I80" s="680">
        <f>(F80-D80)/D80</f>
        <v>-1</v>
      </c>
    </row>
    <row r="81" spans="1:10" x14ac:dyDescent="0.2">
      <c r="A81" s="24"/>
      <c r="B81" s="25"/>
      <c r="C81" s="25"/>
      <c r="D81" s="25"/>
      <c r="E81" s="25"/>
      <c r="F81" s="25"/>
      <c r="G81" s="25"/>
      <c r="H81" s="25"/>
      <c r="I81" s="680"/>
    </row>
    <row r="82" spans="1:10" x14ac:dyDescent="0.2">
      <c r="A82" s="24" t="s">
        <v>4367</v>
      </c>
      <c r="B82" s="25">
        <f>+'OPEX_ Bdgt_F'!C3204</f>
        <v>0</v>
      </c>
      <c r="C82" s="25">
        <f>+'OPEX_ Bdgt_F'!D3204</f>
        <v>0</v>
      </c>
      <c r="D82" s="25">
        <f>+'OPEX_ Bdgt_F'!E3204</f>
        <v>0</v>
      </c>
      <c r="E82" s="25">
        <f>+'OPEX_ Bdgt_F'!G3204</f>
        <v>0</v>
      </c>
      <c r="F82" s="25">
        <f>+'OPEX_ Bdgt_F'!H3204</f>
        <v>0</v>
      </c>
      <c r="G82" s="25">
        <f>+'OPEX_ Bdgt_F'!I3204</f>
        <v>2000000</v>
      </c>
      <c r="H82" s="25">
        <f>+'OPEX_ Bdgt_F'!J3204</f>
        <v>0</v>
      </c>
      <c r="I82" s="680">
        <v>1</v>
      </c>
    </row>
    <row r="83" spans="1:10" x14ac:dyDescent="0.2">
      <c r="A83" s="24"/>
      <c r="B83" s="25"/>
      <c r="C83" s="25"/>
      <c r="D83" s="25"/>
      <c r="E83" s="25"/>
      <c r="F83" s="25"/>
      <c r="G83" s="25"/>
      <c r="H83" s="25"/>
      <c r="I83" s="680"/>
    </row>
    <row r="84" spans="1:10" x14ac:dyDescent="0.2">
      <c r="A84" s="24" t="s">
        <v>4036</v>
      </c>
      <c r="B84" s="25">
        <f>'OPEX_ Bdgt_F'!C3206</f>
        <v>0</v>
      </c>
      <c r="C84" s="25">
        <f>'OPEX_ Bdgt_F'!D3206</f>
        <v>455700</v>
      </c>
      <c r="D84" s="25">
        <f>'OPEX_ Bdgt_F'!E3206</f>
        <v>485700</v>
      </c>
      <c r="E84" s="25">
        <f>'OPEX_ Bdgt_F'!G3206</f>
        <v>0</v>
      </c>
      <c r="F84" s="25">
        <f>'OPEX_ Bdgt_F'!H3206</f>
        <v>0</v>
      </c>
      <c r="G84" s="25">
        <f>'OPEX_ Bdgt_F'!I3206</f>
        <v>0</v>
      </c>
      <c r="H84" s="25">
        <f>'OPEX_ Bdgt_F'!J3206</f>
        <v>0</v>
      </c>
      <c r="I84" s="680">
        <f>(F84-D84)/D84</f>
        <v>-1</v>
      </c>
    </row>
    <row r="85" spans="1:10" x14ac:dyDescent="0.2">
      <c r="A85" s="24"/>
      <c r="B85" s="25"/>
      <c r="C85" s="25"/>
      <c r="D85" s="25"/>
      <c r="E85" s="25"/>
      <c r="F85" s="25"/>
      <c r="G85" s="25"/>
      <c r="H85" s="25"/>
      <c r="I85" s="26"/>
    </row>
    <row r="86" spans="1:10" ht="13.5" thickBot="1" x14ac:dyDescent="0.25">
      <c r="A86" s="35" t="s">
        <v>4037</v>
      </c>
      <c r="B86" s="36">
        <f>+B78-B80-B82-B84</f>
        <v>-6396244.7599999979</v>
      </c>
      <c r="C86" s="36">
        <f t="shared" ref="C86:H86" si="4">+C78-C80-C82-C84</f>
        <v>1274530</v>
      </c>
      <c r="D86" s="36">
        <f t="shared" si="4"/>
        <v>957399</v>
      </c>
      <c r="E86" s="36">
        <f t="shared" si="4"/>
        <v>6915189.4600000009</v>
      </c>
      <c r="F86" s="36">
        <f t="shared" si="4"/>
        <v>853655</v>
      </c>
      <c r="G86" s="36">
        <f t="shared" si="4"/>
        <v>423746</v>
      </c>
      <c r="H86" s="36">
        <f t="shared" si="4"/>
        <v>2484290</v>
      </c>
      <c r="I86" s="685">
        <f>(F86-D86)/D86</f>
        <v>-0.10836025523318908</v>
      </c>
    </row>
    <row r="88" spans="1:10" x14ac:dyDescent="0.2">
      <c r="A88" s="757" t="s">
        <v>2348</v>
      </c>
      <c r="B88" s="757"/>
      <c r="C88" s="757"/>
      <c r="D88" s="757"/>
      <c r="E88" s="757"/>
      <c r="F88" s="757"/>
      <c r="G88" s="757"/>
      <c r="H88" s="757"/>
      <c r="I88" s="757"/>
      <c r="J88" s="757"/>
    </row>
    <row r="89" spans="1:10" ht="15.75" x14ac:dyDescent="0.25">
      <c r="A89" s="754" t="s">
        <v>52</v>
      </c>
      <c r="B89" s="754"/>
      <c r="C89" s="754"/>
      <c r="D89" s="754"/>
      <c r="E89" s="754"/>
      <c r="F89" s="754"/>
      <c r="G89" s="754"/>
      <c r="H89" s="754"/>
      <c r="I89" s="754"/>
      <c r="J89" s="754"/>
    </row>
    <row r="91" spans="1:10" x14ac:dyDescent="0.2">
      <c r="A91" s="5" t="s">
        <v>53</v>
      </c>
    </row>
    <row r="92" spans="1:10" ht="13.5" thickBot="1" x14ac:dyDescent="0.25">
      <c r="I92" s="14"/>
    </row>
    <row r="93" spans="1:10" x14ac:dyDescent="0.2">
      <c r="A93" s="464"/>
      <c r="B93" s="17" t="s">
        <v>54</v>
      </c>
      <c r="C93" s="17" t="s">
        <v>2970</v>
      </c>
      <c r="D93" s="18" t="s">
        <v>2973</v>
      </c>
      <c r="E93" s="17" t="s">
        <v>2971</v>
      </c>
      <c r="F93" s="18" t="s">
        <v>2974</v>
      </c>
      <c r="G93" s="19" t="s">
        <v>2974</v>
      </c>
      <c r="H93" s="465" t="s">
        <v>2974</v>
      </c>
      <c r="I93" s="699"/>
      <c r="J93" s="14"/>
    </row>
    <row r="94" spans="1:10" x14ac:dyDescent="0.2">
      <c r="A94" s="466"/>
      <c r="B94" s="20" t="s">
        <v>55</v>
      </c>
      <c r="C94" s="20" t="s">
        <v>468</v>
      </c>
      <c r="D94" s="21" t="s">
        <v>468</v>
      </c>
      <c r="E94" s="20" t="s">
        <v>2972</v>
      </c>
      <c r="F94" s="21" t="s">
        <v>468</v>
      </c>
      <c r="G94" s="22" t="s">
        <v>2976</v>
      </c>
      <c r="H94" s="467" t="s">
        <v>2977</v>
      </c>
      <c r="I94" s="699"/>
      <c r="J94" s="698"/>
    </row>
    <row r="95" spans="1:10" ht="13.5" thickBot="1" x14ac:dyDescent="0.25">
      <c r="A95" s="468" t="s">
        <v>470</v>
      </c>
      <c r="B95" s="23" t="s">
        <v>57</v>
      </c>
      <c r="C95" s="23" t="s">
        <v>471</v>
      </c>
      <c r="D95" s="469" t="s">
        <v>471</v>
      </c>
      <c r="E95" s="23" t="s">
        <v>471</v>
      </c>
      <c r="F95" s="469" t="s">
        <v>58</v>
      </c>
      <c r="G95" s="470" t="s">
        <v>59</v>
      </c>
      <c r="H95" s="700" t="s">
        <v>2975</v>
      </c>
      <c r="I95" s="699"/>
      <c r="J95" s="14"/>
    </row>
    <row r="96" spans="1:10" x14ac:dyDescent="0.2">
      <c r="A96" s="686"/>
      <c r="B96" s="686"/>
      <c r="C96" s="686"/>
      <c r="D96" s="686"/>
      <c r="E96" s="686"/>
      <c r="F96" s="686"/>
      <c r="G96" s="686"/>
      <c r="H96" s="686"/>
      <c r="I96" s="686"/>
      <c r="J96" s="686"/>
    </row>
    <row r="97" spans="1:8" x14ac:dyDescent="0.2">
      <c r="A97" s="5" t="s">
        <v>2342</v>
      </c>
    </row>
    <row r="98" spans="1:8" x14ac:dyDescent="0.2">
      <c r="A98" s="24" t="s">
        <v>4008</v>
      </c>
      <c r="B98" s="25">
        <v>24832097</v>
      </c>
      <c r="C98" s="25">
        <v>32087000</v>
      </c>
      <c r="D98" s="25">
        <v>32768000</v>
      </c>
      <c r="E98" s="25">
        <v>32181000</v>
      </c>
      <c r="F98" s="25">
        <v>40862000</v>
      </c>
      <c r="G98" s="25">
        <v>46076000</v>
      </c>
      <c r="H98" s="25">
        <v>50691000</v>
      </c>
    </row>
    <row r="99" spans="1:8" ht="13.5" thickBot="1" x14ac:dyDescent="0.25">
      <c r="A99" s="30" t="s">
        <v>4009</v>
      </c>
      <c r="B99" s="31">
        <v>1352379</v>
      </c>
      <c r="C99" s="31">
        <v>4115000</v>
      </c>
      <c r="D99" s="31">
        <v>4331350</v>
      </c>
      <c r="E99" s="31">
        <v>4281500</v>
      </c>
      <c r="F99" s="31">
        <v>6087155.3760000002</v>
      </c>
      <c r="G99" s="31">
        <v>3850685.5585599998</v>
      </c>
      <c r="H99" s="31">
        <v>3983270.7720736</v>
      </c>
    </row>
    <row r="100" spans="1:8" x14ac:dyDescent="0.2">
      <c r="A100" s="33" t="s">
        <v>2343</v>
      </c>
      <c r="B100" s="690">
        <f>SUM(B98:B99)</f>
        <v>26184476</v>
      </c>
      <c r="C100" s="690">
        <f t="shared" ref="C100:H100" si="5">SUM(C98:C99)</f>
        <v>36202000</v>
      </c>
      <c r="D100" s="690">
        <f t="shared" si="5"/>
        <v>37099350</v>
      </c>
      <c r="E100" s="690">
        <f t="shared" si="5"/>
        <v>36462500</v>
      </c>
      <c r="F100" s="690">
        <f t="shared" si="5"/>
        <v>46949155.376000002</v>
      </c>
      <c r="G100" s="690">
        <f t="shared" si="5"/>
        <v>49926685.558559999</v>
      </c>
      <c r="H100" s="690">
        <f t="shared" si="5"/>
        <v>54674270.772073597</v>
      </c>
    </row>
    <row r="102" spans="1:8" ht="13.5" thickBot="1" x14ac:dyDescent="0.25">
      <c r="A102" s="692" t="s">
        <v>2344</v>
      </c>
      <c r="B102" s="691">
        <f>B100/(B100+B118)</f>
        <v>0.62538400026730712</v>
      </c>
      <c r="C102" s="691">
        <f t="shared" ref="C102:H102" si="6">C100/(C100+C118)</f>
        <v>0.63025823073516707</v>
      </c>
      <c r="D102" s="691">
        <f t="shared" si="6"/>
        <v>0.63903313797983441</v>
      </c>
      <c r="E102" s="691">
        <f t="shared" si="6"/>
        <v>0.62937660594902156</v>
      </c>
      <c r="F102" s="691">
        <f t="shared" si="6"/>
        <v>0.54107967739908058</v>
      </c>
      <c r="G102" s="691">
        <f t="shared" si="6"/>
        <v>0.51975570035375251</v>
      </c>
      <c r="H102" s="691">
        <f t="shared" si="6"/>
        <v>0.49138307404338682</v>
      </c>
    </row>
    <row r="104" spans="1:8" x14ac:dyDescent="0.2">
      <c r="A104" s="24" t="s">
        <v>62</v>
      </c>
      <c r="B104" s="25">
        <v>0</v>
      </c>
      <c r="C104" s="25">
        <v>1296505</v>
      </c>
      <c r="D104" s="25">
        <v>1296505</v>
      </c>
      <c r="E104" s="25">
        <v>1314250</v>
      </c>
      <c r="F104" s="25">
        <v>713687</v>
      </c>
      <c r="G104" s="25">
        <v>756508</v>
      </c>
      <c r="H104" s="25">
        <v>801898</v>
      </c>
    </row>
    <row r="105" spans="1:8" x14ac:dyDescent="0.2">
      <c r="A105" s="24" t="s">
        <v>63</v>
      </c>
      <c r="B105" s="25">
        <v>707630</v>
      </c>
      <c r="C105" s="25">
        <v>1550078</v>
      </c>
      <c r="D105" s="25">
        <v>1550078</v>
      </c>
      <c r="E105" s="25">
        <v>1791920.66</v>
      </c>
      <c r="F105" s="25">
        <v>1971113</v>
      </c>
      <c r="G105" s="25">
        <v>2089380</v>
      </c>
      <c r="H105" s="25">
        <v>2214743</v>
      </c>
    </row>
    <row r="106" spans="1:8" x14ac:dyDescent="0.2">
      <c r="A106" s="24" t="s">
        <v>2979</v>
      </c>
      <c r="B106" s="25">
        <v>4611378</v>
      </c>
      <c r="C106" s="25">
        <v>3399897</v>
      </c>
      <c r="D106" s="25">
        <v>3399897</v>
      </c>
      <c r="E106" s="25">
        <v>4849787.5</v>
      </c>
      <c r="F106" s="25">
        <v>5447693</v>
      </c>
      <c r="G106" s="25">
        <v>5774555</v>
      </c>
      <c r="H106" s="25">
        <v>6121027</v>
      </c>
    </row>
    <row r="107" spans="1:8" x14ac:dyDescent="0.2">
      <c r="A107" s="24" t="s">
        <v>2978</v>
      </c>
      <c r="B107" s="25">
        <v>0</v>
      </c>
      <c r="C107" s="25">
        <v>0</v>
      </c>
      <c r="D107" s="25">
        <v>0</v>
      </c>
      <c r="E107" s="25">
        <v>0</v>
      </c>
      <c r="F107" s="25">
        <v>2251155</v>
      </c>
      <c r="G107" s="25">
        <v>2386224</v>
      </c>
      <c r="H107" s="25">
        <v>2529397</v>
      </c>
    </row>
    <row r="108" spans="1:8" x14ac:dyDescent="0.2">
      <c r="A108" s="24" t="s">
        <v>64</v>
      </c>
      <c r="B108" s="25">
        <v>175821</v>
      </c>
      <c r="C108" s="25">
        <v>170100</v>
      </c>
      <c r="D108" s="25">
        <v>170100</v>
      </c>
      <c r="E108" s="25">
        <v>223906.8</v>
      </c>
      <c r="F108" s="25">
        <v>311509</v>
      </c>
      <c r="G108" s="25">
        <v>330200</v>
      </c>
      <c r="H108" s="25">
        <v>350012</v>
      </c>
    </row>
    <row r="109" spans="1:8" x14ac:dyDescent="0.2">
      <c r="A109" s="24" t="s">
        <v>65</v>
      </c>
      <c r="B109" s="25">
        <v>10015263</v>
      </c>
      <c r="C109" s="25">
        <v>17491473</v>
      </c>
      <c r="D109" s="25">
        <v>17491473</v>
      </c>
      <c r="E109" s="25">
        <v>13259815.199999999</v>
      </c>
      <c r="F109" s="25">
        <v>32866754</v>
      </c>
      <c r="G109" s="25">
        <v>39467010</v>
      </c>
      <c r="H109" s="25">
        <v>47958379</v>
      </c>
    </row>
    <row r="110" spans="1:8" x14ac:dyDescent="0.2">
      <c r="A110" s="24" t="s">
        <v>66</v>
      </c>
      <c r="B110" s="25">
        <v>421958</v>
      </c>
      <c r="C110" s="25">
        <v>332868</v>
      </c>
      <c r="D110" s="25">
        <v>332868</v>
      </c>
      <c r="E110" s="25">
        <v>463792.8</v>
      </c>
      <c r="F110" s="25">
        <v>511171</v>
      </c>
      <c r="G110" s="25">
        <v>542416</v>
      </c>
      <c r="H110" s="25">
        <v>575593</v>
      </c>
    </row>
    <row r="111" spans="1:8" x14ac:dyDescent="0.2">
      <c r="A111" s="24" t="s">
        <v>4005</v>
      </c>
      <c r="B111" s="25">
        <v>76165</v>
      </c>
      <c r="C111" s="25">
        <v>36100</v>
      </c>
      <c r="D111" s="25">
        <v>36100</v>
      </c>
      <c r="E111" s="25">
        <v>50349.599999999999</v>
      </c>
      <c r="F111" s="25">
        <v>75300</v>
      </c>
      <c r="G111" s="25">
        <v>75830</v>
      </c>
      <c r="H111" s="25">
        <v>76413</v>
      </c>
    </row>
    <row r="112" spans="1:8" x14ac:dyDescent="0.2">
      <c r="A112" s="24" t="s">
        <v>4006</v>
      </c>
      <c r="B112" s="25">
        <v>3158</v>
      </c>
      <c r="C112" s="25">
        <v>4211</v>
      </c>
      <c r="D112" s="25">
        <v>4211</v>
      </c>
      <c r="E112" s="25">
        <v>5204</v>
      </c>
      <c r="F112" s="25">
        <v>0</v>
      </c>
      <c r="G112" s="25">
        <v>0</v>
      </c>
      <c r="H112" s="25">
        <v>0</v>
      </c>
    </row>
    <row r="113" spans="1:8" x14ac:dyDescent="0.2">
      <c r="A113" s="24" t="s">
        <v>4007</v>
      </c>
      <c r="B113" s="25">
        <v>1033960</v>
      </c>
      <c r="C113" s="25">
        <v>1360885</v>
      </c>
      <c r="D113" s="25">
        <v>1360885</v>
      </c>
      <c r="E113" s="25">
        <v>1081886.3999999999</v>
      </c>
      <c r="F113" s="25">
        <v>1100000</v>
      </c>
      <c r="G113" s="25">
        <v>1166000</v>
      </c>
      <c r="H113" s="25">
        <v>1235960</v>
      </c>
    </row>
    <row r="114" spans="1:8" x14ac:dyDescent="0.2">
      <c r="A114" s="24" t="s">
        <v>4010</v>
      </c>
      <c r="B114" s="25">
        <v>632163</v>
      </c>
      <c r="C114" s="25">
        <v>460917</v>
      </c>
      <c r="D114" s="25">
        <v>1035517</v>
      </c>
      <c r="E114" s="25">
        <v>800322</v>
      </c>
      <c r="F114" s="25">
        <v>330511</v>
      </c>
      <c r="G114" s="25">
        <v>517302</v>
      </c>
      <c r="H114" s="25">
        <v>538321</v>
      </c>
    </row>
    <row r="115" spans="1:8" x14ac:dyDescent="0.2">
      <c r="A115" s="24" t="s">
        <v>4011</v>
      </c>
      <c r="B115" s="25">
        <v>-1313887</v>
      </c>
      <c r="C115" s="25">
        <v>-1731073</v>
      </c>
      <c r="D115" s="25">
        <v>-1731073</v>
      </c>
      <c r="E115" s="25">
        <v>-1878720</v>
      </c>
      <c r="F115" s="25">
        <v>-2720933</v>
      </c>
      <c r="G115" s="25">
        <v>-3480745</v>
      </c>
      <c r="H115" s="25">
        <v>-1792542</v>
      </c>
    </row>
    <row r="116" spans="1:8" x14ac:dyDescent="0.2">
      <c r="A116" s="24" t="s">
        <v>4012</v>
      </c>
      <c r="B116" s="25">
        <v>0</v>
      </c>
      <c r="C116" s="25">
        <v>0</v>
      </c>
      <c r="D116" s="25">
        <v>-656458</v>
      </c>
      <c r="E116" s="25">
        <v>0</v>
      </c>
      <c r="F116" s="25">
        <v>0</v>
      </c>
      <c r="G116" s="25">
        <v>0</v>
      </c>
      <c r="H116" s="25">
        <v>0</v>
      </c>
    </row>
    <row r="117" spans="1:8" ht="13.5" thickBot="1" x14ac:dyDescent="0.25">
      <c r="A117" s="30" t="s">
        <v>2727</v>
      </c>
      <c r="B117" s="31">
        <v>-678648</v>
      </c>
      <c r="C117" s="31">
        <v>-3134013</v>
      </c>
      <c r="D117" s="31">
        <v>-3334013</v>
      </c>
      <c r="E117" s="31">
        <v>-490704</v>
      </c>
      <c r="F117" s="31">
        <v>-3037722</v>
      </c>
      <c r="G117" s="31">
        <v>-3493380</v>
      </c>
      <c r="H117" s="31">
        <v>-4017387</v>
      </c>
    </row>
    <row r="118" spans="1:8" x14ac:dyDescent="0.2">
      <c r="A118" s="33" t="s">
        <v>2345</v>
      </c>
      <c r="B118" s="690">
        <f>SUM(B104:B117)</f>
        <v>15684961</v>
      </c>
      <c r="C118" s="690">
        <f t="shared" ref="C118:H118" si="7">SUM(C104:C117)</f>
        <v>21237948</v>
      </c>
      <c r="D118" s="690">
        <f t="shared" si="7"/>
        <v>20956090</v>
      </c>
      <c r="E118" s="690">
        <f t="shared" si="7"/>
        <v>21471810.960000001</v>
      </c>
      <c r="F118" s="690">
        <f t="shared" si="7"/>
        <v>39820238</v>
      </c>
      <c r="G118" s="690">
        <f t="shared" si="7"/>
        <v>46131300</v>
      </c>
      <c r="H118" s="690">
        <f t="shared" si="7"/>
        <v>56591814</v>
      </c>
    </row>
    <row r="119" spans="1:8" x14ac:dyDescent="0.2">
      <c r="F119" s="27">
        <f>F100+F118</f>
        <v>86769393.376000002</v>
      </c>
    </row>
    <row r="120" spans="1:8" ht="13.5" thickBot="1" x14ac:dyDescent="0.25">
      <c r="A120" s="692" t="s">
        <v>2344</v>
      </c>
      <c r="B120" s="691">
        <f>B118/(B100+B118)</f>
        <v>0.37461599973269283</v>
      </c>
      <c r="C120" s="691">
        <f t="shared" ref="C120:H120" si="8">C118/(C100+C118)</f>
        <v>0.36974176926483288</v>
      </c>
      <c r="D120" s="691">
        <f t="shared" si="8"/>
        <v>0.36096686202016554</v>
      </c>
      <c r="E120" s="691">
        <f t="shared" si="8"/>
        <v>0.37062339405097849</v>
      </c>
      <c r="F120" s="691">
        <f t="shared" si="8"/>
        <v>0.45892032260091942</v>
      </c>
      <c r="G120" s="691">
        <f t="shared" si="8"/>
        <v>0.48024429964624749</v>
      </c>
      <c r="H120" s="691">
        <f t="shared" si="8"/>
        <v>0.50861692595661312</v>
      </c>
    </row>
    <row r="122" spans="1:8" x14ac:dyDescent="0.2">
      <c r="A122" s="5" t="s">
        <v>2341</v>
      </c>
    </row>
    <row r="123" spans="1:8" x14ac:dyDescent="0.2">
      <c r="A123" s="24" t="s">
        <v>4019</v>
      </c>
      <c r="B123" s="25">
        <v>19489880.759999998</v>
      </c>
      <c r="C123" s="25">
        <v>23277687</v>
      </c>
      <c r="D123" s="25">
        <v>23277687</v>
      </c>
      <c r="E123" s="25">
        <v>22392280.800000004</v>
      </c>
      <c r="F123" s="25">
        <v>32957191</v>
      </c>
      <c r="G123" s="25">
        <v>35569437</v>
      </c>
      <c r="H123" s="25">
        <v>38415001</v>
      </c>
    </row>
    <row r="124" spans="1:8" ht="13.5" thickBot="1" x14ac:dyDescent="0.25">
      <c r="A124" s="30" t="s">
        <v>4020</v>
      </c>
      <c r="B124" s="31">
        <v>1714439</v>
      </c>
      <c r="C124" s="31">
        <v>2006037</v>
      </c>
      <c r="D124" s="31">
        <v>2006037</v>
      </c>
      <c r="E124" s="31">
        <v>1935979.2</v>
      </c>
      <c r="F124" s="31">
        <v>2174900</v>
      </c>
      <c r="G124" s="31">
        <v>2348893</v>
      </c>
      <c r="H124" s="31">
        <v>2536805</v>
      </c>
    </row>
    <row r="125" spans="1:8" x14ac:dyDescent="0.2">
      <c r="A125" s="33" t="s">
        <v>2346</v>
      </c>
      <c r="B125" s="690">
        <f>SUM(B123:B124)</f>
        <v>21204319.759999998</v>
      </c>
      <c r="C125" s="690">
        <f t="shared" ref="C125:H125" si="9">SUM(C123:C124)</f>
        <v>25283724</v>
      </c>
      <c r="D125" s="690">
        <f t="shared" si="9"/>
        <v>25283724</v>
      </c>
      <c r="E125" s="690">
        <f t="shared" si="9"/>
        <v>24328260.000000004</v>
      </c>
      <c r="F125" s="690">
        <f t="shared" si="9"/>
        <v>35132091</v>
      </c>
      <c r="G125" s="690">
        <f t="shared" si="9"/>
        <v>37918330</v>
      </c>
      <c r="H125" s="690">
        <f t="shared" si="9"/>
        <v>40951806</v>
      </c>
    </row>
    <row r="127" spans="1:8" ht="13.5" thickBot="1" x14ac:dyDescent="0.25">
      <c r="A127" s="692" t="s">
        <v>4025</v>
      </c>
      <c r="B127" s="693">
        <v>41186314.759999998</v>
      </c>
      <c r="C127" s="693">
        <v>50387438</v>
      </c>
      <c r="D127" s="693">
        <v>50790061</v>
      </c>
      <c r="E127" s="693">
        <v>49586844</v>
      </c>
      <c r="F127" s="693">
        <v>79381701.376000002</v>
      </c>
      <c r="G127" s="693">
        <v>86339654.558559999</v>
      </c>
      <c r="H127" s="693">
        <v>94022401.772073597</v>
      </c>
    </row>
    <row r="129" spans="1:10" ht="13.5" thickBot="1" x14ac:dyDescent="0.25">
      <c r="A129" s="692" t="s">
        <v>2347</v>
      </c>
      <c r="B129" s="691">
        <f>B125/B127</f>
        <v>0.51483896735023149</v>
      </c>
      <c r="C129" s="691">
        <f t="shared" ref="C129:H129" si="10">C125/C127</f>
        <v>0.50178625870995863</v>
      </c>
      <c r="D129" s="691">
        <f t="shared" si="10"/>
        <v>0.49780849839892888</v>
      </c>
      <c r="E129" s="691">
        <f t="shared" si="10"/>
        <v>0.49061924570154142</v>
      </c>
      <c r="F129" s="691">
        <f t="shared" si="10"/>
        <v>0.44257165557076</v>
      </c>
      <c r="G129" s="691">
        <f t="shared" si="10"/>
        <v>0.43917629962582067</v>
      </c>
      <c r="H129" s="691">
        <f t="shared" si="10"/>
        <v>0.43555371090470746</v>
      </c>
    </row>
    <row r="130" spans="1:10" x14ac:dyDescent="0.2">
      <c r="A130" s="697"/>
      <c r="B130" s="697"/>
      <c r="C130" s="697"/>
      <c r="D130" s="697"/>
      <c r="E130" s="697"/>
      <c r="F130" s="697"/>
      <c r="G130" s="697"/>
      <c r="H130" s="697"/>
      <c r="I130" s="697"/>
      <c r="J130" s="697"/>
    </row>
    <row r="132" spans="1:10" x14ac:dyDescent="0.2">
      <c r="A132" s="757" t="s">
        <v>3566</v>
      </c>
      <c r="B132" s="757"/>
      <c r="C132" s="757"/>
      <c r="D132" s="757"/>
      <c r="E132" s="757"/>
      <c r="F132" s="757"/>
      <c r="G132" s="757"/>
      <c r="H132" s="757"/>
      <c r="I132" s="757"/>
      <c r="J132" s="757"/>
    </row>
    <row r="133" spans="1:10" ht="15.75" x14ac:dyDescent="0.25">
      <c r="A133" s="754" t="s">
        <v>52</v>
      </c>
      <c r="B133" s="754"/>
      <c r="C133" s="754"/>
      <c r="D133" s="754"/>
      <c r="E133" s="754"/>
      <c r="F133" s="754"/>
      <c r="G133" s="754"/>
      <c r="H133" s="754"/>
      <c r="I133" s="754"/>
      <c r="J133" s="754"/>
    </row>
    <row r="135" spans="1:10" x14ac:dyDescent="0.2">
      <c r="A135" s="5" t="s">
        <v>53</v>
      </c>
    </row>
    <row r="137" spans="1:10" x14ac:dyDescent="0.2">
      <c r="A137" s="5" t="s">
        <v>2349</v>
      </c>
    </row>
    <row r="139" spans="1:10" x14ac:dyDescent="0.2">
      <c r="A139" s="759" t="s">
        <v>4542</v>
      </c>
      <c r="B139" s="759"/>
      <c r="C139" s="759"/>
      <c r="D139" s="759"/>
      <c r="E139" s="759"/>
      <c r="F139" s="759"/>
      <c r="G139" s="759"/>
      <c r="H139" s="759"/>
      <c r="I139" s="759"/>
    </row>
    <row r="140" spans="1:10" x14ac:dyDescent="0.2">
      <c r="A140" s="524"/>
      <c r="B140"/>
      <c r="C140"/>
      <c r="D140"/>
      <c r="E140"/>
      <c r="F140"/>
      <c r="G140"/>
      <c r="H140"/>
      <c r="I140"/>
    </row>
    <row r="141" spans="1:10" x14ac:dyDescent="0.2">
      <c r="A141"/>
      <c r="B141"/>
      <c r="C141" s="25" t="s">
        <v>4530</v>
      </c>
      <c r="D141" s="606" t="s">
        <v>4526</v>
      </c>
      <c r="E141" s="606" t="s">
        <v>4531</v>
      </c>
      <c r="F141" s="606" t="s">
        <v>4527</v>
      </c>
      <c r="G141" s="606" t="s">
        <v>4531</v>
      </c>
      <c r="H141" s="606" t="s">
        <v>4528</v>
      </c>
      <c r="I141" s="606" t="s">
        <v>4529</v>
      </c>
    </row>
    <row r="142" spans="1:10" x14ac:dyDescent="0.2">
      <c r="A142"/>
      <c r="B142"/>
      <c r="C142" s="606"/>
      <c r="D142" s="606"/>
      <c r="E142" s="606"/>
      <c r="F142" s="606"/>
      <c r="G142" s="606"/>
      <c r="H142" s="606"/>
      <c r="I142" s="606"/>
    </row>
    <row r="143" spans="1:10" x14ac:dyDescent="0.2">
      <c r="A143" s="542" t="s">
        <v>4525</v>
      </c>
      <c r="B143"/>
      <c r="C143">
        <v>0</v>
      </c>
      <c r="D143" s="607">
        <v>25</v>
      </c>
      <c r="E143" s="607">
        <v>25</v>
      </c>
      <c r="F143" s="607">
        <f>+D143*1.1</f>
        <v>27.500000000000004</v>
      </c>
      <c r="G143" s="607">
        <f>+F143</f>
        <v>27.500000000000004</v>
      </c>
      <c r="H143" s="607">
        <f>+G143-E143</f>
        <v>2.5000000000000036</v>
      </c>
      <c r="I143" s="625">
        <f>+H143/E143</f>
        <v>0.10000000000000014</v>
      </c>
    </row>
    <row r="144" spans="1:10" x14ac:dyDescent="0.2">
      <c r="A144"/>
      <c r="B144"/>
      <c r="C144"/>
      <c r="D144"/>
      <c r="E144"/>
      <c r="F144"/>
      <c r="G144"/>
      <c r="H144"/>
      <c r="I144"/>
    </row>
    <row r="145" spans="1:9" x14ac:dyDescent="0.2">
      <c r="A145" s="542" t="s">
        <v>4537</v>
      </c>
      <c r="B145"/>
      <c r="C145" s="605">
        <v>50</v>
      </c>
      <c r="D145">
        <v>0.95</v>
      </c>
      <c r="E145" s="607">
        <v>0</v>
      </c>
      <c r="F145" s="607">
        <f>0.95*1.22</f>
        <v>1.159</v>
      </c>
      <c r="G145" s="607">
        <v>0</v>
      </c>
      <c r="H145" s="607">
        <f>+G145-E145</f>
        <v>0</v>
      </c>
      <c r="I145" s="625">
        <v>0</v>
      </c>
    </row>
    <row r="146" spans="1:9" x14ac:dyDescent="0.2">
      <c r="A146" s="542" t="s">
        <v>4538</v>
      </c>
      <c r="B146"/>
      <c r="C146" s="624">
        <v>126</v>
      </c>
      <c r="D146">
        <v>0.95</v>
      </c>
      <c r="E146" s="607">
        <f>+C146*D146</f>
        <v>119.69999999999999</v>
      </c>
      <c r="F146" s="607">
        <f>0.95*1.22</f>
        <v>1.159</v>
      </c>
      <c r="G146" s="607">
        <f>+C146*F146</f>
        <v>146.03399999999999</v>
      </c>
      <c r="H146" s="607">
        <f>+G146-E146</f>
        <v>26.334000000000003</v>
      </c>
      <c r="I146" s="625">
        <f>+H146/E146</f>
        <v>0.22000000000000006</v>
      </c>
    </row>
    <row r="147" spans="1:9" x14ac:dyDescent="0.2">
      <c r="A147"/>
      <c r="B147"/>
      <c r="C147"/>
      <c r="D147"/>
      <c r="E147"/>
      <c r="F147"/>
      <c r="G147"/>
      <c r="H147"/>
      <c r="I147"/>
    </row>
    <row r="148" spans="1:9" x14ac:dyDescent="0.2">
      <c r="A148" s="542" t="s">
        <v>4539</v>
      </c>
      <c r="B148"/>
      <c r="C148" s="605">
        <v>6</v>
      </c>
      <c r="D148" s="607">
        <v>0</v>
      </c>
      <c r="E148" s="607">
        <v>0</v>
      </c>
      <c r="F148" s="607">
        <v>0</v>
      </c>
      <c r="G148" s="607">
        <v>0</v>
      </c>
      <c r="H148" s="607">
        <v>0</v>
      </c>
      <c r="I148" s="625">
        <v>0</v>
      </c>
    </row>
    <row r="149" spans="1:9" x14ac:dyDescent="0.2">
      <c r="A149" s="542" t="s">
        <v>4540</v>
      </c>
      <c r="B149"/>
      <c r="C149" s="605">
        <v>0</v>
      </c>
      <c r="D149">
        <v>4.74</v>
      </c>
      <c r="E149">
        <f>+C149*D149</f>
        <v>0</v>
      </c>
      <c r="F149" s="637">
        <f>+D149*1.1</f>
        <v>5.2140000000000004</v>
      </c>
      <c r="G149" s="607">
        <f>+C149*F149</f>
        <v>0</v>
      </c>
      <c r="H149" s="607">
        <f>+G149-E149</f>
        <v>0</v>
      </c>
      <c r="I149" s="625">
        <v>0</v>
      </c>
    </row>
    <row r="150" spans="1:9" x14ac:dyDescent="0.2">
      <c r="A150" s="542" t="s">
        <v>4541</v>
      </c>
      <c r="B150"/>
      <c r="C150" s="605">
        <v>0</v>
      </c>
      <c r="D150" s="607">
        <v>14.9</v>
      </c>
      <c r="E150" s="607">
        <f>+D150</f>
        <v>14.9</v>
      </c>
      <c r="F150" s="607">
        <f>+D150*1.1</f>
        <v>16.39</v>
      </c>
      <c r="G150" s="607">
        <f>+F150</f>
        <v>16.39</v>
      </c>
      <c r="H150" s="607">
        <f>+G150-E150</f>
        <v>1.4900000000000002</v>
      </c>
      <c r="I150" s="625">
        <f>+H150/E150</f>
        <v>0.1</v>
      </c>
    </row>
    <row r="151" spans="1:9" x14ac:dyDescent="0.2">
      <c r="A151"/>
      <c r="B151"/>
      <c r="C151"/>
      <c r="D151"/>
      <c r="E151"/>
      <c r="F151"/>
      <c r="G151"/>
      <c r="H151"/>
      <c r="I151"/>
    </row>
    <row r="152" spans="1:9" x14ac:dyDescent="0.2">
      <c r="A152" s="542" t="s">
        <v>3508</v>
      </c>
      <c r="B152"/>
      <c r="C152">
        <v>1</v>
      </c>
      <c r="D152">
        <v>42.98</v>
      </c>
      <c r="E152">
        <f>+C152*D152</f>
        <v>42.98</v>
      </c>
      <c r="F152" s="607">
        <f>+D152*1.1</f>
        <v>47.277999999999999</v>
      </c>
      <c r="G152" s="608">
        <f>+C152*F152</f>
        <v>47.277999999999999</v>
      </c>
      <c r="H152" s="607">
        <f>+G152-E152</f>
        <v>4.2980000000000018</v>
      </c>
      <c r="I152" s="625">
        <f>+H152/E152</f>
        <v>0.10000000000000005</v>
      </c>
    </row>
    <row r="153" spans="1:9" x14ac:dyDescent="0.2">
      <c r="A153"/>
      <c r="B153"/>
      <c r="C153"/>
      <c r="D153"/>
      <c r="E153"/>
      <c r="F153"/>
      <c r="G153"/>
      <c r="H153"/>
      <c r="I153"/>
    </row>
    <row r="154" spans="1:9" x14ac:dyDescent="0.2">
      <c r="A154" s="609" t="s">
        <v>3509</v>
      </c>
      <c r="B154" s="610"/>
      <c r="C154" s="610">
        <v>1</v>
      </c>
      <c r="D154" s="610">
        <v>32.46</v>
      </c>
      <c r="E154" s="610">
        <f>+C154*D154</f>
        <v>32.46</v>
      </c>
      <c r="F154" s="611">
        <f>+D154*1.1</f>
        <v>35.706000000000003</v>
      </c>
      <c r="G154" s="611">
        <f>+C154*F154</f>
        <v>35.706000000000003</v>
      </c>
      <c r="H154" s="611">
        <f>+G154-E154</f>
        <v>3.2460000000000022</v>
      </c>
      <c r="I154" s="626">
        <f>+H154/E154</f>
        <v>0.10000000000000006</v>
      </c>
    </row>
    <row r="155" spans="1:9" x14ac:dyDescent="0.2">
      <c r="A155"/>
      <c r="B155"/>
      <c r="C155"/>
      <c r="D155"/>
      <c r="E155"/>
      <c r="F155"/>
      <c r="G155"/>
      <c r="H155"/>
      <c r="I155"/>
    </row>
    <row r="156" spans="1:9" x14ac:dyDescent="0.2">
      <c r="A156" s="524" t="s">
        <v>4532</v>
      </c>
      <c r="B156"/>
      <c r="C156"/>
      <c r="D156" s="607"/>
      <c r="E156" s="607">
        <f>SUM(E143:E154)</f>
        <v>235.04</v>
      </c>
      <c r="F156"/>
      <c r="G156" s="607">
        <f>SUM(G143:G154)</f>
        <v>272.90799999999996</v>
      </c>
      <c r="H156" s="607">
        <f>+G156-E156</f>
        <v>37.867999999999967</v>
      </c>
      <c r="I156" s="625">
        <f>+H156/E156</f>
        <v>0.16111300204220544</v>
      </c>
    </row>
    <row r="157" spans="1:9" x14ac:dyDescent="0.2">
      <c r="A157"/>
      <c r="B157"/>
      <c r="C157"/>
      <c r="D157"/>
      <c r="E157"/>
      <c r="F157"/>
      <c r="G157"/>
      <c r="H157"/>
      <c r="I157"/>
    </row>
    <row r="158" spans="1:9" x14ac:dyDescent="0.2">
      <c r="A158" s="542" t="s">
        <v>4533</v>
      </c>
      <c r="B158"/>
      <c r="C158"/>
      <c r="D158"/>
      <c r="E158" s="607">
        <f>+E143+E152+E154</f>
        <v>100.44</v>
      </c>
      <c r="F158"/>
      <c r="G158" s="607">
        <f>+G143+G152+G154</f>
        <v>110.48400000000001</v>
      </c>
      <c r="H158" s="607">
        <f>+G158-E158</f>
        <v>10.044000000000011</v>
      </c>
      <c r="I158" s="625">
        <f>+H158/E158</f>
        <v>0.10000000000000012</v>
      </c>
    </row>
    <row r="159" spans="1:9" x14ac:dyDescent="0.2">
      <c r="A159"/>
      <c r="B159"/>
      <c r="C159"/>
      <c r="D159"/>
      <c r="E159"/>
      <c r="F159"/>
      <c r="G159"/>
      <c r="H159"/>
      <c r="I159"/>
    </row>
    <row r="160" spans="1:9" ht="13.5" thickBot="1" x14ac:dyDescent="0.25">
      <c r="A160" s="613" t="s">
        <v>4137</v>
      </c>
      <c r="B160" s="613" t="s">
        <v>4543</v>
      </c>
      <c r="C160" s="612"/>
      <c r="D160" s="612"/>
      <c r="E160" s="614">
        <f>+E156-E158</f>
        <v>134.6</v>
      </c>
      <c r="F160" s="613"/>
      <c r="G160" s="614">
        <f>+G156-G158</f>
        <v>162.42399999999995</v>
      </c>
      <c r="H160" s="614">
        <f>+G160-E160</f>
        <v>27.823999999999955</v>
      </c>
      <c r="I160" s="627">
        <f>+H160/E160</f>
        <v>0.206716196136701</v>
      </c>
    </row>
    <row r="161" spans="1:10" ht="13.5" thickTop="1" x14ac:dyDescent="0.2">
      <c r="A161"/>
      <c r="B161"/>
      <c r="C161"/>
      <c r="D161"/>
      <c r="E161"/>
      <c r="F161"/>
      <c r="G161"/>
      <c r="H161"/>
      <c r="I161"/>
    </row>
    <row r="162" spans="1:10" x14ac:dyDescent="0.2">
      <c r="A162"/>
      <c r="B162" s="524" t="s">
        <v>4543</v>
      </c>
      <c r="C162" s="524" t="s">
        <v>4544</v>
      </c>
      <c r="D162"/>
      <c r="E162"/>
      <c r="F162"/>
      <c r="G162"/>
      <c r="H162"/>
      <c r="I162"/>
    </row>
    <row r="176" spans="1:10" x14ac:dyDescent="0.2">
      <c r="A176" s="757" t="s">
        <v>2981</v>
      </c>
      <c r="B176" s="757"/>
      <c r="C176" s="757"/>
      <c r="D176" s="757"/>
      <c r="E176" s="757"/>
      <c r="F176" s="757"/>
      <c r="G176" s="757"/>
      <c r="H176" s="757"/>
      <c r="I176" s="757"/>
      <c r="J176" s="757"/>
    </row>
    <row r="177" spans="1:10" ht="15.75" x14ac:dyDescent="0.25">
      <c r="A177" s="754" t="s">
        <v>52</v>
      </c>
      <c r="B177" s="754"/>
      <c r="C177" s="754"/>
      <c r="D177" s="754"/>
      <c r="E177" s="754"/>
      <c r="F177" s="754"/>
      <c r="G177" s="754"/>
      <c r="H177" s="754"/>
      <c r="I177" s="754"/>
      <c r="J177" s="754"/>
    </row>
    <row r="179" spans="1:10" x14ac:dyDescent="0.2">
      <c r="A179" s="5" t="s">
        <v>53</v>
      </c>
    </row>
    <row r="181" spans="1:10" x14ac:dyDescent="0.2">
      <c r="A181" s="5" t="s">
        <v>2349</v>
      </c>
    </row>
    <row r="183" spans="1:10" x14ac:dyDescent="0.2">
      <c r="A183" s="759" t="s">
        <v>4553</v>
      </c>
      <c r="B183" s="759"/>
      <c r="C183" s="759"/>
      <c r="D183" s="759"/>
      <c r="E183" s="759"/>
      <c r="F183" s="759"/>
      <c r="G183" s="759"/>
      <c r="H183" s="759"/>
      <c r="I183" s="759"/>
    </row>
    <row r="184" spans="1:10" x14ac:dyDescent="0.2">
      <c r="A184" s="524"/>
      <c r="B184"/>
      <c r="C184"/>
      <c r="D184"/>
      <c r="E184"/>
      <c r="F184"/>
      <c r="G184"/>
      <c r="H184"/>
      <c r="I184"/>
    </row>
    <row r="185" spans="1:10" x14ac:dyDescent="0.2">
      <c r="A185"/>
      <c r="B185"/>
      <c r="C185" s="606" t="s">
        <v>4530</v>
      </c>
      <c r="D185" s="606" t="s">
        <v>4526</v>
      </c>
      <c r="E185" s="606" t="s">
        <v>4531</v>
      </c>
      <c r="F185" s="606" t="s">
        <v>4527</v>
      </c>
      <c r="G185" s="606" t="s">
        <v>4531</v>
      </c>
      <c r="H185" s="606" t="s">
        <v>4528</v>
      </c>
      <c r="I185" s="606" t="s">
        <v>4529</v>
      </c>
    </row>
    <row r="186" spans="1:10" x14ac:dyDescent="0.2">
      <c r="A186"/>
      <c r="B186"/>
      <c r="C186" s="606"/>
      <c r="D186" s="606"/>
      <c r="E186" s="606"/>
      <c r="F186" s="606"/>
      <c r="G186" s="606"/>
      <c r="H186" s="606"/>
      <c r="I186" s="606"/>
    </row>
    <row r="187" spans="1:10" x14ac:dyDescent="0.2">
      <c r="A187"/>
      <c r="B187"/>
      <c r="C187"/>
      <c r="D187" s="606"/>
      <c r="E187" s="606"/>
      <c r="F187" s="606"/>
      <c r="G187" s="606"/>
      <c r="H187" s="606"/>
      <c r="I187" s="606"/>
    </row>
    <row r="188" spans="1:10" x14ac:dyDescent="0.2">
      <c r="A188" s="542" t="s">
        <v>3505</v>
      </c>
      <c r="B188" s="628">
        <v>60000</v>
      </c>
      <c r="C188" s="607">
        <v>13800</v>
      </c>
      <c r="D188" s="623">
        <v>3.9E-2</v>
      </c>
      <c r="E188" s="607">
        <f>+C188*D188/9</f>
        <v>59.800000000000004</v>
      </c>
      <c r="F188" s="648">
        <v>9.7999999999999997E-3</v>
      </c>
      <c r="G188" s="607">
        <f>B188*F188/9</f>
        <v>65.333333333333329</v>
      </c>
      <c r="H188" s="607">
        <f>+G188-E188</f>
        <v>5.5333333333333243</v>
      </c>
      <c r="I188" s="625">
        <f>+H188/E188</f>
        <v>9.2530657748048889E-2</v>
      </c>
    </row>
    <row r="189" spans="1:10" x14ac:dyDescent="0.2">
      <c r="A189" s="542" t="s">
        <v>4536</v>
      </c>
      <c r="B189" s="628">
        <v>0</v>
      </c>
      <c r="C189" s="611">
        <v>0</v>
      </c>
      <c r="D189" s="631">
        <v>3.9E-2</v>
      </c>
      <c r="E189" s="611">
        <f>-C189*D189/9</f>
        <v>0</v>
      </c>
      <c r="F189" s="695">
        <f>+G189/B188</f>
        <v>0</v>
      </c>
      <c r="G189" s="611">
        <v>0</v>
      </c>
      <c r="H189" s="611">
        <f>+G189-E189</f>
        <v>0</v>
      </c>
      <c r="I189" s="626">
        <v>0</v>
      </c>
    </row>
    <row r="190" spans="1:10" x14ac:dyDescent="0.2">
      <c r="A190"/>
      <c r="B190"/>
      <c r="C190"/>
      <c r="D190"/>
      <c r="E190" s="607">
        <f>+E188+E189</f>
        <v>59.800000000000004</v>
      </c>
      <c r="F190"/>
      <c r="G190" s="607">
        <f>G188+G189</f>
        <v>65.333333333333329</v>
      </c>
      <c r="H190" s="607">
        <f>+G190-E190</f>
        <v>5.5333333333333243</v>
      </c>
      <c r="I190" s="625">
        <f>+H190/E190</f>
        <v>9.2530657748048889E-2</v>
      </c>
    </row>
    <row r="191" spans="1:10" x14ac:dyDescent="0.2">
      <c r="A191"/>
      <c r="B191"/>
      <c r="C191"/>
      <c r="D191"/>
      <c r="E191" s="607"/>
      <c r="F191"/>
      <c r="G191" s="607"/>
      <c r="H191"/>
      <c r="I191"/>
    </row>
    <row r="192" spans="1:10" x14ac:dyDescent="0.2">
      <c r="A192" s="542" t="s">
        <v>4549</v>
      </c>
      <c r="B192"/>
      <c r="C192" s="605">
        <v>0</v>
      </c>
      <c r="D192">
        <v>0.95</v>
      </c>
      <c r="E192" s="607">
        <v>0</v>
      </c>
      <c r="F192" s="607">
        <f>0.95*1.22</f>
        <v>1.159</v>
      </c>
      <c r="G192" s="607">
        <v>0</v>
      </c>
      <c r="H192" s="607">
        <f>+G192-E192</f>
        <v>0</v>
      </c>
      <c r="I192" s="625">
        <v>0</v>
      </c>
    </row>
    <row r="193" spans="1:9" x14ac:dyDescent="0.2">
      <c r="A193" s="542" t="s">
        <v>4550</v>
      </c>
      <c r="B193"/>
      <c r="C193" s="624">
        <v>421</v>
      </c>
      <c r="D193">
        <v>0.95</v>
      </c>
      <c r="E193" s="607">
        <f>+C193*D193</f>
        <v>399.95</v>
      </c>
      <c r="F193" s="607">
        <f>0.95*1.22</f>
        <v>1.159</v>
      </c>
      <c r="G193" s="607">
        <f>+C193*F193</f>
        <v>487.93900000000002</v>
      </c>
      <c r="H193" s="607">
        <f>+G193-E193</f>
        <v>87.989000000000033</v>
      </c>
      <c r="I193" s="625">
        <f>+H193/E193</f>
        <v>0.22000000000000008</v>
      </c>
    </row>
    <row r="194" spans="1:9" x14ac:dyDescent="0.2">
      <c r="A194"/>
      <c r="B194"/>
      <c r="C194"/>
      <c r="D194"/>
      <c r="E194"/>
      <c r="F194"/>
      <c r="G194"/>
      <c r="H194"/>
      <c r="I194"/>
    </row>
    <row r="195" spans="1:9" x14ac:dyDescent="0.2">
      <c r="A195" s="542" t="s">
        <v>4551</v>
      </c>
      <c r="B195"/>
      <c r="C195" s="605">
        <v>6</v>
      </c>
      <c r="D195" s="607">
        <v>0</v>
      </c>
      <c r="E195" s="607">
        <v>0</v>
      </c>
      <c r="F195" s="607">
        <v>0</v>
      </c>
      <c r="G195" s="607">
        <v>0</v>
      </c>
      <c r="H195" s="607">
        <v>0</v>
      </c>
      <c r="I195" s="625">
        <v>0</v>
      </c>
    </row>
    <row r="196" spans="1:9" x14ac:dyDescent="0.2">
      <c r="A196" s="542" t="s">
        <v>4552</v>
      </c>
      <c r="B196"/>
      <c r="C196" s="605">
        <v>16</v>
      </c>
      <c r="D196">
        <v>4.74</v>
      </c>
      <c r="E196">
        <f>+C196*D196</f>
        <v>75.84</v>
      </c>
      <c r="F196" s="607">
        <f>+D196*1.1</f>
        <v>5.2140000000000004</v>
      </c>
      <c r="G196" s="607">
        <f>+C196*F196</f>
        <v>83.424000000000007</v>
      </c>
      <c r="H196" s="607">
        <f>+G196-E196</f>
        <v>7.5840000000000032</v>
      </c>
      <c r="I196" s="625">
        <f>+H196/E196</f>
        <v>0.10000000000000003</v>
      </c>
    </row>
    <row r="197" spans="1:9" x14ac:dyDescent="0.2">
      <c r="A197" s="542" t="s">
        <v>4541</v>
      </c>
      <c r="B197"/>
      <c r="C197" s="605">
        <v>0</v>
      </c>
      <c r="D197" s="607">
        <v>14.9</v>
      </c>
      <c r="E197" s="607">
        <f>+D197</f>
        <v>14.9</v>
      </c>
      <c r="F197" s="607">
        <f>+D197*1.1</f>
        <v>16.39</v>
      </c>
      <c r="G197" s="607">
        <f>+F197</f>
        <v>16.39</v>
      </c>
      <c r="H197" s="607">
        <f>+G197-E197</f>
        <v>1.4900000000000002</v>
      </c>
      <c r="I197" s="625">
        <f>+H197/E197</f>
        <v>0.1</v>
      </c>
    </row>
    <row r="198" spans="1:9" x14ac:dyDescent="0.2">
      <c r="A198"/>
      <c r="B198"/>
      <c r="C198"/>
      <c r="D198"/>
      <c r="E198"/>
      <c r="F198"/>
      <c r="G198"/>
      <c r="H198"/>
      <c r="I198"/>
    </row>
    <row r="199" spans="1:9" x14ac:dyDescent="0.2">
      <c r="A199" s="542" t="s">
        <v>3508</v>
      </c>
      <c r="B199"/>
      <c r="C199">
        <v>1</v>
      </c>
      <c r="D199">
        <v>42.98</v>
      </c>
      <c r="E199">
        <f>+C199*D199</f>
        <v>42.98</v>
      </c>
      <c r="F199" s="607">
        <f>+D199*1.1</f>
        <v>47.277999999999999</v>
      </c>
      <c r="G199" s="608">
        <f>+C199*F199</f>
        <v>47.277999999999999</v>
      </c>
      <c r="H199" s="607">
        <f>+G199-E199</f>
        <v>4.2980000000000018</v>
      </c>
      <c r="I199" s="625">
        <f>+H199/E199</f>
        <v>0.10000000000000005</v>
      </c>
    </row>
    <row r="200" spans="1:9" x14ac:dyDescent="0.2">
      <c r="A200" s="537"/>
      <c r="B200" s="537"/>
      <c r="C200" s="537"/>
      <c r="D200" s="537"/>
      <c r="E200" s="537"/>
      <c r="F200" s="537"/>
      <c r="G200" s="537"/>
      <c r="H200" s="537"/>
      <c r="I200" s="537"/>
    </row>
    <row r="201" spans="1:9" x14ac:dyDescent="0.2">
      <c r="A201" s="617" t="s">
        <v>3509</v>
      </c>
      <c r="B201" s="537"/>
      <c r="C201" s="537">
        <v>1</v>
      </c>
      <c r="D201" s="537">
        <v>32.46</v>
      </c>
      <c r="E201" s="537">
        <f>+C201*D201</f>
        <v>32.46</v>
      </c>
      <c r="F201" s="618">
        <f>+D201*1.1</f>
        <v>35.706000000000003</v>
      </c>
      <c r="G201" s="618">
        <f>+C201*F201</f>
        <v>35.706000000000003</v>
      </c>
      <c r="H201" s="618">
        <f>+G201-E201</f>
        <v>3.2460000000000022</v>
      </c>
      <c r="I201" s="638">
        <f>+H201/E201</f>
        <v>0.10000000000000006</v>
      </c>
    </row>
    <row r="202" spans="1:9" x14ac:dyDescent="0.2">
      <c r="A202"/>
      <c r="B202"/>
      <c r="C202"/>
      <c r="D202"/>
      <c r="E202"/>
      <c r="F202"/>
      <c r="G202"/>
      <c r="H202"/>
      <c r="I202"/>
    </row>
    <row r="203" spans="1:9" ht="13.5" thickBot="1" x14ac:dyDescent="0.25">
      <c r="A203" s="613" t="s">
        <v>4137</v>
      </c>
      <c r="B203" s="613" t="s">
        <v>4543</v>
      </c>
      <c r="C203" s="613"/>
      <c r="D203" s="614"/>
      <c r="E203" s="614">
        <f>SUM(E190:E201)</f>
        <v>625.93000000000006</v>
      </c>
      <c r="F203" s="613"/>
      <c r="G203" s="614">
        <f>SUM(G190:G201)</f>
        <v>736.07033333333334</v>
      </c>
      <c r="H203" s="614">
        <f>+G203-E203</f>
        <v>110.14033333333327</v>
      </c>
      <c r="I203" s="627">
        <f>+H203/E203</f>
        <v>0.1759627008344915</v>
      </c>
    </row>
    <row r="204" spans="1:9" ht="13.5" thickTop="1" x14ac:dyDescent="0.2">
      <c r="A204"/>
      <c r="B204"/>
      <c r="C204"/>
      <c r="D204"/>
      <c r="E204"/>
      <c r="F204"/>
      <c r="G204"/>
      <c r="H204"/>
      <c r="I204"/>
    </row>
    <row r="205" spans="1:9" x14ac:dyDescent="0.2">
      <c r="A205" s="617"/>
      <c r="B205" s="524" t="s">
        <v>4543</v>
      </c>
      <c r="C205" s="524" t="s">
        <v>4544</v>
      </c>
      <c r="D205" s="537"/>
      <c r="E205" s="618"/>
      <c r="F205" s="537"/>
      <c r="G205" s="618"/>
      <c r="H205" s="618"/>
      <c r="I205" s="638"/>
    </row>
    <row r="220" spans="1:10" x14ac:dyDescent="0.2">
      <c r="A220" s="757" t="s">
        <v>51</v>
      </c>
      <c r="B220" s="757"/>
      <c r="C220" s="757"/>
      <c r="D220" s="757"/>
      <c r="E220" s="757"/>
      <c r="F220" s="757"/>
      <c r="G220" s="757"/>
      <c r="H220" s="757"/>
      <c r="I220" s="757"/>
      <c r="J220" s="757"/>
    </row>
    <row r="221" spans="1:10" ht="15.75" x14ac:dyDescent="0.25">
      <c r="A221" s="754" t="s">
        <v>52</v>
      </c>
      <c r="B221" s="754"/>
      <c r="C221" s="754"/>
      <c r="D221" s="754"/>
      <c r="E221" s="754"/>
      <c r="F221" s="754"/>
      <c r="G221" s="754"/>
      <c r="H221" s="754"/>
      <c r="I221" s="754"/>
      <c r="J221" s="754"/>
    </row>
    <row r="223" spans="1:10" x14ac:dyDescent="0.2">
      <c r="A223" s="5" t="s">
        <v>53</v>
      </c>
    </row>
    <row r="225" spans="1:11" x14ac:dyDescent="0.2">
      <c r="A225" s="5" t="s">
        <v>2349</v>
      </c>
    </row>
    <row r="226" spans="1:11" x14ac:dyDescent="0.2">
      <c r="A226" s="686"/>
      <c r="B226" s="686"/>
      <c r="C226" s="686"/>
      <c r="D226" s="686"/>
      <c r="E226" s="686"/>
      <c r="F226" s="686"/>
      <c r="G226" s="686"/>
      <c r="H226" s="686"/>
      <c r="I226" s="686"/>
      <c r="J226" s="686"/>
    </row>
    <row r="227" spans="1:11" x14ac:dyDescent="0.2">
      <c r="A227" s="759" t="s">
        <v>4554</v>
      </c>
      <c r="B227" s="759"/>
      <c r="C227" s="759"/>
      <c r="D227" s="759"/>
      <c r="E227" s="759"/>
      <c r="F227" s="759"/>
      <c r="G227" s="759"/>
      <c r="H227" s="759"/>
      <c r="I227" s="759"/>
    </row>
    <row r="228" spans="1:11" x14ac:dyDescent="0.2">
      <c r="A228" s="524"/>
      <c r="B228"/>
      <c r="C228"/>
      <c r="D228"/>
      <c r="E228"/>
      <c r="F228"/>
      <c r="G228"/>
      <c r="H228"/>
      <c r="I228"/>
    </row>
    <row r="229" spans="1:11" x14ac:dyDescent="0.2">
      <c r="A229"/>
      <c r="B229"/>
      <c r="C229" s="606" t="s">
        <v>4530</v>
      </c>
      <c r="D229" s="606" t="s">
        <v>4526</v>
      </c>
      <c r="E229" s="606" t="s">
        <v>4531</v>
      </c>
      <c r="F229" s="606" t="s">
        <v>4527</v>
      </c>
      <c r="G229" s="606" t="s">
        <v>4531</v>
      </c>
      <c r="H229" s="606" t="s">
        <v>4528</v>
      </c>
      <c r="I229" s="606" t="s">
        <v>4529</v>
      </c>
    </row>
    <row r="230" spans="1:11" x14ac:dyDescent="0.2">
      <c r="A230"/>
      <c r="B230"/>
      <c r="C230" s="606"/>
      <c r="D230" s="606"/>
      <c r="E230" s="606"/>
      <c r="F230" s="606"/>
      <c r="G230" s="606"/>
      <c r="H230" s="606"/>
      <c r="I230" s="606"/>
    </row>
    <row r="231" spans="1:11" x14ac:dyDescent="0.2">
      <c r="A231"/>
      <c r="B231"/>
      <c r="C231"/>
      <c r="D231" s="606"/>
      <c r="E231" s="606"/>
      <c r="F231" s="606"/>
      <c r="G231" s="606"/>
      <c r="H231" s="606"/>
      <c r="I231" s="606"/>
    </row>
    <row r="232" spans="1:11" x14ac:dyDescent="0.2">
      <c r="A232" s="542" t="s">
        <v>3505</v>
      </c>
      <c r="B232" s="628">
        <v>240000</v>
      </c>
      <c r="C232" s="607">
        <v>54000</v>
      </c>
      <c r="D232" s="623">
        <v>3.9E-2</v>
      </c>
      <c r="E232" s="607">
        <f>+C232*D232/9</f>
        <v>234</v>
      </c>
      <c r="F232" s="648">
        <v>9.7999999999999997E-3</v>
      </c>
      <c r="G232" s="607">
        <f>B232*F232/9</f>
        <v>261.33333333333331</v>
      </c>
      <c r="H232" s="607">
        <f>+G232-E232</f>
        <v>27.333333333333314</v>
      </c>
      <c r="I232" s="625">
        <f>+H232/E232</f>
        <v>0.11680911680911672</v>
      </c>
    </row>
    <row r="233" spans="1:11" x14ac:dyDescent="0.2">
      <c r="A233" s="542" t="s">
        <v>4536</v>
      </c>
      <c r="B233" s="628">
        <f>ROUND(-G233/F232*9,0)</f>
        <v>68878</v>
      </c>
      <c r="C233" s="611">
        <v>15000</v>
      </c>
      <c r="D233" s="631">
        <v>3.9E-2</v>
      </c>
      <c r="E233" s="611">
        <f>-C233*D233/9</f>
        <v>-65</v>
      </c>
      <c r="F233" s="695">
        <v>0</v>
      </c>
      <c r="G233" s="611">
        <v>-75</v>
      </c>
      <c r="H233" s="611">
        <f>+G233-E233</f>
        <v>-10</v>
      </c>
      <c r="I233" s="626">
        <f>H233/E233</f>
        <v>0.15384615384615385</v>
      </c>
    </row>
    <row r="234" spans="1:11" x14ac:dyDescent="0.2">
      <c r="A234"/>
      <c r="B234"/>
      <c r="C234"/>
      <c r="D234"/>
      <c r="E234" s="607">
        <f>+E232+E233</f>
        <v>169</v>
      </c>
      <c r="F234"/>
      <c r="G234" s="607">
        <f>G232+G233</f>
        <v>186.33333333333331</v>
      </c>
      <c r="H234" s="607">
        <f>+G234-E234</f>
        <v>17.333333333333314</v>
      </c>
      <c r="I234" s="625">
        <f>+H234/E234</f>
        <v>0.10256410256410245</v>
      </c>
    </row>
    <row r="235" spans="1:11" x14ac:dyDescent="0.2">
      <c r="A235"/>
      <c r="B235"/>
      <c r="C235"/>
      <c r="D235"/>
      <c r="E235" s="607"/>
      <c r="F235"/>
      <c r="G235" s="607"/>
      <c r="H235"/>
      <c r="I235"/>
    </row>
    <row r="236" spans="1:11" x14ac:dyDescent="0.2">
      <c r="A236" s="542" t="s">
        <v>4549</v>
      </c>
      <c r="B236"/>
      <c r="C236" s="605">
        <v>0</v>
      </c>
      <c r="D236">
        <v>0.95</v>
      </c>
      <c r="E236" s="607">
        <v>0</v>
      </c>
      <c r="F236" s="607">
        <f>0.95*1.22</f>
        <v>1.159</v>
      </c>
      <c r="G236" s="607">
        <v>0</v>
      </c>
      <c r="H236" s="607">
        <f>+G236-E236</f>
        <v>0</v>
      </c>
      <c r="I236" s="625">
        <v>0</v>
      </c>
      <c r="K236" s="696"/>
    </row>
    <row r="237" spans="1:11" x14ac:dyDescent="0.2">
      <c r="A237" s="542" t="s">
        <v>4550</v>
      </c>
      <c r="B237"/>
      <c r="C237" s="624">
        <v>526</v>
      </c>
      <c r="D237">
        <v>0.95</v>
      </c>
      <c r="E237" s="607">
        <f>+C237*D237</f>
        <v>499.7</v>
      </c>
      <c r="F237" s="607">
        <f>0.95*1.22</f>
        <v>1.159</v>
      </c>
      <c r="G237" s="607">
        <f>+C237*F237</f>
        <v>609.63400000000001</v>
      </c>
      <c r="H237" s="607">
        <f>+G237-E237</f>
        <v>109.93400000000003</v>
      </c>
      <c r="I237" s="625">
        <f>+H237/E237</f>
        <v>0.22000000000000006</v>
      </c>
    </row>
    <row r="238" spans="1:11" x14ac:dyDescent="0.2">
      <c r="A238"/>
      <c r="B238"/>
      <c r="C238"/>
      <c r="D238"/>
      <c r="E238"/>
      <c r="F238"/>
      <c r="G238"/>
      <c r="H238"/>
      <c r="I238"/>
    </row>
    <row r="239" spans="1:11" x14ac:dyDescent="0.2">
      <c r="A239" s="542" t="s">
        <v>4551</v>
      </c>
      <c r="B239"/>
      <c r="C239" s="605">
        <v>6</v>
      </c>
      <c r="D239" s="607">
        <v>0</v>
      </c>
      <c r="E239" s="607">
        <v>0</v>
      </c>
      <c r="F239" s="607">
        <v>0</v>
      </c>
      <c r="G239" s="607">
        <v>0</v>
      </c>
      <c r="H239" s="607">
        <v>0</v>
      </c>
      <c r="I239" s="625">
        <v>0</v>
      </c>
    </row>
    <row r="240" spans="1:11" x14ac:dyDescent="0.2">
      <c r="A240" s="542" t="s">
        <v>4552</v>
      </c>
      <c r="B240"/>
      <c r="C240" s="605">
        <v>18</v>
      </c>
      <c r="D240">
        <v>4.74</v>
      </c>
      <c r="E240">
        <f>+C240*D240</f>
        <v>85.320000000000007</v>
      </c>
      <c r="F240" s="607">
        <f>+D240*1.1</f>
        <v>5.2140000000000004</v>
      </c>
      <c r="G240" s="607">
        <f>+C240*F240</f>
        <v>93.852000000000004</v>
      </c>
      <c r="H240" s="607">
        <f>+G240-E240</f>
        <v>8.5319999999999965</v>
      </c>
      <c r="I240" s="625">
        <f>+H240/E240</f>
        <v>9.999999999999995E-2</v>
      </c>
    </row>
    <row r="241" spans="1:9" x14ac:dyDescent="0.2">
      <c r="A241" s="542" t="s">
        <v>4541</v>
      </c>
      <c r="B241"/>
      <c r="C241" s="605">
        <v>0</v>
      </c>
      <c r="D241" s="607">
        <v>14.9</v>
      </c>
      <c r="E241" s="607">
        <f>+D241</f>
        <v>14.9</v>
      </c>
      <c r="F241" s="607">
        <f>+D241*1.1</f>
        <v>16.39</v>
      </c>
      <c r="G241" s="607">
        <f>+F241</f>
        <v>16.39</v>
      </c>
      <c r="H241" s="607">
        <f>+G241-E241</f>
        <v>1.4900000000000002</v>
      </c>
      <c r="I241" s="625">
        <f>+H241/E241</f>
        <v>0.1</v>
      </c>
    </row>
    <row r="242" spans="1:9" x14ac:dyDescent="0.2">
      <c r="A242"/>
      <c r="B242"/>
      <c r="C242"/>
      <c r="D242"/>
      <c r="E242"/>
      <c r="F242"/>
      <c r="G242"/>
      <c r="H242"/>
      <c r="I242"/>
    </row>
    <row r="243" spans="1:9" x14ac:dyDescent="0.2">
      <c r="A243" s="542" t="s">
        <v>3508</v>
      </c>
      <c r="B243"/>
      <c r="C243">
        <v>1</v>
      </c>
      <c r="D243">
        <v>42.98</v>
      </c>
      <c r="E243">
        <f>+C243*D243</f>
        <v>42.98</v>
      </c>
      <c r="F243" s="607">
        <f>+D243*1.1</f>
        <v>47.277999999999999</v>
      </c>
      <c r="G243" s="608">
        <f>+C243*F243</f>
        <v>47.277999999999999</v>
      </c>
      <c r="H243" s="607">
        <f>+G243-E243</f>
        <v>4.2980000000000018</v>
      </c>
      <c r="I243" s="625">
        <f>+H243/E243</f>
        <v>0.10000000000000005</v>
      </c>
    </row>
    <row r="244" spans="1:9" x14ac:dyDescent="0.2">
      <c r="A244" s="537"/>
      <c r="B244" s="537"/>
      <c r="C244" s="537"/>
      <c r="D244" s="537"/>
      <c r="E244" s="537"/>
      <c r="F244" s="537"/>
      <c r="G244" s="537"/>
      <c r="H244" s="537"/>
      <c r="I244" s="537"/>
    </row>
    <row r="245" spans="1:9" x14ac:dyDescent="0.2">
      <c r="A245" s="617" t="s">
        <v>3509</v>
      </c>
      <c r="B245" s="537"/>
      <c r="C245" s="537">
        <v>1</v>
      </c>
      <c r="D245" s="537">
        <v>32.46</v>
      </c>
      <c r="E245" s="537">
        <f>+C245*D245</f>
        <v>32.46</v>
      </c>
      <c r="F245" s="618">
        <f>+D245*1.1</f>
        <v>35.706000000000003</v>
      </c>
      <c r="G245" s="618">
        <f>+C245*F245</f>
        <v>35.706000000000003</v>
      </c>
      <c r="H245" s="618">
        <f>+G245-E245</f>
        <v>3.2460000000000022</v>
      </c>
      <c r="I245" s="638">
        <f>+H245/E245</f>
        <v>0.10000000000000006</v>
      </c>
    </row>
    <row r="246" spans="1:9" x14ac:dyDescent="0.2">
      <c r="A246"/>
      <c r="B246"/>
      <c r="C246"/>
      <c r="D246"/>
      <c r="E246"/>
      <c r="F246"/>
      <c r="G246"/>
      <c r="H246"/>
      <c r="I246"/>
    </row>
    <row r="247" spans="1:9" ht="13.5" thickBot="1" x14ac:dyDescent="0.25">
      <c r="A247" s="613" t="s">
        <v>4137</v>
      </c>
      <c r="B247" s="613" t="s">
        <v>4543</v>
      </c>
      <c r="C247" s="613"/>
      <c r="D247" s="614"/>
      <c r="E247" s="614">
        <f>SUM(E234:E245)</f>
        <v>844.36000000000013</v>
      </c>
      <c r="F247" s="613"/>
      <c r="G247" s="614">
        <f>SUM(G234:G245)</f>
        <v>989.19333333333327</v>
      </c>
      <c r="H247" s="614">
        <f>+G247-E247</f>
        <v>144.83333333333314</v>
      </c>
      <c r="I247" s="627">
        <f>+H247/E247</f>
        <v>0.17153031092582918</v>
      </c>
    </row>
    <row r="248" spans="1:9" ht="13.5" thickTop="1" x14ac:dyDescent="0.2">
      <c r="A248"/>
      <c r="B248"/>
      <c r="C248"/>
      <c r="D248"/>
      <c r="E248"/>
      <c r="F248"/>
      <c r="G248"/>
      <c r="H248"/>
      <c r="I248"/>
    </row>
    <row r="249" spans="1:9" x14ac:dyDescent="0.2">
      <c r="A249" s="617"/>
      <c r="B249" s="524" t="s">
        <v>4543</v>
      </c>
      <c r="C249" s="524" t="s">
        <v>4544</v>
      </c>
      <c r="D249" s="537"/>
      <c r="E249" s="618"/>
      <c r="F249" s="537"/>
      <c r="G249" s="618"/>
      <c r="H249" s="618"/>
      <c r="I249" s="638"/>
    </row>
    <row r="250" spans="1:9" x14ac:dyDescent="0.2">
      <c r="A250"/>
      <c r="B250"/>
      <c r="C250"/>
      <c r="D250"/>
      <c r="E250"/>
      <c r="F250"/>
      <c r="G250"/>
      <c r="H250"/>
      <c r="I250"/>
    </row>
    <row r="264" spans="1:10" x14ac:dyDescent="0.2">
      <c r="A264" s="757" t="s">
        <v>4015</v>
      </c>
      <c r="B264" s="757"/>
      <c r="C264" s="757"/>
      <c r="D264" s="757"/>
      <c r="E264" s="757"/>
      <c r="F264" s="757"/>
      <c r="G264" s="757"/>
      <c r="H264" s="757"/>
      <c r="I264" s="757"/>
      <c r="J264" s="757"/>
    </row>
    <row r="265" spans="1:10" ht="15.75" x14ac:dyDescent="0.25">
      <c r="A265" s="754" t="s">
        <v>52</v>
      </c>
      <c r="B265" s="754"/>
      <c r="C265" s="754"/>
      <c r="D265" s="754"/>
      <c r="E265" s="754"/>
      <c r="F265" s="754"/>
      <c r="G265" s="754"/>
      <c r="H265" s="754"/>
      <c r="I265" s="754"/>
      <c r="J265" s="754"/>
    </row>
    <row r="267" spans="1:10" x14ac:dyDescent="0.2">
      <c r="A267" s="5" t="s">
        <v>53</v>
      </c>
    </row>
    <row r="268" spans="1:10" ht="13.5" thickBot="1" x14ac:dyDescent="0.25"/>
    <row r="269" spans="1:10" x14ac:dyDescent="0.2">
      <c r="A269" s="464"/>
      <c r="B269" s="17" t="s">
        <v>54</v>
      </c>
      <c r="C269" s="17" t="s">
        <v>2970</v>
      </c>
      <c r="D269" s="18" t="s">
        <v>2973</v>
      </c>
      <c r="E269" s="17" t="s">
        <v>2971</v>
      </c>
      <c r="F269" s="18" t="s">
        <v>2974</v>
      </c>
      <c r="G269" s="19" t="s">
        <v>2974</v>
      </c>
      <c r="H269" s="19" t="s">
        <v>2974</v>
      </c>
      <c r="I269" s="465"/>
      <c r="J269" s="14"/>
    </row>
    <row r="270" spans="1:10" x14ac:dyDescent="0.2">
      <c r="A270" s="466"/>
      <c r="B270" s="20" t="s">
        <v>55</v>
      </c>
      <c r="C270" s="20" t="s">
        <v>468</v>
      </c>
      <c r="D270" s="21" t="s">
        <v>468</v>
      </c>
      <c r="E270" s="20" t="s">
        <v>2972</v>
      </c>
      <c r="F270" s="21" t="s">
        <v>468</v>
      </c>
      <c r="G270" s="22" t="s">
        <v>2976</v>
      </c>
      <c r="H270" s="22" t="s">
        <v>2977</v>
      </c>
      <c r="I270" s="467" t="s">
        <v>56</v>
      </c>
      <c r="J270" s="698"/>
    </row>
    <row r="271" spans="1:10" ht="13.5" thickBot="1" x14ac:dyDescent="0.25">
      <c r="A271" s="468" t="s">
        <v>470</v>
      </c>
      <c r="B271" s="23" t="s">
        <v>57</v>
      </c>
      <c r="C271" s="23" t="s">
        <v>471</v>
      </c>
      <c r="D271" s="469" t="s">
        <v>471</v>
      </c>
      <c r="E271" s="23" t="s">
        <v>471</v>
      </c>
      <c r="F271" s="469" t="s">
        <v>58</v>
      </c>
      <c r="G271" s="470" t="s">
        <v>59</v>
      </c>
      <c r="H271" s="470" t="s">
        <v>2975</v>
      </c>
      <c r="I271" s="471" t="s">
        <v>60</v>
      </c>
      <c r="J271" s="14"/>
    </row>
    <row r="273" spans="1:9" x14ac:dyDescent="0.2">
      <c r="A273" s="5" t="s">
        <v>2855</v>
      </c>
    </row>
    <row r="275" spans="1:9" x14ac:dyDescent="0.2">
      <c r="A275" s="33" t="s">
        <v>438</v>
      </c>
    </row>
    <row r="276" spans="1:9" x14ac:dyDescent="0.2">
      <c r="A276" s="24" t="s">
        <v>258</v>
      </c>
      <c r="B276" s="29">
        <v>3014546</v>
      </c>
      <c r="C276" s="29">
        <v>3120604</v>
      </c>
      <c r="D276" s="29">
        <v>3120604</v>
      </c>
      <c r="E276" s="29">
        <v>3124473.6</v>
      </c>
      <c r="F276" s="29">
        <v>3458160</v>
      </c>
      <c r="G276" s="29">
        <v>3976884</v>
      </c>
      <c r="H276" s="29">
        <v>4573417</v>
      </c>
      <c r="I276" s="703">
        <f>(F276-E276)/E276</f>
        <v>0.10679763784850027</v>
      </c>
    </row>
    <row r="277" spans="1:9" ht="13.5" thickBot="1" x14ac:dyDescent="0.25">
      <c r="A277" s="30" t="s">
        <v>2405</v>
      </c>
      <c r="B277" s="31">
        <v>2164067</v>
      </c>
      <c r="C277" s="31">
        <v>1640439</v>
      </c>
      <c r="D277" s="31">
        <v>1640439</v>
      </c>
      <c r="E277" s="31">
        <v>1640439</v>
      </c>
      <c r="F277" s="31">
        <v>4464983</v>
      </c>
      <c r="G277" s="31">
        <v>4616363</v>
      </c>
      <c r="H277" s="31">
        <v>4740495</v>
      </c>
      <c r="I277" s="704">
        <f>(F277-E277)/E277</f>
        <v>1.7218220244702791</v>
      </c>
    </row>
    <row r="278" spans="1:9" x14ac:dyDescent="0.2">
      <c r="A278" s="33" t="s">
        <v>4017</v>
      </c>
      <c r="B278" s="34">
        <f>SUM(B276:B277)</f>
        <v>5178613</v>
      </c>
      <c r="C278" s="34">
        <f t="shared" ref="C278:H278" si="11">SUM(C276:C277)</f>
        <v>4761043</v>
      </c>
      <c r="D278" s="34">
        <f t="shared" si="11"/>
        <v>4761043</v>
      </c>
      <c r="E278" s="34">
        <f t="shared" si="11"/>
        <v>4764912.5999999996</v>
      </c>
      <c r="F278" s="34">
        <f t="shared" si="11"/>
        <v>7923143</v>
      </c>
      <c r="G278" s="34">
        <f t="shared" si="11"/>
        <v>8593247</v>
      </c>
      <c r="H278" s="34">
        <f t="shared" si="11"/>
        <v>9313912</v>
      </c>
      <c r="I278" s="707">
        <f>(F278-E278)/E278</f>
        <v>0.66280972288977569</v>
      </c>
    </row>
    <row r="279" spans="1:9" ht="13.5" thickBot="1" x14ac:dyDescent="0.25">
      <c r="A279" s="702"/>
      <c r="B279" s="702"/>
      <c r="C279" s="702"/>
      <c r="D279" s="702"/>
      <c r="E279" s="702"/>
      <c r="F279" s="702"/>
      <c r="G279" s="702"/>
      <c r="H279" s="702"/>
      <c r="I279" s="702"/>
    </row>
    <row r="280" spans="1:9" x14ac:dyDescent="0.2">
      <c r="A280" s="687" t="s">
        <v>4033</v>
      </c>
      <c r="B280" s="688">
        <v>5178613</v>
      </c>
      <c r="C280" s="688">
        <v>4761043</v>
      </c>
      <c r="D280" s="688">
        <v>4761043</v>
      </c>
      <c r="E280" s="688">
        <v>2717604</v>
      </c>
      <c r="F280" s="688">
        <v>7923143</v>
      </c>
      <c r="G280" s="688">
        <v>8593247</v>
      </c>
      <c r="H280" s="688">
        <v>9313912</v>
      </c>
      <c r="I280" s="709">
        <f>(F280-D280)/D280</f>
        <v>0.66416119325114265</v>
      </c>
    </row>
    <row r="281" spans="1:9" x14ac:dyDescent="0.2">
      <c r="A281" s="687"/>
      <c r="B281" s="29"/>
      <c r="C281" s="29"/>
      <c r="D281" s="29"/>
      <c r="E281" s="29"/>
      <c r="F281" s="29"/>
      <c r="G281" s="29"/>
      <c r="H281" s="29"/>
      <c r="I281" s="709"/>
    </row>
    <row r="282" spans="1:9" ht="13.5" thickBot="1" x14ac:dyDescent="0.25">
      <c r="A282" s="692" t="s">
        <v>4059</v>
      </c>
      <c r="B282" s="693">
        <f>B278-B280</f>
        <v>0</v>
      </c>
      <c r="C282" s="693">
        <f t="shared" ref="C282:H282" si="12">C278-C280</f>
        <v>0</v>
      </c>
      <c r="D282" s="693">
        <f t="shared" si="12"/>
        <v>0</v>
      </c>
      <c r="E282" s="693">
        <f t="shared" si="12"/>
        <v>2047308.5999999996</v>
      </c>
      <c r="F282" s="693">
        <f t="shared" si="12"/>
        <v>0</v>
      </c>
      <c r="G282" s="693">
        <f t="shared" si="12"/>
        <v>0</v>
      </c>
      <c r="H282" s="693">
        <f t="shared" si="12"/>
        <v>0</v>
      </c>
      <c r="I282" s="705">
        <v>0</v>
      </c>
    </row>
    <row r="284" spans="1:9" x14ac:dyDescent="0.2">
      <c r="A284" s="33" t="s">
        <v>44</v>
      </c>
    </row>
    <row r="285" spans="1:9" x14ac:dyDescent="0.2">
      <c r="A285" s="24" t="s">
        <v>4111</v>
      </c>
      <c r="B285" s="29">
        <v>3471379</v>
      </c>
      <c r="C285" s="29">
        <v>4737202</v>
      </c>
      <c r="D285" s="29">
        <v>4737202</v>
      </c>
      <c r="E285" s="29">
        <v>4677733.2</v>
      </c>
      <c r="F285" s="29">
        <v>5128704</v>
      </c>
      <c r="G285" s="29">
        <v>5898010</v>
      </c>
      <c r="H285" s="29">
        <v>7233408</v>
      </c>
      <c r="I285" s="706">
        <f>(F285-E285)/E285</f>
        <v>9.6407978120684565E-2</v>
      </c>
    </row>
    <row r="286" spans="1:9" x14ac:dyDescent="0.2">
      <c r="A286" s="24" t="s">
        <v>45</v>
      </c>
      <c r="B286" s="29">
        <v>8236</v>
      </c>
      <c r="C286" s="29">
        <v>0</v>
      </c>
      <c r="D286" s="29">
        <v>4600</v>
      </c>
      <c r="E286" s="29">
        <v>2378.4</v>
      </c>
      <c r="F286" s="29">
        <v>2616</v>
      </c>
      <c r="G286" s="29">
        <v>2773</v>
      </c>
      <c r="H286" s="29">
        <v>2939</v>
      </c>
      <c r="I286" s="706">
        <f>(F286-E286)/E286</f>
        <v>9.98990918264379E-2</v>
      </c>
    </row>
    <row r="287" spans="1:9" x14ac:dyDescent="0.2">
      <c r="A287" s="24" t="s">
        <v>2419</v>
      </c>
      <c r="B287" s="29">
        <v>4422</v>
      </c>
      <c r="C287" s="29">
        <v>11000</v>
      </c>
      <c r="D287" s="29">
        <v>11000</v>
      </c>
      <c r="E287" s="29">
        <v>5953.2</v>
      </c>
      <c r="F287" s="29">
        <v>6549</v>
      </c>
      <c r="G287" s="29">
        <v>6942</v>
      </c>
      <c r="H287" s="29">
        <v>7359</v>
      </c>
      <c r="I287" s="706">
        <f>(F287-E287)/E287</f>
        <v>0.10008062890546264</v>
      </c>
    </row>
    <row r="288" spans="1:9" ht="13.5" thickBot="1" x14ac:dyDescent="0.25">
      <c r="A288" s="30" t="s">
        <v>2405</v>
      </c>
      <c r="B288" s="31">
        <v>4009531</v>
      </c>
      <c r="C288" s="31">
        <v>2643782</v>
      </c>
      <c r="D288" s="31">
        <v>2539182</v>
      </c>
      <c r="E288" s="31">
        <v>0</v>
      </c>
      <c r="F288" s="31">
        <v>3134164</v>
      </c>
      <c r="G288" s="31">
        <v>3029635</v>
      </c>
      <c r="H288" s="31">
        <v>2438507</v>
      </c>
      <c r="I288" s="704">
        <f>(F288-D288)/D288</f>
        <v>0.23432034411081995</v>
      </c>
    </row>
    <row r="289" spans="1:9" x14ac:dyDescent="0.2">
      <c r="A289" s="33" t="s">
        <v>4017</v>
      </c>
      <c r="B289" s="690">
        <f>SUM(B285:B288)</f>
        <v>7493568</v>
      </c>
      <c r="C289" s="690">
        <f t="shared" ref="C289:H289" si="13">SUM(C285:C288)</f>
        <v>7391984</v>
      </c>
      <c r="D289" s="690">
        <f t="shared" si="13"/>
        <v>7291984</v>
      </c>
      <c r="E289" s="690">
        <f t="shared" si="13"/>
        <v>4686064.8000000007</v>
      </c>
      <c r="F289" s="690">
        <f t="shared" si="13"/>
        <v>8272033</v>
      </c>
      <c r="G289" s="690">
        <f t="shared" si="13"/>
        <v>8937360</v>
      </c>
      <c r="H289" s="690">
        <f t="shared" si="13"/>
        <v>9682213</v>
      </c>
      <c r="I289" s="544">
        <f>(F289-D289)/D289</f>
        <v>0.13440087087409955</v>
      </c>
    </row>
    <row r="290" spans="1:9" ht="13.5" thickBot="1" x14ac:dyDescent="0.25">
      <c r="A290" s="702"/>
      <c r="B290" s="702"/>
      <c r="C290" s="702"/>
      <c r="D290" s="702"/>
      <c r="E290" s="702"/>
      <c r="F290" s="702"/>
      <c r="G290" s="702"/>
      <c r="H290" s="702"/>
      <c r="I290" s="702"/>
    </row>
    <row r="291" spans="1:9" x14ac:dyDescent="0.2">
      <c r="A291" s="687" t="s">
        <v>4033</v>
      </c>
      <c r="B291" s="688">
        <v>7493568</v>
      </c>
      <c r="C291" s="688">
        <v>7391984</v>
      </c>
      <c r="D291" s="688">
        <v>7291984</v>
      </c>
      <c r="E291" s="688">
        <v>5509267.1999999993</v>
      </c>
      <c r="F291" s="688">
        <v>8272033</v>
      </c>
      <c r="G291" s="688">
        <v>8937360</v>
      </c>
      <c r="H291" s="688">
        <v>9682213</v>
      </c>
      <c r="I291" s="710">
        <f>(F291-D291)/D291</f>
        <v>0.13440087087409955</v>
      </c>
    </row>
    <row r="293" spans="1:9" ht="13.5" thickBot="1" x14ac:dyDescent="0.25">
      <c r="A293" s="692" t="s">
        <v>4059</v>
      </c>
      <c r="B293" s="693">
        <f>B289-B291</f>
        <v>0</v>
      </c>
      <c r="C293" s="693">
        <f t="shared" ref="C293:H293" si="14">C289-C291</f>
        <v>0</v>
      </c>
      <c r="D293" s="693">
        <f t="shared" si="14"/>
        <v>0</v>
      </c>
      <c r="E293" s="693">
        <f t="shared" si="14"/>
        <v>-823202.39999999851</v>
      </c>
      <c r="F293" s="693">
        <f t="shared" si="14"/>
        <v>0</v>
      </c>
      <c r="G293" s="693">
        <f t="shared" si="14"/>
        <v>0</v>
      </c>
      <c r="H293" s="693">
        <f t="shared" si="14"/>
        <v>0</v>
      </c>
      <c r="I293" s="705">
        <v>0</v>
      </c>
    </row>
    <row r="295" spans="1:9" x14ac:dyDescent="0.2">
      <c r="A295" s="33" t="s">
        <v>4118</v>
      </c>
      <c r="F295" s="27"/>
      <c r="G295" s="27"/>
    </row>
    <row r="296" spans="1:9" x14ac:dyDescent="0.2">
      <c r="A296" s="24" t="s">
        <v>2423</v>
      </c>
      <c r="B296" s="29">
        <v>3529338</v>
      </c>
      <c r="C296" s="29">
        <v>9633667</v>
      </c>
      <c r="D296" s="29">
        <v>9633667</v>
      </c>
      <c r="E296" s="29">
        <v>5457608.4000000004</v>
      </c>
      <c r="F296" s="29">
        <v>8814684</v>
      </c>
      <c r="G296" s="29">
        <v>10136887</v>
      </c>
      <c r="H296" s="29">
        <v>11657420</v>
      </c>
      <c r="I296" s="703">
        <f>(F296+F299-E296)/E296</f>
        <v>9.9999956024693817E-2</v>
      </c>
    </row>
    <row r="297" spans="1:9" x14ac:dyDescent="0.2">
      <c r="A297" s="24" t="s">
        <v>4119</v>
      </c>
      <c r="B297" s="29">
        <v>4575</v>
      </c>
      <c r="C297" s="29">
        <v>7700</v>
      </c>
      <c r="D297" s="29">
        <v>7700</v>
      </c>
      <c r="E297" s="29">
        <v>0</v>
      </c>
      <c r="F297" s="29">
        <v>8470</v>
      </c>
      <c r="G297" s="29">
        <v>8978</v>
      </c>
      <c r="H297" s="29">
        <v>9517</v>
      </c>
      <c r="I297" s="703">
        <f>(F297-D297)/D297</f>
        <v>0.1</v>
      </c>
    </row>
    <row r="298" spans="1:9" x14ac:dyDescent="0.2">
      <c r="A298" s="24" t="s">
        <v>2404</v>
      </c>
      <c r="B298" s="29">
        <v>12281</v>
      </c>
      <c r="C298" s="29">
        <v>19653</v>
      </c>
      <c r="D298" s="29">
        <v>19653</v>
      </c>
      <c r="E298" s="29">
        <v>600</v>
      </c>
      <c r="F298" s="29">
        <v>660</v>
      </c>
      <c r="G298" s="29">
        <v>700</v>
      </c>
      <c r="H298" s="29">
        <v>742</v>
      </c>
      <c r="I298" s="703">
        <f>(F298-D298)/D298</f>
        <v>-0.96641734086399023</v>
      </c>
    </row>
    <row r="299" spans="1:9" x14ac:dyDescent="0.2">
      <c r="A299" s="24" t="s">
        <v>4120</v>
      </c>
      <c r="B299" s="29">
        <v>0</v>
      </c>
      <c r="C299" s="29">
        <v>-2734013</v>
      </c>
      <c r="D299" s="29">
        <v>-2734013</v>
      </c>
      <c r="E299" s="29">
        <v>0</v>
      </c>
      <c r="F299" s="29">
        <v>-2811315</v>
      </c>
      <c r="G299" s="29">
        <v>-3493380</v>
      </c>
      <c r="H299" s="29">
        <v>-4017387</v>
      </c>
      <c r="I299" s="703">
        <f>(F299-D299)/D299</f>
        <v>2.8274188893761661E-2</v>
      </c>
    </row>
    <row r="300" spans="1:9" ht="13.5" thickBot="1" x14ac:dyDescent="0.25">
      <c r="A300" s="30" t="s">
        <v>2405</v>
      </c>
      <c r="B300" s="31">
        <v>3752901</v>
      </c>
      <c r="C300" s="31">
        <v>394440</v>
      </c>
      <c r="D300" s="31">
        <v>394440</v>
      </c>
      <c r="E300" s="31">
        <v>0</v>
      </c>
      <c r="F300" s="31">
        <v>3563473</v>
      </c>
      <c r="G300" s="31">
        <v>3477677</v>
      </c>
      <c r="H300" s="31">
        <v>3387096</v>
      </c>
      <c r="I300" s="704">
        <f>(F300-D300)/D300</f>
        <v>8.0342586958726301</v>
      </c>
    </row>
    <row r="301" spans="1:9" x14ac:dyDescent="0.2">
      <c r="A301" s="33" t="s">
        <v>4017</v>
      </c>
      <c r="B301" s="690">
        <f>SUM(B296:B300)</f>
        <v>7299095</v>
      </c>
      <c r="C301" s="690">
        <f t="shared" ref="C301:H301" si="15">SUM(C296:C300)</f>
        <v>7321447</v>
      </c>
      <c r="D301" s="690">
        <f t="shared" si="15"/>
        <v>7321447</v>
      </c>
      <c r="E301" s="690">
        <f t="shared" si="15"/>
        <v>5458208.4000000004</v>
      </c>
      <c r="F301" s="690">
        <f t="shared" si="15"/>
        <v>9575972</v>
      </c>
      <c r="G301" s="690">
        <f t="shared" si="15"/>
        <v>10130862</v>
      </c>
      <c r="H301" s="690">
        <f t="shared" si="15"/>
        <v>11037388</v>
      </c>
      <c r="I301" s="707">
        <f>(F301-D301)/D301</f>
        <v>0.30793434685793669</v>
      </c>
    </row>
    <row r="302" spans="1:9" ht="13.5" thickBot="1" x14ac:dyDescent="0.25">
      <c r="A302" s="30"/>
      <c r="B302" s="30"/>
      <c r="C302" s="30"/>
      <c r="D302" s="30"/>
      <c r="E302" s="30"/>
      <c r="F302" s="30"/>
      <c r="G302" s="30"/>
      <c r="H302" s="30"/>
      <c r="I302" s="30"/>
    </row>
    <row r="303" spans="1:9" x14ac:dyDescent="0.2">
      <c r="A303" s="33" t="s">
        <v>4033</v>
      </c>
      <c r="B303" s="690">
        <v>7117688</v>
      </c>
      <c r="C303" s="690">
        <f>18559726-11629000</f>
        <v>6930726</v>
      </c>
      <c r="D303" s="690">
        <f>18559726-11629000</f>
        <v>6930726</v>
      </c>
      <c r="E303" s="690">
        <v>5338705.2</v>
      </c>
      <c r="F303" s="690">
        <v>8562718</v>
      </c>
      <c r="G303" s="690">
        <v>9006002</v>
      </c>
      <c r="H303" s="690">
        <v>9734985</v>
      </c>
      <c r="I303" s="707">
        <f>(F303-D303)/D303</f>
        <v>0.23547201260012299</v>
      </c>
    </row>
    <row r="304" spans="1:9" x14ac:dyDescent="0.2">
      <c r="A304" s="24"/>
      <c r="B304" s="24"/>
      <c r="C304" s="24"/>
      <c r="D304" s="24"/>
      <c r="E304" s="24"/>
      <c r="F304" s="24"/>
      <c r="G304" s="24"/>
      <c r="H304" s="24"/>
      <c r="I304" s="24"/>
    </row>
    <row r="305" spans="1:10" ht="13.5" thickBot="1" x14ac:dyDescent="0.25">
      <c r="A305" s="692" t="s">
        <v>4059</v>
      </c>
      <c r="B305" s="693">
        <f>B301-B303</f>
        <v>181407</v>
      </c>
      <c r="C305" s="693">
        <f t="shared" ref="C305:H305" si="16">C301-C303</f>
        <v>390721</v>
      </c>
      <c r="D305" s="693">
        <f t="shared" si="16"/>
        <v>390721</v>
      </c>
      <c r="E305" s="693">
        <f t="shared" si="16"/>
        <v>119503.20000000019</v>
      </c>
      <c r="F305" s="693">
        <f t="shared" si="16"/>
        <v>1013254</v>
      </c>
      <c r="G305" s="693">
        <f t="shared" si="16"/>
        <v>1124860</v>
      </c>
      <c r="H305" s="693">
        <f t="shared" si="16"/>
        <v>1302403</v>
      </c>
      <c r="I305" s="705">
        <f>(F305-D305)/D305</f>
        <v>1.5932929123338648</v>
      </c>
    </row>
    <row r="308" spans="1:10" x14ac:dyDescent="0.2">
      <c r="A308" s="757" t="s">
        <v>4030</v>
      </c>
      <c r="B308" s="757"/>
      <c r="C308" s="757"/>
      <c r="D308" s="757"/>
      <c r="E308" s="757"/>
      <c r="F308" s="757"/>
      <c r="G308" s="757"/>
      <c r="H308" s="757"/>
      <c r="I308" s="757"/>
      <c r="J308" s="757"/>
    </row>
    <row r="309" spans="1:10" ht="15.75" x14ac:dyDescent="0.25">
      <c r="A309" s="754" t="s">
        <v>52</v>
      </c>
      <c r="B309" s="754"/>
      <c r="C309" s="754"/>
      <c r="D309" s="754"/>
      <c r="E309" s="754"/>
      <c r="F309" s="754"/>
      <c r="G309" s="754"/>
      <c r="H309" s="754"/>
      <c r="I309" s="754"/>
      <c r="J309" s="754"/>
    </row>
    <row r="311" spans="1:10" x14ac:dyDescent="0.2">
      <c r="A311" s="5" t="s">
        <v>53</v>
      </c>
    </row>
    <row r="312" spans="1:10" ht="13.5" thickBot="1" x14ac:dyDescent="0.25"/>
    <row r="313" spans="1:10" x14ac:dyDescent="0.2">
      <c r="A313" s="464"/>
      <c r="B313" s="17" t="s">
        <v>54</v>
      </c>
      <c r="C313" s="17" t="s">
        <v>2970</v>
      </c>
      <c r="D313" s="18" t="s">
        <v>2973</v>
      </c>
      <c r="E313" s="17" t="s">
        <v>2971</v>
      </c>
      <c r="F313" s="18" t="s">
        <v>2974</v>
      </c>
      <c r="G313" s="19" t="s">
        <v>2974</v>
      </c>
      <c r="H313" s="19" t="s">
        <v>2974</v>
      </c>
      <c r="I313" s="465"/>
      <c r="J313" s="14"/>
    </row>
    <row r="314" spans="1:10" x14ac:dyDescent="0.2">
      <c r="A314" s="466"/>
      <c r="B314" s="20" t="s">
        <v>55</v>
      </c>
      <c r="C314" s="20" t="s">
        <v>468</v>
      </c>
      <c r="D314" s="21" t="s">
        <v>468</v>
      </c>
      <c r="E314" s="20" t="s">
        <v>2972</v>
      </c>
      <c r="F314" s="21" t="s">
        <v>468</v>
      </c>
      <c r="G314" s="22" t="s">
        <v>2976</v>
      </c>
      <c r="H314" s="22" t="s">
        <v>2977</v>
      </c>
      <c r="I314" s="467" t="s">
        <v>56</v>
      </c>
      <c r="J314" s="698"/>
    </row>
    <row r="315" spans="1:10" ht="13.5" thickBot="1" x14ac:dyDescent="0.25">
      <c r="A315" s="468" t="s">
        <v>470</v>
      </c>
      <c r="B315" s="23" t="s">
        <v>57</v>
      </c>
      <c r="C315" s="23" t="s">
        <v>471</v>
      </c>
      <c r="D315" s="469" t="s">
        <v>471</v>
      </c>
      <c r="E315" s="23" t="s">
        <v>471</v>
      </c>
      <c r="F315" s="469" t="s">
        <v>58</v>
      </c>
      <c r="G315" s="470" t="s">
        <v>59</v>
      </c>
      <c r="H315" s="470" t="s">
        <v>2975</v>
      </c>
      <c r="I315" s="471" t="s">
        <v>60</v>
      </c>
      <c r="J315" s="14"/>
    </row>
    <row r="317" spans="1:10" x14ac:dyDescent="0.2">
      <c r="A317" s="5" t="s">
        <v>2882</v>
      </c>
    </row>
    <row r="319" spans="1:10" x14ac:dyDescent="0.2">
      <c r="A319" s="33" t="s">
        <v>4125</v>
      </c>
    </row>
    <row r="321" spans="1:9" x14ac:dyDescent="0.2">
      <c r="A321" s="24" t="s">
        <v>2958</v>
      </c>
      <c r="B321" s="29">
        <v>0</v>
      </c>
      <c r="C321" s="29">
        <v>0</v>
      </c>
      <c r="D321" s="29">
        <v>0</v>
      </c>
      <c r="E321" s="29">
        <v>0</v>
      </c>
      <c r="F321" s="29">
        <v>4716575</v>
      </c>
      <c r="G321" s="29">
        <v>5933451</v>
      </c>
      <c r="H321" s="29">
        <v>7470215</v>
      </c>
      <c r="I321" s="679">
        <v>1</v>
      </c>
    </row>
    <row r="322" spans="1:9" x14ac:dyDescent="0.2">
      <c r="A322" s="24" t="s">
        <v>2959</v>
      </c>
      <c r="B322" s="29">
        <v>0</v>
      </c>
      <c r="C322" s="29">
        <v>0</v>
      </c>
      <c r="D322" s="29">
        <v>0</v>
      </c>
      <c r="E322" s="29">
        <v>0</v>
      </c>
      <c r="F322" s="29">
        <v>10748631</v>
      </c>
      <c r="G322" s="29">
        <v>13521778</v>
      </c>
      <c r="H322" s="29">
        <v>17023919</v>
      </c>
      <c r="I322" s="679">
        <v>1</v>
      </c>
    </row>
    <row r="323" spans="1:9" x14ac:dyDescent="0.2">
      <c r="A323" s="24" t="s">
        <v>2961</v>
      </c>
      <c r="B323" s="29">
        <v>0</v>
      </c>
      <c r="C323" s="29">
        <v>0</v>
      </c>
      <c r="D323" s="29">
        <v>0</v>
      </c>
      <c r="E323" s="29">
        <v>0</v>
      </c>
      <c r="F323" s="29">
        <v>20253</v>
      </c>
      <c r="G323" s="29">
        <v>21468</v>
      </c>
      <c r="H323" s="29">
        <v>22756</v>
      </c>
      <c r="I323" s="679">
        <v>1</v>
      </c>
    </row>
    <row r="324" spans="1:9" x14ac:dyDescent="0.2">
      <c r="A324" s="24" t="s">
        <v>2416</v>
      </c>
      <c r="B324" s="29">
        <v>0</v>
      </c>
      <c r="C324" s="29">
        <v>0</v>
      </c>
      <c r="D324" s="29">
        <v>0</v>
      </c>
      <c r="E324" s="29">
        <v>0</v>
      </c>
      <c r="F324" s="29">
        <v>10632</v>
      </c>
      <c r="G324" s="29">
        <v>11270</v>
      </c>
      <c r="H324" s="29">
        <v>11946</v>
      </c>
      <c r="I324" s="679">
        <v>1</v>
      </c>
    </row>
    <row r="325" spans="1:9" x14ac:dyDescent="0.2">
      <c r="A325" s="24" t="s">
        <v>4080</v>
      </c>
      <c r="B325" s="29">
        <v>0</v>
      </c>
      <c r="C325" s="29">
        <v>157509</v>
      </c>
      <c r="D325" s="29">
        <v>157509</v>
      </c>
      <c r="E325" s="29">
        <v>0</v>
      </c>
      <c r="F325" s="29">
        <v>0</v>
      </c>
      <c r="G325" s="29">
        <v>0</v>
      </c>
      <c r="H325" s="29">
        <v>0</v>
      </c>
      <c r="I325" s="679">
        <v>-1</v>
      </c>
    </row>
    <row r="326" spans="1:9" x14ac:dyDescent="0.2">
      <c r="A326" s="24" t="s">
        <v>49</v>
      </c>
      <c r="B326" s="29">
        <v>-678648</v>
      </c>
      <c r="C326" s="29">
        <v>-400000</v>
      </c>
      <c r="D326" s="29">
        <v>-600000</v>
      </c>
      <c r="E326" s="29">
        <v>-490704</v>
      </c>
      <c r="F326" s="29">
        <v>-598659</v>
      </c>
      <c r="G326" s="29">
        <v>-730364</v>
      </c>
      <c r="H326" s="29">
        <v>-891044</v>
      </c>
      <c r="I326" s="679">
        <f>(F326-E326)/E326</f>
        <v>0.22000024454661057</v>
      </c>
    </row>
    <row r="327" spans="1:9" ht="13.5" thickBot="1" x14ac:dyDescent="0.25">
      <c r="A327" s="30" t="s">
        <v>2405</v>
      </c>
      <c r="B327" s="31">
        <v>722712</v>
      </c>
      <c r="C327" s="31">
        <v>582909</v>
      </c>
      <c r="D327" s="31">
        <v>782909</v>
      </c>
      <c r="E327" s="31">
        <v>827838</v>
      </c>
      <c r="F327" s="31">
        <v>0</v>
      </c>
      <c r="G327" s="31">
        <v>0</v>
      </c>
      <c r="H327" s="31">
        <v>0</v>
      </c>
      <c r="I327" s="708">
        <v>-1</v>
      </c>
    </row>
    <row r="328" spans="1:9" x14ac:dyDescent="0.2">
      <c r="A328" s="33" t="s">
        <v>4017</v>
      </c>
      <c r="B328" s="688">
        <f>SUM(B321:B327)</f>
        <v>44064</v>
      </c>
      <c r="C328" s="688">
        <f t="shared" ref="C328:H328" si="17">SUM(C321:C327)</f>
        <v>340418</v>
      </c>
      <c r="D328" s="688">
        <f t="shared" si="17"/>
        <v>340418</v>
      </c>
      <c r="E328" s="688">
        <f t="shared" si="17"/>
        <v>337134</v>
      </c>
      <c r="F328" s="688">
        <f t="shared" si="17"/>
        <v>14897432</v>
      </c>
      <c r="G328" s="688">
        <f t="shared" si="17"/>
        <v>18757603</v>
      </c>
      <c r="H328" s="688">
        <f t="shared" si="17"/>
        <v>23637792</v>
      </c>
      <c r="I328" s="544">
        <f>(F328-E328)/E328</f>
        <v>43.188459188334612</v>
      </c>
    </row>
    <row r="329" spans="1:9" ht="13.5" thickBot="1" x14ac:dyDescent="0.25">
      <c r="A329" s="702"/>
      <c r="B329" s="31"/>
      <c r="C329" s="31"/>
      <c r="D329" s="31"/>
      <c r="E329" s="31"/>
      <c r="F329" s="31"/>
      <c r="G329" s="31"/>
      <c r="H329" s="31"/>
      <c r="I329" s="702"/>
    </row>
    <row r="330" spans="1:9" x14ac:dyDescent="0.2">
      <c r="A330" s="33" t="s">
        <v>4033</v>
      </c>
      <c r="B330" s="688">
        <v>44064</v>
      </c>
      <c r="C330" s="688">
        <f>3290418-2950000</f>
        <v>340418</v>
      </c>
      <c r="D330" s="688">
        <f>3290418-2950000</f>
        <v>340418</v>
      </c>
      <c r="E330" s="688">
        <v>337134</v>
      </c>
      <c r="F330" s="688">
        <v>11114918</v>
      </c>
      <c r="G330" s="688">
        <v>13626884</v>
      </c>
      <c r="H330" s="688">
        <v>16758796</v>
      </c>
      <c r="I330" s="544">
        <f>(F330-E330)/E330</f>
        <v>31.968843249271803</v>
      </c>
    </row>
    <row r="332" spans="1:9" ht="13.5" thickBot="1" x14ac:dyDescent="0.25">
      <c r="A332" s="692" t="s">
        <v>4059</v>
      </c>
      <c r="B332" s="693">
        <f>B328-B330</f>
        <v>0</v>
      </c>
      <c r="C332" s="693">
        <f t="shared" ref="C332:H332" si="18">C328-C330</f>
        <v>0</v>
      </c>
      <c r="D332" s="693">
        <f t="shared" si="18"/>
        <v>0</v>
      </c>
      <c r="E332" s="693">
        <f t="shared" si="18"/>
        <v>0</v>
      </c>
      <c r="F332" s="693">
        <f t="shared" si="18"/>
        <v>3782514</v>
      </c>
      <c r="G332" s="693">
        <f t="shared" si="18"/>
        <v>5130719</v>
      </c>
      <c r="H332" s="693">
        <f t="shared" si="18"/>
        <v>6878996</v>
      </c>
      <c r="I332" s="705">
        <v>1</v>
      </c>
    </row>
    <row r="352" spans="1:10" x14ac:dyDescent="0.2">
      <c r="A352" s="758" t="s">
        <v>4038</v>
      </c>
      <c r="B352" s="758"/>
      <c r="C352" s="758"/>
      <c r="D352" s="758"/>
      <c r="E352" s="758"/>
      <c r="F352" s="758"/>
      <c r="G352" s="758"/>
      <c r="H352" s="758"/>
      <c r="I352" s="758"/>
      <c r="J352" s="758"/>
    </row>
    <row r="353" spans="1:10" ht="15.75" x14ac:dyDescent="0.25">
      <c r="A353" s="754" t="s">
        <v>52</v>
      </c>
      <c r="B353" s="754"/>
      <c r="C353" s="754"/>
      <c r="D353" s="754"/>
      <c r="E353" s="754"/>
      <c r="F353" s="754"/>
      <c r="G353" s="754"/>
      <c r="H353" s="754"/>
      <c r="I353" s="754"/>
      <c r="J353" s="754"/>
    </row>
    <row r="355" spans="1:10" x14ac:dyDescent="0.2">
      <c r="A355" s="5" t="s">
        <v>53</v>
      </c>
    </row>
    <row r="356" spans="1:10" ht="13.5" thickBot="1" x14ac:dyDescent="0.25"/>
    <row r="357" spans="1:10" x14ac:dyDescent="0.2">
      <c r="A357" s="464"/>
      <c r="B357" s="17" t="s">
        <v>54</v>
      </c>
      <c r="C357" s="17" t="s">
        <v>2970</v>
      </c>
      <c r="D357" s="18" t="s">
        <v>2973</v>
      </c>
      <c r="E357" s="17" t="s">
        <v>2971</v>
      </c>
      <c r="F357" s="18" t="s">
        <v>2974</v>
      </c>
      <c r="G357" s="19" t="s">
        <v>2974</v>
      </c>
      <c r="H357" s="465" t="s">
        <v>2974</v>
      </c>
      <c r="I357" s="465"/>
      <c r="J357" s="14"/>
    </row>
    <row r="358" spans="1:10" x14ac:dyDescent="0.2">
      <c r="A358" s="466"/>
      <c r="B358" s="20" t="s">
        <v>55</v>
      </c>
      <c r="C358" s="20" t="s">
        <v>468</v>
      </c>
      <c r="D358" s="21" t="s">
        <v>468</v>
      </c>
      <c r="E358" s="20" t="s">
        <v>2972</v>
      </c>
      <c r="F358" s="21" t="s">
        <v>468</v>
      </c>
      <c r="G358" s="22" t="s">
        <v>2976</v>
      </c>
      <c r="H358" s="467" t="s">
        <v>2977</v>
      </c>
      <c r="I358" s="467" t="s">
        <v>56</v>
      </c>
      <c r="J358" s="698"/>
    </row>
    <row r="359" spans="1:10" ht="13.5" thickBot="1" x14ac:dyDescent="0.25">
      <c r="A359" s="468" t="s">
        <v>470</v>
      </c>
      <c r="B359" s="23" t="s">
        <v>57</v>
      </c>
      <c r="C359" s="23" t="s">
        <v>471</v>
      </c>
      <c r="D359" s="469" t="s">
        <v>471</v>
      </c>
      <c r="E359" s="23" t="s">
        <v>471</v>
      </c>
      <c r="F359" s="469" t="s">
        <v>58</v>
      </c>
      <c r="G359" s="470" t="s">
        <v>59</v>
      </c>
      <c r="H359" s="700" t="s">
        <v>2975</v>
      </c>
      <c r="I359" s="471" t="s">
        <v>60</v>
      </c>
      <c r="J359" s="14"/>
    </row>
    <row r="361" spans="1:10" x14ac:dyDescent="0.2">
      <c r="A361" s="5" t="s">
        <v>2881</v>
      </c>
    </row>
    <row r="362" spans="1:10" x14ac:dyDescent="0.2">
      <c r="A362" s="711" t="s">
        <v>2856</v>
      </c>
    </row>
    <row r="363" spans="1:10" x14ac:dyDescent="0.2">
      <c r="A363" s="717" t="s">
        <v>2885</v>
      </c>
      <c r="B363" s="29">
        <v>1534719</v>
      </c>
      <c r="C363" s="29">
        <v>1323749</v>
      </c>
      <c r="D363" s="29">
        <v>1323749</v>
      </c>
      <c r="E363" s="29">
        <v>1323749</v>
      </c>
      <c r="F363" s="29">
        <v>1882861</v>
      </c>
      <c r="G363" s="29">
        <v>2338244</v>
      </c>
      <c r="H363" s="29">
        <v>3997125</v>
      </c>
      <c r="I363" s="679">
        <f t="shared" ref="I363:I368" si="19">(F363-D363)/D363</f>
        <v>0.42237010188487395</v>
      </c>
    </row>
    <row r="364" spans="1:10" x14ac:dyDescent="0.2">
      <c r="A364" s="716" t="s">
        <v>2857</v>
      </c>
      <c r="B364" s="29">
        <v>2379573</v>
      </c>
      <c r="C364" s="29">
        <v>211354</v>
      </c>
      <c r="D364" s="29">
        <v>211354</v>
      </c>
      <c r="E364" s="29">
        <v>211354</v>
      </c>
      <c r="F364" s="29">
        <v>1814311</v>
      </c>
      <c r="G364" s="29">
        <v>3995559</v>
      </c>
      <c r="H364" s="29">
        <v>10394933</v>
      </c>
      <c r="I364" s="679">
        <f t="shared" si="19"/>
        <v>7.5842283562175306</v>
      </c>
      <c r="J364" s="24" t="s">
        <v>2887</v>
      </c>
    </row>
    <row r="365" spans="1:10" x14ac:dyDescent="0.2">
      <c r="A365" s="716" t="s">
        <v>2858</v>
      </c>
      <c r="B365" s="29">
        <v>4075313</v>
      </c>
      <c r="C365" s="29">
        <v>8542599</v>
      </c>
      <c r="D365" s="29">
        <v>8542599</v>
      </c>
      <c r="E365" s="29">
        <v>8542599</v>
      </c>
      <c r="F365" s="29">
        <v>10289214</v>
      </c>
      <c r="G365" s="29">
        <v>12409134</v>
      </c>
      <c r="H365" s="29">
        <v>14927103</v>
      </c>
      <c r="I365" s="679">
        <f t="shared" si="19"/>
        <v>0.20445943910044237</v>
      </c>
    </row>
    <row r="366" spans="1:10" x14ac:dyDescent="0.2">
      <c r="A366" s="716" t="s">
        <v>2859</v>
      </c>
      <c r="B366" s="29">
        <v>5804000</v>
      </c>
      <c r="C366" s="29">
        <v>7022890</v>
      </c>
      <c r="D366" s="29">
        <v>7022890</v>
      </c>
      <c r="E366" s="29">
        <v>7022890</v>
      </c>
      <c r="F366" s="29">
        <v>5618312</v>
      </c>
      <c r="G366" s="29">
        <v>6461058</v>
      </c>
      <c r="H366" s="29">
        <v>7430217</v>
      </c>
      <c r="I366" s="679">
        <f t="shared" si="19"/>
        <v>-0.2</v>
      </c>
      <c r="J366" s="24" t="s">
        <v>2889</v>
      </c>
    </row>
    <row r="367" spans="1:10" ht="13.5" thickBot="1" x14ac:dyDescent="0.25">
      <c r="A367" s="718" t="s">
        <v>448</v>
      </c>
      <c r="B367" s="31">
        <v>492999</v>
      </c>
      <c r="C367" s="31">
        <v>596529</v>
      </c>
      <c r="D367" s="31">
        <v>596529</v>
      </c>
      <c r="E367" s="31">
        <v>596529</v>
      </c>
      <c r="F367" s="31">
        <v>721800</v>
      </c>
      <c r="G367" s="31">
        <v>873378</v>
      </c>
      <c r="H367" s="31">
        <v>1056787</v>
      </c>
      <c r="I367" s="708">
        <f t="shared" si="19"/>
        <v>0.20999984912720085</v>
      </c>
    </row>
    <row r="368" spans="1:10" x14ac:dyDescent="0.2">
      <c r="A368" s="715" t="s">
        <v>2860</v>
      </c>
      <c r="B368" s="688">
        <v>14286604</v>
      </c>
      <c r="C368" s="688">
        <v>17697121</v>
      </c>
      <c r="D368" s="688">
        <v>17697121</v>
      </c>
      <c r="E368" s="688">
        <v>17697121</v>
      </c>
      <c r="F368" s="688">
        <v>20326498</v>
      </c>
      <c r="G368" s="688">
        <v>26077373</v>
      </c>
      <c r="H368" s="688">
        <v>37806165</v>
      </c>
      <c r="I368" s="544">
        <f t="shared" si="19"/>
        <v>0.14857653965297518</v>
      </c>
    </row>
    <row r="369" spans="1:10" x14ac:dyDescent="0.2">
      <c r="A369" s="712"/>
      <c r="B369" s="29"/>
      <c r="C369" s="29"/>
      <c r="D369" s="29"/>
      <c r="E369" s="29"/>
      <c r="F369" s="29"/>
      <c r="G369" s="29"/>
      <c r="H369" s="29"/>
    </row>
    <row r="370" spans="1:10" x14ac:dyDescent="0.2">
      <c r="A370" s="711" t="s">
        <v>2861</v>
      </c>
      <c r="B370" s="29"/>
      <c r="C370" s="29"/>
      <c r="D370" s="29"/>
      <c r="E370" s="29"/>
      <c r="F370" s="29"/>
      <c r="G370" s="29"/>
      <c r="H370" s="29"/>
    </row>
    <row r="371" spans="1:10" x14ac:dyDescent="0.2">
      <c r="A371" s="716" t="s">
        <v>2862</v>
      </c>
      <c r="B371" s="29">
        <v>144599</v>
      </c>
      <c r="C371" s="29">
        <v>0</v>
      </c>
      <c r="D371" s="29">
        <v>0</v>
      </c>
      <c r="E371" s="29">
        <v>0</v>
      </c>
      <c r="F371" s="29">
        <v>0</v>
      </c>
      <c r="G371" s="29">
        <v>0</v>
      </c>
      <c r="H371" s="29">
        <v>0</v>
      </c>
      <c r="I371" s="679">
        <v>0</v>
      </c>
      <c r="J371" s="24" t="s">
        <v>2886</v>
      </c>
    </row>
    <row r="372" spans="1:10" ht="13.5" thickBot="1" x14ac:dyDescent="0.25">
      <c r="A372" s="718" t="s">
        <v>2863</v>
      </c>
      <c r="B372" s="31">
        <v>789694</v>
      </c>
      <c r="C372" s="31">
        <v>789694</v>
      </c>
      <c r="D372" s="31">
        <v>789694</v>
      </c>
      <c r="E372" s="31">
        <v>789694</v>
      </c>
      <c r="F372" s="31">
        <v>24849967</v>
      </c>
      <c r="G372" s="31">
        <v>24161403</v>
      </c>
      <c r="H372" s="31">
        <v>22889486</v>
      </c>
      <c r="I372" s="708">
        <f>(F372-D372)/D372</f>
        <v>30.467843240546337</v>
      </c>
      <c r="J372" s="24" t="s">
        <v>3307</v>
      </c>
    </row>
    <row r="373" spans="1:10" ht="13.5" thickBot="1" x14ac:dyDescent="0.25">
      <c r="A373" s="720" t="s">
        <v>2864</v>
      </c>
      <c r="B373" s="683">
        <v>934293</v>
      </c>
      <c r="C373" s="683">
        <v>789694</v>
      </c>
      <c r="D373" s="683">
        <v>789694</v>
      </c>
      <c r="E373" s="683">
        <v>789694</v>
      </c>
      <c r="F373" s="683">
        <v>24849967</v>
      </c>
      <c r="G373" s="683">
        <v>24161403</v>
      </c>
      <c r="H373" s="683">
        <v>22889486</v>
      </c>
      <c r="I373" s="724">
        <f>(F373-D373)/D373</f>
        <v>30.467843240546337</v>
      </c>
    </row>
    <row r="374" spans="1:10" ht="13.5" thickBot="1" x14ac:dyDescent="0.25">
      <c r="A374" s="719" t="s">
        <v>2865</v>
      </c>
      <c r="B374" s="693">
        <v>15220897</v>
      </c>
      <c r="C374" s="693">
        <v>18486815</v>
      </c>
      <c r="D374" s="693">
        <v>18486815</v>
      </c>
      <c r="E374" s="693">
        <v>18486815</v>
      </c>
      <c r="F374" s="693">
        <v>45176465</v>
      </c>
      <c r="G374" s="693">
        <v>50238776</v>
      </c>
      <c r="H374" s="693">
        <v>60695651</v>
      </c>
      <c r="I374" s="724">
        <f>(F374-E374)/D374</f>
        <v>1.4437127217424959</v>
      </c>
    </row>
    <row r="375" spans="1:10" x14ac:dyDescent="0.2">
      <c r="A375" s="712"/>
      <c r="B375" s="29"/>
      <c r="C375" s="29"/>
      <c r="D375" s="29"/>
      <c r="E375" s="29"/>
      <c r="F375" s="29"/>
      <c r="G375" s="29"/>
      <c r="H375" s="29"/>
    </row>
    <row r="376" spans="1:10" x14ac:dyDescent="0.2">
      <c r="A376" s="711" t="s">
        <v>2866</v>
      </c>
      <c r="B376" s="29"/>
      <c r="C376" s="29"/>
      <c r="D376" s="29"/>
      <c r="E376" s="29"/>
      <c r="F376" s="29"/>
      <c r="G376" s="29"/>
      <c r="H376" s="29"/>
    </row>
    <row r="377" spans="1:10" x14ac:dyDescent="0.2">
      <c r="A377" s="716" t="s">
        <v>2867</v>
      </c>
      <c r="B377" s="29">
        <v>1485500</v>
      </c>
      <c r="C377" s="29">
        <v>0</v>
      </c>
      <c r="D377" s="29">
        <v>0</v>
      </c>
      <c r="E377" s="29">
        <v>0</v>
      </c>
      <c r="F377" s="29">
        <v>0</v>
      </c>
      <c r="G377" s="29">
        <v>0</v>
      </c>
      <c r="H377" s="29">
        <v>0</v>
      </c>
      <c r="I377" s="679">
        <v>0</v>
      </c>
    </row>
    <row r="378" spans="1:10" x14ac:dyDescent="0.2">
      <c r="A378" s="716" t="s">
        <v>2883</v>
      </c>
      <c r="B378" s="29">
        <v>238016</v>
      </c>
      <c r="C378" s="29">
        <v>293121</v>
      </c>
      <c r="D378" s="29">
        <v>293121</v>
      </c>
      <c r="E378" s="29">
        <v>293121</v>
      </c>
      <c r="F378" s="29">
        <v>525767</v>
      </c>
      <c r="G378" s="29">
        <v>1109120</v>
      </c>
      <c r="H378" s="29">
        <v>2096452</v>
      </c>
      <c r="I378" s="725">
        <f>(F378-D378)/D378</f>
        <v>0.79368588398647655</v>
      </c>
      <c r="J378" s="24" t="s">
        <v>3307</v>
      </c>
    </row>
    <row r="379" spans="1:10" x14ac:dyDescent="0.2">
      <c r="A379" s="716" t="s">
        <v>2869</v>
      </c>
      <c r="B379" s="29">
        <v>72934</v>
      </c>
      <c r="C379" s="29">
        <v>72934</v>
      </c>
      <c r="D379" s="29">
        <v>72934</v>
      </c>
      <c r="E379" s="29">
        <v>72934</v>
      </c>
      <c r="F379" s="29">
        <v>72934</v>
      </c>
      <c r="G379" s="29">
        <v>72934</v>
      </c>
      <c r="H379" s="29">
        <v>72934</v>
      </c>
      <c r="I379" s="725">
        <f>(F379-D379)/D379</f>
        <v>0</v>
      </c>
    </row>
    <row r="380" spans="1:10" x14ac:dyDescent="0.2">
      <c r="A380" s="716" t="s">
        <v>2870</v>
      </c>
      <c r="B380" s="29">
        <v>26362200</v>
      </c>
      <c r="C380" s="29">
        <v>22380435</v>
      </c>
      <c r="D380" s="29">
        <v>22380435</v>
      </c>
      <c r="E380" s="29">
        <v>22380435</v>
      </c>
      <c r="F380" s="29">
        <v>11805731</v>
      </c>
      <c r="G380" s="29">
        <v>9444585</v>
      </c>
      <c r="H380" s="29">
        <v>12655744</v>
      </c>
      <c r="I380" s="725">
        <f>(F380-D380)/D380</f>
        <v>-0.47249769720740459</v>
      </c>
      <c r="J380" s="24" t="s">
        <v>2888</v>
      </c>
    </row>
    <row r="381" spans="1:10" ht="13.5" thickBot="1" x14ac:dyDescent="0.25">
      <c r="A381" s="718" t="s">
        <v>2871</v>
      </c>
      <c r="B381" s="31">
        <v>2685107</v>
      </c>
      <c r="C381" s="31">
        <v>3651248</v>
      </c>
      <c r="D381" s="31">
        <v>3651248</v>
      </c>
      <c r="E381" s="31">
        <v>3651248</v>
      </c>
      <c r="F381" s="31">
        <v>4700829</v>
      </c>
      <c r="G381" s="31">
        <v>5823420</v>
      </c>
      <c r="H381" s="31">
        <v>7032507</v>
      </c>
      <c r="I381" s="708">
        <f>(F381-D381)/D381</f>
        <v>0.28745815129511881</v>
      </c>
    </row>
    <row r="382" spans="1:10" x14ac:dyDescent="0.2">
      <c r="A382" s="715" t="s">
        <v>2872</v>
      </c>
      <c r="B382" s="688">
        <v>30843757</v>
      </c>
      <c r="C382" s="688">
        <v>26397738</v>
      </c>
      <c r="D382" s="688">
        <v>26397738</v>
      </c>
      <c r="E382" s="688">
        <v>26397738</v>
      </c>
      <c r="F382" s="688">
        <v>17105261</v>
      </c>
      <c r="G382" s="688">
        <v>16450059</v>
      </c>
      <c r="H382" s="688">
        <v>21857637</v>
      </c>
      <c r="I382" s="544">
        <f>(F382-D382)/D382</f>
        <v>-0.35201792668750631</v>
      </c>
    </row>
    <row r="383" spans="1:10" x14ac:dyDescent="0.2">
      <c r="A383" s="712"/>
      <c r="B383" s="29"/>
      <c r="C383" s="29"/>
      <c r="D383" s="29"/>
      <c r="E383" s="29"/>
      <c r="F383" s="29"/>
      <c r="G383" s="29"/>
      <c r="H383" s="29"/>
    </row>
    <row r="384" spans="1:10" x14ac:dyDescent="0.2">
      <c r="A384" s="711" t="s">
        <v>2873</v>
      </c>
      <c r="B384" s="29"/>
      <c r="C384" s="29"/>
      <c r="D384" s="29"/>
      <c r="E384" s="29"/>
      <c r="F384" s="29"/>
      <c r="G384" s="29"/>
      <c r="H384" s="29"/>
    </row>
    <row r="385" spans="1:10" ht="13.5" thickBot="1" x14ac:dyDescent="0.25">
      <c r="A385" s="718" t="s">
        <v>2868</v>
      </c>
      <c r="B385" s="31">
        <v>3566660</v>
      </c>
      <c r="C385" s="31">
        <v>3255597</v>
      </c>
      <c r="D385" s="31">
        <v>3255597</v>
      </c>
      <c r="E385" s="31">
        <v>3255597</v>
      </c>
      <c r="F385" s="31">
        <v>25972599</v>
      </c>
      <c r="G385" s="31">
        <v>24571345</v>
      </c>
      <c r="H385" s="31">
        <v>22106207</v>
      </c>
      <c r="I385" s="708">
        <f>(F385-D385)/D385</f>
        <v>6.9778298726777299</v>
      </c>
      <c r="J385" s="24" t="s">
        <v>2890</v>
      </c>
    </row>
    <row r="386" spans="1:10" ht="13.5" thickBot="1" x14ac:dyDescent="0.25">
      <c r="A386" s="720" t="s">
        <v>2874</v>
      </c>
      <c r="B386" s="683">
        <v>3566660</v>
      </c>
      <c r="C386" s="683">
        <v>3255597</v>
      </c>
      <c r="D386" s="683">
        <v>3255597</v>
      </c>
      <c r="E386" s="683">
        <v>3255597</v>
      </c>
      <c r="F386" s="683">
        <v>25972599</v>
      </c>
      <c r="G386" s="683">
        <v>24571345</v>
      </c>
      <c r="H386" s="683">
        <v>22106207</v>
      </c>
      <c r="I386" s="724">
        <f>(F386-D386)/D386</f>
        <v>6.9778298726777299</v>
      </c>
    </row>
    <row r="387" spans="1:10" ht="13.5" thickBot="1" x14ac:dyDescent="0.25">
      <c r="A387" s="719" t="s">
        <v>2875</v>
      </c>
      <c r="B387" s="693">
        <v>34410417</v>
      </c>
      <c r="C387" s="693">
        <v>29653335</v>
      </c>
      <c r="D387" s="693">
        <v>29653335</v>
      </c>
      <c r="E387" s="693">
        <v>29653335</v>
      </c>
      <c r="F387" s="693">
        <v>43077860</v>
      </c>
      <c r="G387" s="693">
        <v>41021404</v>
      </c>
      <c r="H387" s="693">
        <v>43963844</v>
      </c>
      <c r="I387" s="724">
        <f>(F387-D387)/D387</f>
        <v>0.4527155208680575</v>
      </c>
    </row>
    <row r="388" spans="1:10" ht="13.5" thickBot="1" x14ac:dyDescent="0.25">
      <c r="A388" s="721" t="s">
        <v>2876</v>
      </c>
      <c r="B388" s="683">
        <v>-19189520</v>
      </c>
      <c r="C388" s="683">
        <v>-11166520</v>
      </c>
      <c r="D388" s="683">
        <v>-11166520</v>
      </c>
      <c r="E388" s="683">
        <v>-11166520</v>
      </c>
      <c r="F388" s="683">
        <v>2098605</v>
      </c>
      <c r="G388" s="683">
        <v>9217372</v>
      </c>
      <c r="H388" s="683">
        <v>16731807</v>
      </c>
      <c r="I388" s="724">
        <f>(D388-F388)/D388</f>
        <v>1.1879372445488836</v>
      </c>
    </row>
    <row r="389" spans="1:10" x14ac:dyDescent="0.2">
      <c r="A389" s="713"/>
      <c r="B389" s="29"/>
      <c r="C389" s="29"/>
      <c r="D389" s="29"/>
      <c r="E389" s="29"/>
      <c r="F389" s="29"/>
      <c r="G389" s="29"/>
      <c r="H389" s="29"/>
    </row>
    <row r="390" spans="1:10" x14ac:dyDescent="0.2">
      <c r="A390" s="714" t="s">
        <v>2877</v>
      </c>
      <c r="B390" s="29"/>
      <c r="C390" s="29"/>
      <c r="D390" s="29"/>
      <c r="E390" s="29"/>
      <c r="F390" s="29"/>
      <c r="G390" s="29"/>
      <c r="H390" s="29"/>
    </row>
    <row r="391" spans="1:10" x14ac:dyDescent="0.2">
      <c r="A391" s="722" t="s">
        <v>2878</v>
      </c>
      <c r="B391" s="29">
        <v>-24861597</v>
      </c>
      <c r="C391" s="29">
        <v>-12666520</v>
      </c>
      <c r="D391" s="29">
        <v>-12666520</v>
      </c>
      <c r="E391" s="29">
        <v>-12666520</v>
      </c>
      <c r="F391" s="29">
        <v>448605</v>
      </c>
      <c r="G391" s="29">
        <v>5402372</v>
      </c>
      <c r="H391" s="29">
        <v>6535307</v>
      </c>
      <c r="I391" s="679">
        <f>(D391-F391)/D391</f>
        <v>1.0354165942974076</v>
      </c>
      <c r="J391" s="24" t="s">
        <v>2884</v>
      </c>
    </row>
    <row r="392" spans="1:10" ht="13.5" thickBot="1" x14ac:dyDescent="0.25">
      <c r="A392" s="723" t="s">
        <v>2879</v>
      </c>
      <c r="B392" s="31">
        <v>5672077</v>
      </c>
      <c r="C392" s="31">
        <v>1500000</v>
      </c>
      <c r="D392" s="31">
        <v>1500000</v>
      </c>
      <c r="E392" s="31">
        <v>1500000</v>
      </c>
      <c r="F392" s="31">
        <v>1650000</v>
      </c>
      <c r="G392" s="31">
        <v>3815000</v>
      </c>
      <c r="H392" s="31">
        <v>10196500</v>
      </c>
      <c r="I392" s="708">
        <f>(F392-D392)/D392</f>
        <v>0.1</v>
      </c>
      <c r="J392" s="24" t="s">
        <v>2891</v>
      </c>
    </row>
    <row r="393" spans="1:10" ht="13.5" thickBot="1" x14ac:dyDescent="0.25">
      <c r="A393" s="721" t="s">
        <v>2880</v>
      </c>
      <c r="B393" s="683">
        <v>-19189520</v>
      </c>
      <c r="C393" s="683">
        <v>-11166520</v>
      </c>
      <c r="D393" s="683">
        <v>-11166520</v>
      </c>
      <c r="E393" s="683">
        <v>-11166520</v>
      </c>
      <c r="F393" s="683">
        <v>2098605</v>
      </c>
      <c r="G393" s="683">
        <v>9217372</v>
      </c>
      <c r="H393" s="683">
        <v>16731807</v>
      </c>
      <c r="I393" s="724">
        <f>(D393-F393)/D393</f>
        <v>1.1879372445488836</v>
      </c>
    </row>
    <row r="396" spans="1:10" x14ac:dyDescent="0.2">
      <c r="A396" s="757" t="s">
        <v>4056</v>
      </c>
      <c r="B396" s="757"/>
      <c r="C396" s="757"/>
      <c r="D396" s="757"/>
      <c r="E396" s="757"/>
      <c r="F396" s="757"/>
      <c r="G396" s="757"/>
      <c r="H396" s="757"/>
      <c r="I396" s="757"/>
      <c r="J396" s="757"/>
    </row>
    <row r="397" spans="1:10" ht="15.75" x14ac:dyDescent="0.25">
      <c r="A397" s="754" t="s">
        <v>52</v>
      </c>
      <c r="B397" s="754"/>
      <c r="C397" s="754"/>
      <c r="D397" s="754"/>
      <c r="E397" s="754"/>
      <c r="F397" s="754"/>
      <c r="G397" s="754"/>
      <c r="H397" s="754"/>
      <c r="I397" s="754"/>
      <c r="J397" s="754"/>
    </row>
    <row r="399" spans="1:10" x14ac:dyDescent="0.2">
      <c r="A399" s="5" t="s">
        <v>53</v>
      </c>
    </row>
    <row r="400" spans="1:10" ht="13.5" x14ac:dyDescent="0.25">
      <c r="A400" s="726"/>
    </row>
    <row r="401" spans="1:9" x14ac:dyDescent="0.2">
      <c r="A401" s="729" t="s">
        <v>2892</v>
      </c>
    </row>
    <row r="402" spans="1:9" ht="13.5" x14ac:dyDescent="0.25">
      <c r="A402" s="727"/>
    </row>
    <row r="403" spans="1:9" x14ac:dyDescent="0.2">
      <c r="A403" s="732" t="s">
        <v>2899</v>
      </c>
    </row>
    <row r="404" spans="1:9" ht="13.5" x14ac:dyDescent="0.25">
      <c r="A404" s="728"/>
    </row>
    <row r="405" spans="1:9" x14ac:dyDescent="0.2">
      <c r="A405" s="730" t="s">
        <v>2893</v>
      </c>
    </row>
    <row r="406" spans="1:9" ht="14.25" thickBot="1" x14ac:dyDescent="0.3">
      <c r="A406" s="728"/>
    </row>
    <row r="407" spans="1:9" x14ac:dyDescent="0.2">
      <c r="A407" s="464"/>
      <c r="B407" s="17" t="s">
        <v>54</v>
      </c>
      <c r="C407" s="17" t="s">
        <v>2970</v>
      </c>
      <c r="D407" s="18" t="s">
        <v>2973</v>
      </c>
      <c r="E407" s="17" t="s">
        <v>2971</v>
      </c>
      <c r="F407" s="18" t="s">
        <v>2974</v>
      </c>
      <c r="G407" s="19" t="s">
        <v>2974</v>
      </c>
      <c r="H407" s="465" t="s">
        <v>2974</v>
      </c>
      <c r="I407" s="465" t="s">
        <v>60</v>
      </c>
    </row>
    <row r="408" spans="1:9" x14ac:dyDescent="0.2">
      <c r="A408" s="466"/>
      <c r="B408" s="20" t="s">
        <v>55</v>
      </c>
      <c r="C408" s="20" t="s">
        <v>468</v>
      </c>
      <c r="D408" s="21" t="s">
        <v>468</v>
      </c>
      <c r="E408" s="20" t="s">
        <v>2972</v>
      </c>
      <c r="F408" s="21" t="s">
        <v>468</v>
      </c>
      <c r="G408" s="22" t="s">
        <v>2976</v>
      </c>
      <c r="H408" s="467" t="s">
        <v>2977</v>
      </c>
      <c r="I408" s="467" t="s">
        <v>2894</v>
      </c>
    </row>
    <row r="409" spans="1:9" ht="13.5" thickBot="1" x14ac:dyDescent="0.25">
      <c r="A409" s="468" t="s">
        <v>470</v>
      </c>
      <c r="B409" s="23" t="s">
        <v>57</v>
      </c>
      <c r="C409" s="23" t="s">
        <v>471</v>
      </c>
      <c r="D409" s="469" t="s">
        <v>471</v>
      </c>
      <c r="E409" s="23" t="s">
        <v>471</v>
      </c>
      <c r="F409" s="469" t="s">
        <v>58</v>
      </c>
      <c r="G409" s="470" t="s">
        <v>59</v>
      </c>
      <c r="H409" s="700" t="s">
        <v>2975</v>
      </c>
      <c r="I409" s="471" t="s">
        <v>61</v>
      </c>
    </row>
    <row r="410" spans="1:9" ht="13.5" x14ac:dyDescent="0.25">
      <c r="A410" s="728"/>
    </row>
    <row r="411" spans="1:9" x14ac:dyDescent="0.2">
      <c r="A411" s="731" t="s">
        <v>61</v>
      </c>
    </row>
    <row r="412" spans="1:9" x14ac:dyDescent="0.2">
      <c r="A412" s="732" t="s">
        <v>2895</v>
      </c>
    </row>
    <row r="413" spans="1:9" x14ac:dyDescent="0.2">
      <c r="A413" s="734" t="s">
        <v>3569</v>
      </c>
      <c r="B413" s="29">
        <v>0</v>
      </c>
      <c r="C413" s="29">
        <v>476000</v>
      </c>
      <c r="D413" s="29">
        <v>476000</v>
      </c>
      <c r="E413" s="29">
        <v>476000</v>
      </c>
      <c r="F413" s="29">
        <v>476000</v>
      </c>
      <c r="G413" s="29">
        <v>0</v>
      </c>
      <c r="H413" s="29">
        <v>0</v>
      </c>
      <c r="I413" s="703">
        <f>F413/$F$423</f>
        <v>5.5094415442340852E-3</v>
      </c>
    </row>
    <row r="414" spans="1:9" x14ac:dyDescent="0.2">
      <c r="A414" s="734" t="s">
        <v>3572</v>
      </c>
      <c r="B414" s="29">
        <v>0</v>
      </c>
      <c r="C414" s="29">
        <v>0</v>
      </c>
      <c r="D414" s="29">
        <v>0</v>
      </c>
      <c r="E414" s="29">
        <v>0</v>
      </c>
      <c r="F414" s="29">
        <v>0</v>
      </c>
      <c r="G414" s="29">
        <v>0</v>
      </c>
      <c r="H414" s="29">
        <v>0</v>
      </c>
      <c r="I414" s="703">
        <f t="shared" ref="I414:I422" si="20">F414/$F$423</f>
        <v>0</v>
      </c>
    </row>
    <row r="415" spans="1:9" x14ac:dyDescent="0.2">
      <c r="A415" s="734" t="s">
        <v>3573</v>
      </c>
      <c r="B415" s="29">
        <v>0</v>
      </c>
      <c r="C415" s="29">
        <v>0</v>
      </c>
      <c r="D415" s="29">
        <v>0</v>
      </c>
      <c r="E415" s="29">
        <v>0</v>
      </c>
      <c r="F415" s="29">
        <v>216573.37599999999</v>
      </c>
      <c r="G415" s="29">
        <v>233542.55856</v>
      </c>
      <c r="H415" s="29">
        <v>251849.7720736</v>
      </c>
      <c r="I415" s="703">
        <f t="shared" si="20"/>
        <v>2.5067192334231703E-3</v>
      </c>
    </row>
    <row r="416" spans="1:9" x14ac:dyDescent="0.2">
      <c r="A416" s="734" t="s">
        <v>3570</v>
      </c>
      <c r="B416" s="29">
        <f>26450190+65037</f>
        <v>26515227</v>
      </c>
      <c r="C416" s="29">
        <f>33189998+476000</f>
        <v>33665998</v>
      </c>
      <c r="D416" s="29">
        <f>33870998+476000</f>
        <v>34346998</v>
      </c>
      <c r="E416" s="29">
        <f>33336178+476000</f>
        <v>33812178</v>
      </c>
      <c r="F416" s="29">
        <f>42232800+476000</f>
        <v>42708800</v>
      </c>
      <c r="G416" s="29">
        <v>47700060</v>
      </c>
      <c r="H416" s="29">
        <v>52318537</v>
      </c>
      <c r="I416" s="703">
        <f t="shared" si="20"/>
        <v>0.49433117021929557</v>
      </c>
    </row>
    <row r="417" spans="1:9" x14ac:dyDescent="0.2">
      <c r="A417" s="734" t="s">
        <v>1832</v>
      </c>
      <c r="B417" s="29">
        <v>76095</v>
      </c>
      <c r="C417" s="29">
        <v>1316000</v>
      </c>
      <c r="D417" s="29">
        <v>1886000</v>
      </c>
      <c r="E417" s="29">
        <v>1781000</v>
      </c>
      <c r="F417" s="29">
        <v>1226000</v>
      </c>
      <c r="G417" s="29">
        <v>790000</v>
      </c>
      <c r="H417" s="29">
        <v>800000</v>
      </c>
      <c r="I417" s="703">
        <f t="shared" si="20"/>
        <v>1.4190284313510479E-2</v>
      </c>
    </row>
    <row r="418" spans="1:9" x14ac:dyDescent="0.2">
      <c r="A418" s="734" t="s">
        <v>3568</v>
      </c>
      <c r="B418" s="29">
        <v>104955</v>
      </c>
      <c r="C418" s="29">
        <v>476000</v>
      </c>
      <c r="D418" s="29">
        <v>476000</v>
      </c>
      <c r="E418" s="29">
        <v>476000</v>
      </c>
      <c r="F418" s="29">
        <v>467000</v>
      </c>
      <c r="G418" s="29">
        <v>0</v>
      </c>
      <c r="H418" s="29">
        <v>0</v>
      </c>
      <c r="I418" s="703">
        <f t="shared" si="20"/>
        <v>5.4052714310027679E-3</v>
      </c>
    </row>
    <row r="419" spans="1:9" x14ac:dyDescent="0.2">
      <c r="A419" s="734" t="s">
        <v>1830</v>
      </c>
      <c r="B419" s="29">
        <v>3484037</v>
      </c>
      <c r="C419" s="29">
        <v>4748202</v>
      </c>
      <c r="D419" s="29">
        <v>4752802</v>
      </c>
      <c r="E419" s="29">
        <v>4686064.8</v>
      </c>
      <c r="F419" s="29">
        <v>5137869</v>
      </c>
      <c r="G419" s="29">
        <v>5907725</v>
      </c>
      <c r="H419" s="29">
        <v>7243706</v>
      </c>
      <c r="I419" s="703">
        <f t="shared" si="20"/>
        <v>5.9468043944185783E-2</v>
      </c>
    </row>
    <row r="420" spans="1:9" x14ac:dyDescent="0.2">
      <c r="A420" s="734" t="s">
        <v>3571</v>
      </c>
      <c r="B420" s="29">
        <v>8142929</v>
      </c>
      <c r="C420" s="29">
        <v>9830741</v>
      </c>
      <c r="D420" s="29">
        <v>9190633</v>
      </c>
      <c r="E420" s="29">
        <v>11244858.960000001</v>
      </c>
      <c r="F420" s="29">
        <v>30152400</v>
      </c>
      <c r="G420" s="29">
        <v>33876149</v>
      </c>
      <c r="H420" s="29">
        <v>41943696</v>
      </c>
      <c r="I420" s="703">
        <f t="shared" si="20"/>
        <v>0.34899765802177274</v>
      </c>
    </row>
    <row r="421" spans="1:9" x14ac:dyDescent="0.2">
      <c r="A421" s="734" t="s">
        <v>3574</v>
      </c>
      <c r="B421" s="29">
        <v>0</v>
      </c>
      <c r="C421" s="29">
        <v>0</v>
      </c>
      <c r="D421" s="29">
        <v>0</v>
      </c>
      <c r="E421" s="29">
        <v>0</v>
      </c>
      <c r="F421" s="29">
        <v>0</v>
      </c>
      <c r="G421" s="29">
        <v>0</v>
      </c>
      <c r="H421" s="29">
        <v>0</v>
      </c>
      <c r="I421" s="703">
        <f t="shared" si="20"/>
        <v>0</v>
      </c>
    </row>
    <row r="422" spans="1:9" ht="13.5" thickBot="1" x14ac:dyDescent="0.25">
      <c r="A422" s="735" t="s">
        <v>444</v>
      </c>
      <c r="B422" s="31">
        <v>3546194</v>
      </c>
      <c r="C422" s="31">
        <v>6927007</v>
      </c>
      <c r="D422" s="31">
        <v>6927007</v>
      </c>
      <c r="E422" s="31">
        <v>5458208.4000000004</v>
      </c>
      <c r="F422" s="31">
        <v>6012499</v>
      </c>
      <c r="G422" s="31">
        <v>6653185</v>
      </c>
      <c r="H422" s="31">
        <v>7650292</v>
      </c>
      <c r="I422" s="704">
        <f t="shared" si="20"/>
        <v>6.95914112925754E-2</v>
      </c>
    </row>
    <row r="423" spans="1:9" x14ac:dyDescent="0.2">
      <c r="A423" s="33" t="s">
        <v>4137</v>
      </c>
      <c r="B423" s="690">
        <f>SUM(B413:B422)</f>
        <v>41869437</v>
      </c>
      <c r="C423" s="690">
        <f t="shared" ref="C423:H423" si="21">SUM(C413:C422)</f>
        <v>57439948</v>
      </c>
      <c r="D423" s="690">
        <f t="shared" si="21"/>
        <v>58055440</v>
      </c>
      <c r="E423" s="690">
        <f t="shared" si="21"/>
        <v>57934310.159999996</v>
      </c>
      <c r="F423" s="690">
        <f t="shared" si="21"/>
        <v>86397141.376000002</v>
      </c>
      <c r="G423" s="690">
        <f t="shared" si="21"/>
        <v>95160661.558559999</v>
      </c>
      <c r="H423" s="690">
        <f t="shared" si="21"/>
        <v>110208080.7720736</v>
      </c>
      <c r="I423" s="733">
        <f>SUM(I413:I422)</f>
        <v>1</v>
      </c>
    </row>
    <row r="425" spans="1:9" x14ac:dyDescent="0.2">
      <c r="A425" s="5" t="s">
        <v>4018</v>
      </c>
    </row>
    <row r="426" spans="1:9" x14ac:dyDescent="0.2">
      <c r="A426" s="33" t="s">
        <v>2895</v>
      </c>
    </row>
    <row r="427" spans="1:9" x14ac:dyDescent="0.2">
      <c r="A427" s="734" t="s">
        <v>3569</v>
      </c>
      <c r="B427" s="29">
        <v>711569</v>
      </c>
      <c r="C427" s="29">
        <v>1518656</v>
      </c>
      <c r="D427" s="29">
        <v>1368656</v>
      </c>
      <c r="E427" s="29">
        <v>404227.2</v>
      </c>
      <c r="F427" s="29">
        <v>1696214</v>
      </c>
      <c r="G427" s="29">
        <v>1829429</v>
      </c>
      <c r="H427" s="29">
        <v>1973153</v>
      </c>
      <c r="I427" s="679">
        <f>F427/$F$437</f>
        <v>1.9828675120212171E-2</v>
      </c>
    </row>
    <row r="428" spans="1:9" x14ac:dyDescent="0.2">
      <c r="A428" s="734" t="s">
        <v>3572</v>
      </c>
      <c r="B428" s="29">
        <v>467343</v>
      </c>
      <c r="C428" s="29">
        <v>936532</v>
      </c>
      <c r="D428" s="29">
        <v>1036532</v>
      </c>
      <c r="E428" s="29">
        <v>526707.6</v>
      </c>
      <c r="F428" s="29">
        <v>1966028</v>
      </c>
      <c r="G428" s="29">
        <v>2587468</v>
      </c>
      <c r="H428" s="29">
        <v>2739372</v>
      </c>
      <c r="I428" s="679">
        <f t="shared" ref="I428:I436" si="22">F428/$F$437</f>
        <v>2.298279019583643E-2</v>
      </c>
    </row>
    <row r="429" spans="1:9" x14ac:dyDescent="0.2">
      <c r="A429" s="734" t="s">
        <v>3573</v>
      </c>
      <c r="B429" s="29">
        <v>0</v>
      </c>
      <c r="C429" s="29">
        <v>0</v>
      </c>
      <c r="D429" s="29">
        <v>0</v>
      </c>
      <c r="E429" s="29">
        <v>67014</v>
      </c>
      <c r="F429" s="29">
        <v>216573.37599999999</v>
      </c>
      <c r="G429" s="29">
        <v>233542.55856</v>
      </c>
      <c r="H429" s="29">
        <v>251849.7720736</v>
      </c>
      <c r="I429" s="679">
        <f t="shared" si="22"/>
        <v>2.5317342696095867E-3</v>
      </c>
    </row>
    <row r="430" spans="1:9" x14ac:dyDescent="0.2">
      <c r="A430" s="734" t="s">
        <v>3570</v>
      </c>
      <c r="B430" s="29">
        <v>9291779</v>
      </c>
      <c r="C430" s="29">
        <v>5688047</v>
      </c>
      <c r="D430" s="29">
        <v>6170047</v>
      </c>
      <c r="E430" s="29">
        <v>8300852</v>
      </c>
      <c r="F430" s="29">
        <v>7350021</v>
      </c>
      <c r="G430" s="29">
        <v>7843241</v>
      </c>
      <c r="H430" s="29">
        <v>8402923</v>
      </c>
      <c r="I430" s="679">
        <f t="shared" si="22"/>
        <v>8.5921457160321152E-2</v>
      </c>
    </row>
    <row r="431" spans="1:9" x14ac:dyDescent="0.2">
      <c r="A431" s="734" t="s">
        <v>1832</v>
      </c>
      <c r="B431" s="29">
        <v>6305723</v>
      </c>
      <c r="C431" s="29">
        <v>8078420</v>
      </c>
      <c r="D431" s="29">
        <v>9848420</v>
      </c>
      <c r="E431" s="29">
        <v>9164863.8999999985</v>
      </c>
      <c r="F431" s="29">
        <v>11113564</v>
      </c>
      <c r="G431" s="29">
        <v>11875027</v>
      </c>
      <c r="H431" s="29">
        <v>12691601</v>
      </c>
      <c r="I431" s="679">
        <f t="shared" si="22"/>
        <v>0.12991712719249202</v>
      </c>
    </row>
    <row r="432" spans="1:9" x14ac:dyDescent="0.2">
      <c r="A432" s="734" t="s">
        <v>3568</v>
      </c>
      <c r="B432" s="29">
        <v>352452.76</v>
      </c>
      <c r="C432" s="29">
        <v>793081</v>
      </c>
      <c r="D432" s="29">
        <v>943081</v>
      </c>
      <c r="E432" s="29">
        <v>891115.2</v>
      </c>
      <c r="F432" s="29">
        <v>1222247</v>
      </c>
      <c r="G432" s="29">
        <v>1312114</v>
      </c>
      <c r="H432" s="29">
        <v>1408772</v>
      </c>
      <c r="I432" s="679">
        <f t="shared" si="22"/>
        <v>1.4288019483186653E-2</v>
      </c>
    </row>
    <row r="433" spans="1:10" x14ac:dyDescent="0.2">
      <c r="A433" s="734" t="s">
        <v>1830</v>
      </c>
      <c r="B433" s="29">
        <v>7474715</v>
      </c>
      <c r="C433" s="29">
        <v>7391984</v>
      </c>
      <c r="D433" s="29">
        <v>7291984</v>
      </c>
      <c r="E433" s="29">
        <v>5509267.1999999993</v>
      </c>
      <c r="F433" s="29">
        <v>8272033</v>
      </c>
      <c r="G433" s="29">
        <v>8937360</v>
      </c>
      <c r="H433" s="29">
        <v>9682213</v>
      </c>
      <c r="I433" s="679">
        <f t="shared" si="22"/>
        <v>9.669974127125118E-2</v>
      </c>
    </row>
    <row r="434" spans="1:10" x14ac:dyDescent="0.2">
      <c r="A434" s="734" t="s">
        <v>3571</v>
      </c>
      <c r="B434" s="29">
        <v>16249287</v>
      </c>
      <c r="C434" s="29">
        <v>22400502</v>
      </c>
      <c r="D434" s="29">
        <v>20551125</v>
      </c>
      <c r="E434" s="29">
        <v>20182982.800000001</v>
      </c>
      <c r="F434" s="29">
        <v>45016728</v>
      </c>
      <c r="G434" s="29">
        <v>48975927</v>
      </c>
      <c r="H434" s="29">
        <v>54691957</v>
      </c>
      <c r="I434" s="679">
        <f t="shared" si="22"/>
        <v>0.52624378438508268</v>
      </c>
    </row>
    <row r="435" spans="1:10" x14ac:dyDescent="0.2">
      <c r="A435" s="734" t="s">
        <v>3574</v>
      </c>
      <c r="B435" s="29">
        <v>318370</v>
      </c>
      <c r="C435" s="29">
        <v>471770</v>
      </c>
      <c r="D435" s="29">
        <v>471770</v>
      </c>
      <c r="E435" s="29">
        <v>633386.4</v>
      </c>
      <c r="F435" s="29">
        <v>127360</v>
      </c>
      <c r="G435" s="29">
        <v>136805</v>
      </c>
      <c r="H435" s="29">
        <v>146965</v>
      </c>
      <c r="I435" s="679">
        <f t="shared" si="22"/>
        <v>1.4888334038689823E-3</v>
      </c>
    </row>
    <row r="436" spans="1:10" ht="13.5" thickBot="1" x14ac:dyDescent="0.25">
      <c r="A436" s="735" t="s">
        <v>444</v>
      </c>
      <c r="B436" s="31">
        <v>7094443</v>
      </c>
      <c r="C436" s="31">
        <v>6930726</v>
      </c>
      <c r="D436" s="31">
        <v>6930726</v>
      </c>
      <c r="E436" s="31">
        <v>5338705.2</v>
      </c>
      <c r="F436" s="31">
        <v>8562718</v>
      </c>
      <c r="G436" s="31">
        <v>9006002</v>
      </c>
      <c r="H436" s="31">
        <v>9734985</v>
      </c>
      <c r="I436" s="708">
        <f t="shared" si="22"/>
        <v>0.10009783751813917</v>
      </c>
    </row>
    <row r="437" spans="1:10" x14ac:dyDescent="0.2">
      <c r="A437" s="33" t="s">
        <v>4137</v>
      </c>
      <c r="B437" s="690">
        <f>SUM(B427:B436)</f>
        <v>48265681.760000005</v>
      </c>
      <c r="C437" s="690">
        <f t="shared" ref="C437:H437" si="23">SUM(C427:C436)</f>
        <v>54209718</v>
      </c>
      <c r="D437" s="690">
        <f t="shared" si="23"/>
        <v>54612341</v>
      </c>
      <c r="E437" s="690">
        <f t="shared" si="23"/>
        <v>51019121.5</v>
      </c>
      <c r="F437" s="690">
        <f t="shared" si="23"/>
        <v>85543486.376000002</v>
      </c>
      <c r="G437" s="690">
        <f t="shared" si="23"/>
        <v>92736915.558559999</v>
      </c>
      <c r="H437" s="690">
        <f t="shared" si="23"/>
        <v>101723790.7720736</v>
      </c>
      <c r="I437" s="736">
        <f>SUM(I427:I436)</f>
        <v>1</v>
      </c>
    </row>
    <row r="440" spans="1:10" x14ac:dyDescent="0.2">
      <c r="A440" s="757" t="s">
        <v>4060</v>
      </c>
      <c r="B440" s="757"/>
      <c r="C440" s="757"/>
      <c r="D440" s="757"/>
      <c r="E440" s="757"/>
      <c r="F440" s="757"/>
      <c r="G440" s="757"/>
      <c r="H440" s="757"/>
      <c r="I440" s="757"/>
      <c r="J440" s="757"/>
    </row>
    <row r="441" spans="1:10" ht="15.75" x14ac:dyDescent="0.25">
      <c r="A441" s="754" t="s">
        <v>52</v>
      </c>
      <c r="B441" s="754"/>
      <c r="C441" s="754"/>
      <c r="D441" s="754"/>
      <c r="E441" s="754"/>
      <c r="F441" s="754"/>
      <c r="G441" s="754"/>
      <c r="H441" s="754"/>
      <c r="I441" s="754"/>
      <c r="J441" s="754"/>
    </row>
    <row r="443" spans="1:10" x14ac:dyDescent="0.2">
      <c r="A443" s="5" t="s">
        <v>53</v>
      </c>
    </row>
    <row r="444" spans="1:10" ht="13.5" thickBot="1" x14ac:dyDescent="0.25"/>
    <row r="445" spans="1:10" x14ac:dyDescent="0.2">
      <c r="A445" s="464"/>
      <c r="B445" s="17" t="s">
        <v>54</v>
      </c>
      <c r="C445" s="17" t="s">
        <v>2970</v>
      </c>
      <c r="D445" s="18" t="s">
        <v>2973</v>
      </c>
      <c r="E445" s="17" t="s">
        <v>2971</v>
      </c>
      <c r="F445" s="18" t="s">
        <v>2974</v>
      </c>
      <c r="G445" s="19" t="s">
        <v>2974</v>
      </c>
      <c r="H445" s="465" t="s">
        <v>2974</v>
      </c>
      <c r="I445" s="465"/>
      <c r="J445" s="14"/>
    </row>
    <row r="446" spans="1:10" x14ac:dyDescent="0.2">
      <c r="A446" s="466"/>
      <c r="B446" s="20" t="s">
        <v>55</v>
      </c>
      <c r="C446" s="20" t="s">
        <v>468</v>
      </c>
      <c r="D446" s="21" t="s">
        <v>468</v>
      </c>
      <c r="E446" s="20" t="s">
        <v>2972</v>
      </c>
      <c r="F446" s="21" t="s">
        <v>468</v>
      </c>
      <c r="G446" s="22" t="s">
        <v>2976</v>
      </c>
      <c r="H446" s="467" t="s">
        <v>2977</v>
      </c>
      <c r="I446" s="467" t="s">
        <v>56</v>
      </c>
      <c r="J446" s="698"/>
    </row>
    <row r="447" spans="1:10" ht="13.5" thickBot="1" x14ac:dyDescent="0.25">
      <c r="A447" s="468" t="s">
        <v>470</v>
      </c>
      <c r="B447" s="23" t="s">
        <v>57</v>
      </c>
      <c r="C447" s="23" t="s">
        <v>471</v>
      </c>
      <c r="D447" s="469" t="s">
        <v>471</v>
      </c>
      <c r="E447" s="23" t="s">
        <v>471</v>
      </c>
      <c r="F447" s="469" t="s">
        <v>58</v>
      </c>
      <c r="G447" s="470" t="s">
        <v>59</v>
      </c>
      <c r="H447" s="700" t="s">
        <v>2975</v>
      </c>
      <c r="I447" s="471" t="s">
        <v>60</v>
      </c>
      <c r="J447" s="14"/>
    </row>
    <row r="449" spans="1:9" x14ac:dyDescent="0.2">
      <c r="A449" s="5" t="s">
        <v>2896</v>
      </c>
    </row>
    <row r="450" spans="1:9" x14ac:dyDescent="0.2">
      <c r="A450" s="33" t="s">
        <v>2895</v>
      </c>
    </row>
    <row r="451" spans="1:9" x14ac:dyDescent="0.2">
      <c r="A451" s="737" t="s">
        <v>3569</v>
      </c>
      <c r="B451" s="29">
        <v>0</v>
      </c>
      <c r="C451" s="29">
        <v>0</v>
      </c>
      <c r="D451" s="29">
        <v>0</v>
      </c>
      <c r="E451" s="29">
        <v>0</v>
      </c>
      <c r="F451" s="29">
        <v>0</v>
      </c>
      <c r="G451" s="29">
        <v>0</v>
      </c>
      <c r="H451" s="29">
        <v>0</v>
      </c>
      <c r="I451" s="725">
        <f>F451/$F$461</f>
        <v>0</v>
      </c>
    </row>
    <row r="452" spans="1:9" x14ac:dyDescent="0.2">
      <c r="A452" s="737" t="s">
        <v>3572</v>
      </c>
      <c r="B452" s="29">
        <v>0</v>
      </c>
      <c r="C452" s="29">
        <v>2220000</v>
      </c>
      <c r="D452" s="29">
        <v>2220000</v>
      </c>
      <c r="E452" s="29">
        <v>0</v>
      </c>
      <c r="F452" s="29">
        <v>2220000</v>
      </c>
      <c r="G452" s="29">
        <v>0</v>
      </c>
      <c r="H452" s="29">
        <v>0</v>
      </c>
      <c r="I452" s="725">
        <f t="shared" ref="I452:I460" si="24">F452/$F$461</f>
        <v>2.9606636623665562E-2</v>
      </c>
    </row>
    <row r="453" spans="1:9" x14ac:dyDescent="0.2">
      <c r="A453" s="737" t="s">
        <v>3573</v>
      </c>
      <c r="B453" s="29">
        <v>0</v>
      </c>
      <c r="C453" s="29">
        <v>0</v>
      </c>
      <c r="D453" s="29">
        <v>0</v>
      </c>
      <c r="E453" s="29">
        <v>0</v>
      </c>
      <c r="F453" s="29">
        <v>1500000</v>
      </c>
      <c r="G453" s="29">
        <v>2000000</v>
      </c>
      <c r="H453" s="29">
        <v>0</v>
      </c>
      <c r="I453" s="725">
        <f t="shared" si="24"/>
        <v>2.0004484205179432E-2</v>
      </c>
    </row>
    <row r="454" spans="1:9" x14ac:dyDescent="0.2">
      <c r="A454" s="737" t="s">
        <v>3570</v>
      </c>
      <c r="B454" s="29">
        <v>67551</v>
      </c>
      <c r="C454" s="29">
        <v>0</v>
      </c>
      <c r="D454" s="29">
        <v>0</v>
      </c>
      <c r="E454" s="29">
        <v>0</v>
      </c>
      <c r="F454" s="29">
        <v>0</v>
      </c>
      <c r="G454" s="29">
        <v>0</v>
      </c>
      <c r="H454" s="29">
        <v>0</v>
      </c>
      <c r="I454" s="725">
        <f t="shared" si="24"/>
        <v>0</v>
      </c>
    </row>
    <row r="455" spans="1:9" x14ac:dyDescent="0.2">
      <c r="A455" s="737" t="s">
        <v>1832</v>
      </c>
      <c r="B455" s="29">
        <v>143213</v>
      </c>
      <c r="C455" s="29">
        <v>2093221</v>
      </c>
      <c r="D455" s="29">
        <v>2093221</v>
      </c>
      <c r="E455" s="29">
        <v>459351</v>
      </c>
      <c r="F455" s="29">
        <v>1633870</v>
      </c>
      <c r="G455" s="29">
        <v>0</v>
      </c>
      <c r="H455" s="29">
        <v>0</v>
      </c>
      <c r="I455" s="725">
        <f t="shared" si="24"/>
        <v>2.1789817738877681E-2</v>
      </c>
    </row>
    <row r="456" spans="1:9" x14ac:dyDescent="0.2">
      <c r="A456" s="737" t="s">
        <v>3568</v>
      </c>
      <c r="B456" s="29">
        <v>0</v>
      </c>
      <c r="C456" s="29">
        <v>0</v>
      </c>
      <c r="D456" s="29">
        <v>0</v>
      </c>
      <c r="E456" s="29">
        <v>0</v>
      </c>
      <c r="F456" s="29">
        <v>0</v>
      </c>
      <c r="G456" s="29">
        <v>0</v>
      </c>
      <c r="H456" s="29">
        <v>0</v>
      </c>
      <c r="I456" s="725">
        <f t="shared" si="24"/>
        <v>0</v>
      </c>
    </row>
    <row r="457" spans="1:9" x14ac:dyDescent="0.2">
      <c r="A457" s="737" t="s">
        <v>1830</v>
      </c>
      <c r="B457" s="29">
        <v>3777478</v>
      </c>
      <c r="C457" s="29">
        <v>4301271</v>
      </c>
      <c r="D457" s="29">
        <v>4301271</v>
      </c>
      <c r="E457" s="29">
        <v>8665901</v>
      </c>
      <c r="F457" s="29">
        <v>6892247</v>
      </c>
      <c r="G457" s="29">
        <v>0</v>
      </c>
      <c r="H457" s="29">
        <v>0</v>
      </c>
      <c r="I457" s="725">
        <f t="shared" si="24"/>
        <v>9.191723083313022E-2</v>
      </c>
    </row>
    <row r="458" spans="1:9" x14ac:dyDescent="0.2">
      <c r="A458" s="737" t="s">
        <v>3571</v>
      </c>
      <c r="B458" s="29">
        <v>228750</v>
      </c>
      <c r="C458" s="29">
        <v>3859915</v>
      </c>
      <c r="D458" s="29">
        <v>6657799</v>
      </c>
      <c r="E458" s="29">
        <v>1833729</v>
      </c>
      <c r="F458" s="29">
        <v>49824071</v>
      </c>
      <c r="G458" s="29">
        <v>300000</v>
      </c>
      <c r="H458" s="29">
        <v>500000</v>
      </c>
      <c r="I458" s="725">
        <f t="shared" si="24"/>
        <v>0.66446989423815905</v>
      </c>
    </row>
    <row r="459" spans="1:9" x14ac:dyDescent="0.2">
      <c r="A459" s="737" t="s">
        <v>3574</v>
      </c>
      <c r="B459" s="29">
        <v>0</v>
      </c>
      <c r="C459" s="29">
        <v>0</v>
      </c>
      <c r="D459" s="29">
        <v>0</v>
      </c>
      <c r="E459" s="29">
        <v>0</v>
      </c>
      <c r="F459" s="29">
        <v>0</v>
      </c>
      <c r="G459" s="29">
        <v>0</v>
      </c>
      <c r="H459" s="29">
        <v>0</v>
      </c>
      <c r="I459" s="725">
        <f t="shared" si="24"/>
        <v>0</v>
      </c>
    </row>
    <row r="460" spans="1:9" ht="13.5" thickBot="1" x14ac:dyDescent="0.25">
      <c r="A460" s="738" t="s">
        <v>444</v>
      </c>
      <c r="B460" s="31">
        <v>1722004</v>
      </c>
      <c r="C460" s="31">
        <v>11721818</v>
      </c>
      <c r="D460" s="31">
        <v>14555468</v>
      </c>
      <c r="E460" s="31">
        <v>906367</v>
      </c>
      <c r="F460" s="31">
        <v>12913000</v>
      </c>
      <c r="G460" s="31">
        <v>15531000</v>
      </c>
      <c r="H460" s="31">
        <v>18884000</v>
      </c>
      <c r="I460" s="708">
        <f t="shared" si="24"/>
        <v>0.172211936360988</v>
      </c>
    </row>
    <row r="461" spans="1:9" x14ac:dyDescent="0.2">
      <c r="A461" s="33" t="s">
        <v>4137</v>
      </c>
      <c r="B461" s="690">
        <f>SUM(B451:B460)</f>
        <v>5938996</v>
      </c>
      <c r="C461" s="690">
        <f t="shared" ref="C461:H461" si="25">SUM(C451:C460)</f>
        <v>24196225</v>
      </c>
      <c r="D461" s="690">
        <f t="shared" si="25"/>
        <v>29827759</v>
      </c>
      <c r="E461" s="690">
        <f t="shared" si="25"/>
        <v>11865348</v>
      </c>
      <c r="F461" s="690">
        <f t="shared" si="25"/>
        <v>74983188</v>
      </c>
      <c r="G461" s="690">
        <f t="shared" si="25"/>
        <v>17831000</v>
      </c>
      <c r="H461" s="690">
        <f t="shared" si="25"/>
        <v>19384000</v>
      </c>
      <c r="I461" s="736">
        <f>SUM(I451:I460)</f>
        <v>0.99999999999999989</v>
      </c>
    </row>
    <row r="463" spans="1:9" x14ac:dyDescent="0.2">
      <c r="A463" s="5" t="s">
        <v>2897</v>
      </c>
    </row>
    <row r="465" spans="1:8" x14ac:dyDescent="0.2">
      <c r="A465" s="33" t="s">
        <v>2898</v>
      </c>
    </row>
    <row r="467" spans="1:8" x14ac:dyDescent="0.2">
      <c r="A467" s="5" t="s">
        <v>2930</v>
      </c>
    </row>
    <row r="469" spans="1:8" ht="13.5" thickBot="1" x14ac:dyDescent="0.25">
      <c r="A469" s="740" t="s">
        <v>2900</v>
      </c>
      <c r="B469" s="740" t="s">
        <v>2901</v>
      </c>
      <c r="C469" s="30"/>
      <c r="D469" s="30"/>
      <c r="E469" s="30"/>
      <c r="F469" s="30"/>
      <c r="G469" s="741" t="s">
        <v>758</v>
      </c>
      <c r="H469" s="742" t="s">
        <v>2902</v>
      </c>
    </row>
    <row r="470" spans="1:8" x14ac:dyDescent="0.2">
      <c r="A470" s="743" t="s">
        <v>2903</v>
      </c>
      <c r="B470" s="743" t="s">
        <v>2904</v>
      </c>
      <c r="C470" s="24"/>
      <c r="D470" s="24"/>
      <c r="E470" s="24"/>
      <c r="F470" s="24"/>
      <c r="G470" s="744">
        <v>75000</v>
      </c>
      <c r="H470" s="745" t="s">
        <v>216</v>
      </c>
    </row>
    <row r="471" spans="1:8" x14ac:dyDescent="0.2">
      <c r="A471" s="743" t="s">
        <v>2903</v>
      </c>
      <c r="B471" s="743" t="s">
        <v>2931</v>
      </c>
      <c r="C471" s="743"/>
      <c r="D471" s="743"/>
      <c r="E471" s="24"/>
      <c r="F471" s="24"/>
      <c r="G471" s="744">
        <v>30000</v>
      </c>
      <c r="H471" s="745" t="s">
        <v>2905</v>
      </c>
    </row>
    <row r="472" spans="1:8" x14ac:dyDescent="0.2">
      <c r="A472" s="743" t="s">
        <v>2906</v>
      </c>
      <c r="B472" s="743" t="s">
        <v>2907</v>
      </c>
      <c r="C472" s="743"/>
      <c r="D472" s="743"/>
      <c r="E472" s="24"/>
      <c r="F472" s="24"/>
      <c r="G472" s="24"/>
      <c r="H472" s="24"/>
    </row>
    <row r="473" spans="1:8" x14ac:dyDescent="0.2">
      <c r="A473" s="743" t="s">
        <v>2908</v>
      </c>
      <c r="B473" s="743" t="s">
        <v>2909</v>
      </c>
      <c r="C473" s="743"/>
      <c r="D473" s="743"/>
      <c r="E473" s="24"/>
      <c r="F473" s="24"/>
      <c r="G473" s="24"/>
      <c r="H473" s="24"/>
    </row>
    <row r="474" spans="1:8" x14ac:dyDescent="0.2">
      <c r="A474" s="743" t="s">
        <v>2908</v>
      </c>
      <c r="B474" s="743" t="s">
        <v>2910</v>
      </c>
      <c r="C474" s="743"/>
      <c r="D474" s="743"/>
      <c r="E474" s="24"/>
      <c r="F474" s="24"/>
      <c r="G474" s="744">
        <f>4897017-200000</f>
        <v>4697017</v>
      </c>
      <c r="H474" s="745" t="s">
        <v>2911</v>
      </c>
    </row>
    <row r="475" spans="1:8" x14ac:dyDescent="0.2">
      <c r="A475" s="743" t="s">
        <v>2912</v>
      </c>
      <c r="B475" s="743" t="s">
        <v>2913</v>
      </c>
      <c r="C475" s="743"/>
      <c r="D475" s="743"/>
      <c r="E475" s="24"/>
      <c r="F475" s="24"/>
      <c r="G475" s="744">
        <v>200000</v>
      </c>
      <c r="H475" s="745" t="s">
        <v>216</v>
      </c>
    </row>
    <row r="476" spans="1:8" x14ac:dyDescent="0.2">
      <c r="A476" s="743" t="s">
        <v>2914</v>
      </c>
      <c r="B476" s="743" t="s">
        <v>2915</v>
      </c>
      <c r="C476" s="743"/>
      <c r="D476" s="743"/>
      <c r="E476" s="24"/>
      <c r="F476" s="24"/>
      <c r="G476" s="24"/>
      <c r="H476" s="24"/>
    </row>
    <row r="477" spans="1:8" x14ac:dyDescent="0.2">
      <c r="A477" s="743" t="s">
        <v>2914</v>
      </c>
      <c r="B477" s="743" t="s">
        <v>2916</v>
      </c>
      <c r="C477" s="743"/>
      <c r="D477" s="743"/>
      <c r="E477" s="24"/>
      <c r="F477" s="24"/>
      <c r="G477" s="674"/>
      <c r="H477" s="674"/>
    </row>
    <row r="478" spans="1:8" x14ac:dyDescent="0.2">
      <c r="A478" s="743" t="s">
        <v>2917</v>
      </c>
      <c r="B478" s="743" t="s">
        <v>2918</v>
      </c>
      <c r="C478" s="743"/>
      <c r="D478" s="743"/>
      <c r="E478" s="24"/>
      <c r="F478" s="24"/>
      <c r="G478" s="24"/>
      <c r="H478" s="24"/>
    </row>
    <row r="479" spans="1:8" x14ac:dyDescent="0.2">
      <c r="A479" s="739"/>
      <c r="B479" s="739"/>
      <c r="C479" s="739"/>
      <c r="D479" s="739"/>
      <c r="E479" s="24"/>
      <c r="F479" s="24"/>
      <c r="G479" s="24"/>
      <c r="H479" s="24"/>
    </row>
    <row r="480" spans="1:8" x14ac:dyDescent="0.2">
      <c r="A480" s="739" t="s">
        <v>2935</v>
      </c>
      <c r="B480" s="743"/>
      <c r="C480" s="743"/>
      <c r="D480" s="743"/>
      <c r="E480" s="86"/>
      <c r="F480" s="86"/>
      <c r="G480" s="86"/>
      <c r="H480" s="86"/>
    </row>
    <row r="481" spans="1:10" x14ac:dyDescent="0.2">
      <c r="A481" s="743" t="s">
        <v>3578</v>
      </c>
      <c r="B481" s="743" t="s">
        <v>2919</v>
      </c>
      <c r="C481" s="674"/>
      <c r="D481" s="743" t="s">
        <v>2920</v>
      </c>
      <c r="E481" s="86"/>
      <c r="F481" s="86"/>
      <c r="G481" s="86"/>
      <c r="H481" s="86"/>
    </row>
    <row r="482" spans="1:10" x14ac:dyDescent="0.2">
      <c r="A482" s="743" t="s">
        <v>2921</v>
      </c>
      <c r="B482" s="743" t="s">
        <v>2922</v>
      </c>
      <c r="C482" s="674"/>
      <c r="D482" s="743" t="s">
        <v>2923</v>
      </c>
      <c r="E482" s="24"/>
      <c r="F482" s="24"/>
      <c r="G482" s="24"/>
      <c r="H482" s="24"/>
    </row>
    <row r="483" spans="1:10" x14ac:dyDescent="0.2">
      <c r="A483" s="743" t="s">
        <v>2924</v>
      </c>
      <c r="B483" s="743" t="s">
        <v>2925</v>
      </c>
      <c r="C483" s="674"/>
      <c r="D483" s="743" t="s">
        <v>2926</v>
      </c>
      <c r="E483" s="86"/>
      <c r="F483" s="86"/>
      <c r="G483" s="86"/>
      <c r="H483" s="86"/>
    </row>
    <row r="484" spans="1:10" x14ac:dyDescent="0.2">
      <c r="A484" s="743" t="s">
        <v>2927</v>
      </c>
      <c r="B484" s="743" t="s">
        <v>2928</v>
      </c>
      <c r="C484" s="674"/>
      <c r="D484" s="743" t="s">
        <v>2929</v>
      </c>
      <c r="E484" s="24"/>
      <c r="F484" s="24"/>
      <c r="G484" s="24"/>
      <c r="H484" s="24"/>
    </row>
    <row r="485" spans="1:10" x14ac:dyDescent="0.2">
      <c r="A485" s="757" t="s">
        <v>4064</v>
      </c>
      <c r="B485" s="757"/>
      <c r="C485" s="757"/>
      <c r="D485" s="757"/>
      <c r="E485" s="757"/>
      <c r="F485" s="757"/>
      <c r="G485" s="757"/>
      <c r="H485" s="757"/>
      <c r="I485" s="757"/>
      <c r="J485" s="757"/>
    </row>
    <row r="486" spans="1:10" ht="15.75" x14ac:dyDescent="0.25">
      <c r="A486" s="754" t="s">
        <v>52</v>
      </c>
      <c r="B486" s="754"/>
      <c r="C486" s="754"/>
      <c r="D486" s="754"/>
      <c r="E486" s="754"/>
      <c r="F486" s="754"/>
      <c r="G486" s="754"/>
      <c r="H486" s="754"/>
      <c r="I486" s="754"/>
      <c r="J486" s="754"/>
    </row>
    <row r="488" spans="1:10" x14ac:dyDescent="0.2">
      <c r="A488" s="5" t="s">
        <v>53</v>
      </c>
    </row>
    <row r="490" spans="1:10" x14ac:dyDescent="0.2">
      <c r="A490" s="5" t="s">
        <v>2932</v>
      </c>
    </row>
    <row r="492" spans="1:10" x14ac:dyDescent="0.2">
      <c r="A492" s="701" t="s">
        <v>2933</v>
      </c>
    </row>
    <row r="494" spans="1:10" x14ac:dyDescent="0.2">
      <c r="A494" s="5" t="s">
        <v>2934</v>
      </c>
    </row>
    <row r="496" spans="1:10" x14ac:dyDescent="0.2">
      <c r="A496" s="33" t="s">
        <v>2898</v>
      </c>
    </row>
    <row r="498" spans="1:4" x14ac:dyDescent="0.2">
      <c r="A498" s="5" t="s">
        <v>2940</v>
      </c>
    </row>
    <row r="500" spans="1:4" x14ac:dyDescent="0.2">
      <c r="A500" s="24" t="s">
        <v>2936</v>
      </c>
    </row>
    <row r="501" spans="1:4" x14ac:dyDescent="0.2">
      <c r="A501" s="24"/>
    </row>
    <row r="502" spans="1:4" x14ac:dyDescent="0.2">
      <c r="A502" s="33" t="s">
        <v>2941</v>
      </c>
      <c r="B502" s="746" t="s">
        <v>2942</v>
      </c>
      <c r="D502" s="33" t="s">
        <v>4185</v>
      </c>
    </row>
    <row r="503" spans="1:4" x14ac:dyDescent="0.2">
      <c r="A503" s="24" t="s">
        <v>44</v>
      </c>
      <c r="B503" s="747">
        <v>1098</v>
      </c>
      <c r="D503" s="24" t="s">
        <v>2938</v>
      </c>
    </row>
    <row r="504" spans="1:4" x14ac:dyDescent="0.2">
      <c r="A504" s="24" t="s">
        <v>4125</v>
      </c>
      <c r="B504" s="747">
        <v>536</v>
      </c>
      <c r="D504" s="24" t="s">
        <v>2937</v>
      </c>
    </row>
    <row r="506" spans="1:4" x14ac:dyDescent="0.2">
      <c r="A506" s="701" t="s">
        <v>2939</v>
      </c>
    </row>
    <row r="508" spans="1:4" x14ac:dyDescent="0.2">
      <c r="A508" s="701" t="s">
        <v>2943</v>
      </c>
    </row>
    <row r="530" spans="1:10" x14ac:dyDescent="0.2">
      <c r="A530" s="757" t="s">
        <v>4073</v>
      </c>
      <c r="B530" s="757"/>
      <c r="C530" s="757"/>
      <c r="D530" s="757"/>
      <c r="E530" s="757"/>
      <c r="F530" s="757"/>
      <c r="G530" s="757"/>
      <c r="H530" s="757"/>
      <c r="I530" s="757"/>
      <c r="J530" s="757"/>
    </row>
  </sheetData>
  <mergeCells count="27">
    <mergeCell ref="A1:J1"/>
    <mergeCell ref="A44:J44"/>
    <mergeCell ref="A88:J88"/>
    <mergeCell ref="A45:J45"/>
    <mergeCell ref="A264:J264"/>
    <mergeCell ref="A265:J265"/>
    <mergeCell ref="A177:J177"/>
    <mergeCell ref="A308:J308"/>
    <mergeCell ref="A221:J221"/>
    <mergeCell ref="A89:J89"/>
    <mergeCell ref="A132:J132"/>
    <mergeCell ref="A133:J133"/>
    <mergeCell ref="A139:I139"/>
    <mergeCell ref="A183:I183"/>
    <mergeCell ref="A176:J176"/>
    <mergeCell ref="A227:I227"/>
    <mergeCell ref="A220:J220"/>
    <mergeCell ref="A485:J485"/>
    <mergeCell ref="A486:J486"/>
    <mergeCell ref="A530:J530"/>
    <mergeCell ref="A396:J396"/>
    <mergeCell ref="A309:J309"/>
    <mergeCell ref="A352:J352"/>
    <mergeCell ref="A440:J440"/>
    <mergeCell ref="A441:J441"/>
    <mergeCell ref="A397:J397"/>
    <mergeCell ref="A353:J353"/>
  </mergeCells>
  <phoneticPr fontId="20" type="noConversion"/>
  <pageMargins left="0.74803149606299213" right="0.74803149606299213" top="0.98425196850393704" bottom="0.98425196850393704" header="0.51181102362204722" footer="0.51181102362204722"/>
  <pageSetup scale="81" orientation="landscape" horizontalDpi="300" verticalDpi="300" r:id="rId1"/>
  <headerFooter alignWithMargins="0"/>
  <rowBreaks count="2" manualBreakCount="2">
    <brk id="440" max="9" man="1"/>
    <brk id="485"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6"/>
  <sheetViews>
    <sheetView view="pageBreakPreview" topLeftCell="A6" zoomScaleNormal="100" workbookViewId="0">
      <selection activeCell="F22" sqref="F22"/>
    </sheetView>
  </sheetViews>
  <sheetFormatPr defaultColWidth="10.6640625" defaultRowHeight="12.75" x14ac:dyDescent="0.2"/>
  <cols>
    <col min="1" max="1" width="57.83203125" style="180" customWidth="1"/>
    <col min="2" max="2" width="21.33203125" style="180" bestFit="1" customWidth="1"/>
    <col min="3" max="3" width="24" style="180" bestFit="1" customWidth="1"/>
    <col min="4" max="5" width="23.6640625" style="180" bestFit="1" customWidth="1"/>
    <col min="6" max="6" width="23.83203125" style="180" bestFit="1" customWidth="1"/>
    <col min="7" max="8" width="23.83203125" style="180" customWidth="1"/>
    <col min="9" max="16384" width="10.6640625" style="180"/>
  </cols>
  <sheetData>
    <row r="1" spans="1:8" x14ac:dyDescent="0.2">
      <c r="A1" s="172"/>
      <c r="B1" s="173" t="s">
        <v>1096</v>
      </c>
      <c r="C1" s="174" t="s">
        <v>1097</v>
      </c>
      <c r="D1" s="175"/>
      <c r="E1" s="176"/>
      <c r="F1" s="177" t="s">
        <v>1098</v>
      </c>
      <c r="G1" s="178"/>
      <c r="H1" s="179"/>
    </row>
    <row r="2" spans="1:8" x14ac:dyDescent="0.2">
      <c r="A2" s="181" t="s">
        <v>1099</v>
      </c>
      <c r="B2" s="182" t="s">
        <v>1103</v>
      </c>
      <c r="C2" s="183" t="s">
        <v>4093</v>
      </c>
      <c r="D2" s="184"/>
      <c r="E2" s="185"/>
      <c r="F2" s="186" t="s">
        <v>1100</v>
      </c>
      <c r="G2" s="181" t="s">
        <v>1101</v>
      </c>
      <c r="H2" s="181" t="s">
        <v>1102</v>
      </c>
    </row>
    <row r="3" spans="1:8" x14ac:dyDescent="0.2">
      <c r="A3" s="181"/>
      <c r="B3" s="187"/>
      <c r="C3" s="188"/>
      <c r="D3" s="189"/>
      <c r="E3" s="190"/>
      <c r="F3" s="191" t="s">
        <v>4094</v>
      </c>
      <c r="G3" s="191" t="s">
        <v>4095</v>
      </c>
      <c r="H3" s="191" t="s">
        <v>4096</v>
      </c>
    </row>
    <row r="4" spans="1:8" x14ac:dyDescent="0.2">
      <c r="A4" s="181" t="s">
        <v>4136</v>
      </c>
      <c r="B4" s="192" t="s">
        <v>1104</v>
      </c>
      <c r="C4" s="173" t="s">
        <v>1105</v>
      </c>
      <c r="D4" s="173" t="s">
        <v>1106</v>
      </c>
      <c r="E4" s="193" t="s">
        <v>1107</v>
      </c>
      <c r="F4" s="193" t="s">
        <v>1108</v>
      </c>
      <c r="G4" s="193" t="s">
        <v>1108</v>
      </c>
      <c r="H4" s="193" t="s">
        <v>1108</v>
      </c>
    </row>
    <row r="5" spans="1:8" x14ac:dyDescent="0.2">
      <c r="A5" s="181"/>
      <c r="B5" s="194" t="s">
        <v>1109</v>
      </c>
      <c r="C5" s="181" t="s">
        <v>1109</v>
      </c>
      <c r="D5" s="181" t="s">
        <v>1109</v>
      </c>
      <c r="E5" s="181" t="s">
        <v>1109</v>
      </c>
      <c r="F5" s="181" t="s">
        <v>1109</v>
      </c>
      <c r="G5" s="181" t="s">
        <v>1109</v>
      </c>
      <c r="H5" s="181" t="s">
        <v>1109</v>
      </c>
    </row>
    <row r="6" spans="1:8" x14ac:dyDescent="0.2">
      <c r="A6" s="195"/>
      <c r="B6" s="196" t="s">
        <v>1110</v>
      </c>
      <c r="C6" s="197" t="s">
        <v>1111</v>
      </c>
      <c r="D6" s="197" t="s">
        <v>1112</v>
      </c>
      <c r="E6" s="197" t="s">
        <v>1113</v>
      </c>
      <c r="F6" s="197" t="s">
        <v>1114</v>
      </c>
      <c r="G6" s="198" t="s">
        <v>1115</v>
      </c>
      <c r="H6" s="198" t="s">
        <v>1116</v>
      </c>
    </row>
    <row r="7" spans="1:8" x14ac:dyDescent="0.2">
      <c r="A7" s="199" t="s">
        <v>1117</v>
      </c>
      <c r="B7" s="181"/>
      <c r="C7" s="181"/>
      <c r="D7" s="181"/>
      <c r="E7" s="181"/>
      <c r="F7" s="181"/>
      <c r="G7" s="181"/>
      <c r="H7" s="181"/>
    </row>
    <row r="8" spans="1:8" x14ac:dyDescent="0.2">
      <c r="A8" s="200"/>
      <c r="B8" s="181"/>
      <c r="C8" s="181"/>
      <c r="D8" s="181"/>
      <c r="E8" s="181"/>
      <c r="F8" s="181"/>
      <c r="G8" s="181"/>
      <c r="H8" s="181"/>
    </row>
    <row r="9" spans="1:8" x14ac:dyDescent="0.2">
      <c r="A9" s="201" t="s">
        <v>1118</v>
      </c>
      <c r="B9" s="208">
        <f>'OPEX_ Bdgt_F'!C3115</f>
        <v>5319008</v>
      </c>
      <c r="C9" s="208">
        <f>'OPEX_ Bdgt_F'!D3115</f>
        <v>6246480</v>
      </c>
      <c r="D9" s="208">
        <f>'OPEX_ Bdgt_F'!E3115</f>
        <v>6246480</v>
      </c>
      <c r="E9" s="208">
        <f>'OPEX_ Bdgt_F'!G3115</f>
        <v>7955958.1600000001</v>
      </c>
      <c r="F9" s="208">
        <f>'OPEX_ Bdgt_F'!H3115</f>
        <v>10383648</v>
      </c>
      <c r="G9" s="208">
        <f>'OPEX_ Bdgt_F'!I3115</f>
        <v>11006667</v>
      </c>
      <c r="H9" s="208">
        <f>'OPEX_ Bdgt_F'!J3115</f>
        <v>11667065</v>
      </c>
    </row>
    <row r="10" spans="1:8" x14ac:dyDescent="0.2">
      <c r="A10" s="201" t="s">
        <v>1119</v>
      </c>
      <c r="B10" s="208">
        <f>'OPEX_ Bdgt_F'!C3117</f>
        <v>175821</v>
      </c>
      <c r="C10" s="208">
        <f>'OPEX_ Bdgt_F'!D3117</f>
        <v>170100</v>
      </c>
      <c r="D10" s="208">
        <f>'OPEX_ Bdgt_F'!E3117</f>
        <v>170100</v>
      </c>
      <c r="E10" s="208">
        <f>'OPEX_ Bdgt_F'!G3117</f>
        <v>223906.80000000002</v>
      </c>
      <c r="F10" s="208">
        <f>'OPEX_ Bdgt_F'!H3117</f>
        <v>311509</v>
      </c>
      <c r="G10" s="208">
        <f>'OPEX_ Bdgt_F'!I3117</f>
        <v>330200</v>
      </c>
      <c r="H10" s="208">
        <f>'OPEX_ Bdgt_F'!J3117</f>
        <v>350012</v>
      </c>
    </row>
    <row r="11" spans="1:8" x14ac:dyDescent="0.2">
      <c r="A11" s="202" t="s">
        <v>1120</v>
      </c>
      <c r="B11" s="208">
        <f>'OPEX_ Bdgt_F'!C2898</f>
        <v>0</v>
      </c>
      <c r="C11" s="208">
        <f>'OPEX_ Bdgt_F'!D2898</f>
        <v>0</v>
      </c>
      <c r="D11" s="208">
        <f>'OPEX_ Bdgt_F'!E2898</f>
        <v>0</v>
      </c>
      <c r="E11" s="208">
        <f>'OPEX_ Bdgt_F'!G2898</f>
        <v>0</v>
      </c>
      <c r="F11" s="208">
        <f>'OPEX_ Bdgt_F'!H2898</f>
        <v>15465206</v>
      </c>
      <c r="G11" s="208">
        <f>'OPEX_ Bdgt_F'!I2898</f>
        <v>19455229</v>
      </c>
      <c r="H11" s="208">
        <f>'OPEX_ Bdgt_F'!J2898</f>
        <v>24494134</v>
      </c>
    </row>
    <row r="12" spans="1:8" x14ac:dyDescent="0.2">
      <c r="A12" s="202" t="s">
        <v>1121</v>
      </c>
      <c r="B12" s="208">
        <f>'OPEX_ Bdgt_F'!C2748</f>
        <v>3529338</v>
      </c>
      <c r="C12" s="208">
        <f>'OPEX_ Bdgt_F'!D2748</f>
        <v>9633667</v>
      </c>
      <c r="D12" s="208">
        <f>'OPEX_ Bdgt_F'!E2748</f>
        <v>9633667</v>
      </c>
      <c r="E12" s="208">
        <f>'OPEX_ Bdgt_F'!G2748</f>
        <v>5457608.4000000004</v>
      </c>
      <c r="F12" s="208">
        <f>'OPEX_ Bdgt_F'!H2748</f>
        <v>8814684</v>
      </c>
      <c r="G12" s="208">
        <f>'OPEX_ Bdgt_F'!I2748</f>
        <v>10136887</v>
      </c>
      <c r="H12" s="208">
        <f>'OPEX_ Bdgt_F'!J2748</f>
        <v>11657420</v>
      </c>
    </row>
    <row r="13" spans="1:8" x14ac:dyDescent="0.2">
      <c r="A13" s="202" t="s">
        <v>1122</v>
      </c>
      <c r="B13" s="208">
        <f>'OPEX_ Bdgt_F'!C2453</f>
        <v>3471379</v>
      </c>
      <c r="C13" s="208">
        <f>'OPEX_ Bdgt_F'!D2453</f>
        <v>4737202</v>
      </c>
      <c r="D13" s="208">
        <f>'OPEX_ Bdgt_F'!E2453</f>
        <v>4737202</v>
      </c>
      <c r="E13" s="208">
        <f>'OPEX_ Bdgt_F'!G2453</f>
        <v>4677733.1999999993</v>
      </c>
      <c r="F13" s="208">
        <f>'OPEX_ Bdgt_F'!H2453</f>
        <v>5128704</v>
      </c>
      <c r="G13" s="208">
        <f>'OPEX_ Bdgt_F'!I2453</f>
        <v>5898010</v>
      </c>
      <c r="H13" s="208">
        <f>'OPEX_ Bdgt_F'!J2453</f>
        <v>7233408</v>
      </c>
    </row>
    <row r="14" spans="1:8" x14ac:dyDescent="0.2">
      <c r="A14" s="202" t="s">
        <v>1123</v>
      </c>
      <c r="B14" s="208">
        <f>'OPEX_ Bdgt_F'!C2302</f>
        <v>3014546</v>
      </c>
      <c r="C14" s="208">
        <f>'OPEX_ Bdgt_F'!D2302</f>
        <v>3120604</v>
      </c>
      <c r="D14" s="208">
        <f>'OPEX_ Bdgt_F'!E2302</f>
        <v>3120604</v>
      </c>
      <c r="E14" s="208">
        <f>'OPEX_ Bdgt_F'!G2302</f>
        <v>3124473.5999999996</v>
      </c>
      <c r="F14" s="208">
        <f>'OPEX_ Bdgt_F'!H2302</f>
        <v>3458160</v>
      </c>
      <c r="G14" s="208">
        <f>'OPEX_ Bdgt_F'!I2302</f>
        <v>3976884</v>
      </c>
      <c r="H14" s="208">
        <f>'OPEX_ Bdgt_F'!J2302</f>
        <v>4573417</v>
      </c>
    </row>
    <row r="15" spans="1:8" x14ac:dyDescent="0.2">
      <c r="A15" s="210" t="s">
        <v>4360</v>
      </c>
      <c r="B15" s="208">
        <f>'OPEX_ Bdgt_F'!C3133</f>
        <v>632163</v>
      </c>
      <c r="C15" s="208">
        <f>'OPEX_ Bdgt_F'!D3133</f>
        <v>460917</v>
      </c>
      <c r="D15" s="208">
        <f>'OPEX_ Bdgt_F'!E3133</f>
        <v>1035517</v>
      </c>
      <c r="E15" s="208">
        <f>'OPEX_ Bdgt_F'!G3133</f>
        <v>800322</v>
      </c>
      <c r="F15" s="208">
        <f>'OPEX_ Bdgt_F'!H3133</f>
        <v>330511</v>
      </c>
      <c r="G15" s="208">
        <f>'OPEX_ Bdgt_F'!I3133</f>
        <v>350342</v>
      </c>
      <c r="H15" s="208">
        <f>'OPEX_ Bdgt_F'!J3133</f>
        <v>371361</v>
      </c>
    </row>
    <row r="16" spans="1:8" x14ac:dyDescent="0.2">
      <c r="A16" s="202" t="s">
        <v>1124</v>
      </c>
      <c r="B16" s="208">
        <f>'OPEX_ Bdgt_F'!C3121</f>
        <v>421958</v>
      </c>
      <c r="C16" s="208">
        <f>'OPEX_ Bdgt_F'!D3121</f>
        <v>332868</v>
      </c>
      <c r="D16" s="208">
        <f>'OPEX_ Bdgt_F'!E3121</f>
        <v>332868</v>
      </c>
      <c r="E16" s="208">
        <f>'OPEX_ Bdgt_F'!G3121</f>
        <v>463792.79999999993</v>
      </c>
      <c r="F16" s="208">
        <f>'OPEX_ Bdgt_F'!H3121</f>
        <v>511171</v>
      </c>
      <c r="G16" s="208">
        <f>'OPEX_ Bdgt_F'!I3121</f>
        <v>542416</v>
      </c>
      <c r="H16" s="208">
        <f>'OPEX_ Bdgt_F'!J3121</f>
        <v>575593</v>
      </c>
    </row>
    <row r="17" spans="1:8" x14ac:dyDescent="0.2">
      <c r="A17" s="202" t="s">
        <v>1125</v>
      </c>
      <c r="B17" s="208">
        <f>'OPEX_ Bdgt_F'!C3123</f>
        <v>76165</v>
      </c>
      <c r="C17" s="208">
        <f>'OPEX_ Bdgt_F'!D3123</f>
        <v>36100</v>
      </c>
      <c r="D17" s="208">
        <f>'OPEX_ Bdgt_F'!E3123</f>
        <v>36100</v>
      </c>
      <c r="E17" s="208">
        <f>'OPEX_ Bdgt_F'!G3123</f>
        <v>50349.599999999999</v>
      </c>
      <c r="F17" s="208">
        <f>'OPEX_ Bdgt_F'!H3123</f>
        <v>75300</v>
      </c>
      <c r="G17" s="208">
        <f>'OPEX_ Bdgt_F'!I3123</f>
        <v>75830</v>
      </c>
      <c r="H17" s="208">
        <f>'OPEX_ Bdgt_F'!J3123</f>
        <v>76413</v>
      </c>
    </row>
    <row r="18" spans="1:8" x14ac:dyDescent="0.2">
      <c r="A18" s="202" t="s">
        <v>1126</v>
      </c>
      <c r="B18" s="207">
        <v>0</v>
      </c>
      <c r="C18" s="208">
        <v>0</v>
      </c>
      <c r="D18" s="208">
        <v>0</v>
      </c>
      <c r="E18" s="208">
        <v>0</v>
      </c>
      <c r="F18" s="208">
        <v>0</v>
      </c>
      <c r="G18" s="208">
        <v>0</v>
      </c>
      <c r="H18" s="208">
        <v>0</v>
      </c>
    </row>
    <row r="19" spans="1:8" x14ac:dyDescent="0.2">
      <c r="A19" s="202" t="s">
        <v>1127</v>
      </c>
      <c r="B19" s="208">
        <f>'OPEX_ Bdgt_F'!C3125</f>
        <v>3158</v>
      </c>
      <c r="C19" s="208">
        <f>'OPEX_ Bdgt_F'!D3125</f>
        <v>4211</v>
      </c>
      <c r="D19" s="208">
        <f>'OPEX_ Bdgt_F'!E3125</f>
        <v>4211</v>
      </c>
      <c r="E19" s="208">
        <f>'OPEX_ Bdgt_F'!G3125</f>
        <v>5204</v>
      </c>
      <c r="F19" s="208">
        <f>'OPEX_ Bdgt_F'!H3125</f>
        <v>0</v>
      </c>
      <c r="G19" s="208">
        <f>'OPEX_ Bdgt_F'!I3125</f>
        <v>0</v>
      </c>
      <c r="H19" s="208">
        <f>'OPEX_ Bdgt_F'!J3125</f>
        <v>0</v>
      </c>
    </row>
    <row r="20" spans="1:8" x14ac:dyDescent="0.2">
      <c r="A20" s="202" t="s">
        <v>1128</v>
      </c>
      <c r="B20" s="208">
        <f>'OPEX_ Bdgt_F'!C3127</f>
        <v>1033960</v>
      </c>
      <c r="C20" s="208">
        <f>'OPEX_ Bdgt_F'!D3127</f>
        <v>1360885</v>
      </c>
      <c r="D20" s="208">
        <f>'OPEX_ Bdgt_F'!E3127</f>
        <v>1360885</v>
      </c>
      <c r="E20" s="208">
        <f>'OPEX_ Bdgt_F'!G3127</f>
        <v>1081886.3999999999</v>
      </c>
      <c r="F20" s="208">
        <f>'OPEX_ Bdgt_F'!H3127</f>
        <v>1100000</v>
      </c>
      <c r="G20" s="208">
        <f>'OPEX_ Bdgt_F'!I3127</f>
        <v>1166000</v>
      </c>
      <c r="H20" s="208">
        <f>'OPEX_ Bdgt_F'!J3127</f>
        <v>1235960</v>
      </c>
    </row>
    <row r="21" spans="1:8" x14ac:dyDescent="0.2">
      <c r="A21" s="210" t="s">
        <v>4097</v>
      </c>
      <c r="B21" s="208">
        <f>'OPEX_ Bdgt_F'!C3129</f>
        <v>24832097</v>
      </c>
      <c r="C21" s="208">
        <f>'OPEX_ Bdgt_F'!D3129</f>
        <v>32087000</v>
      </c>
      <c r="D21" s="208">
        <f>'OPEX_ Bdgt_F'!E3129</f>
        <v>32768000</v>
      </c>
      <c r="E21" s="208">
        <f>'OPEX_ Bdgt_F'!G3129</f>
        <v>32181000</v>
      </c>
      <c r="F21" s="208">
        <f>'OPEX_ Bdgt_F'!H3129</f>
        <v>40862000</v>
      </c>
      <c r="G21" s="208">
        <f>'OPEX_ Bdgt_F'!I3129</f>
        <v>46076000</v>
      </c>
      <c r="H21" s="208">
        <f>'OPEX_ Bdgt_F'!J3129</f>
        <v>50691000</v>
      </c>
    </row>
    <row r="22" spans="1:8" x14ac:dyDescent="0.2">
      <c r="A22" s="210" t="s">
        <v>4098</v>
      </c>
      <c r="B22" s="208">
        <f>'OPEX_ Bdgt_F'!C3131</f>
        <v>1352379</v>
      </c>
      <c r="C22" s="208">
        <f>'OPEX_ Bdgt_F'!D3131</f>
        <v>4115000</v>
      </c>
      <c r="D22" s="208">
        <f>'OPEX_ Bdgt_F'!E3131</f>
        <v>4331350</v>
      </c>
      <c r="E22" s="208">
        <f>'OPEX_ Bdgt_F'!G3131</f>
        <v>4281500</v>
      </c>
      <c r="F22" s="208">
        <f>'OPEX_ Bdgt_F'!H3131</f>
        <v>6087155</v>
      </c>
      <c r="G22" s="208">
        <f>'OPEX_ Bdgt_F'!I3131</f>
        <v>3850685</v>
      </c>
      <c r="H22" s="208">
        <f>'OPEX_ Bdgt_F'!J3131</f>
        <v>3983270</v>
      </c>
    </row>
    <row r="23" spans="1:8" x14ac:dyDescent="0.2">
      <c r="A23" s="210" t="s">
        <v>2695</v>
      </c>
      <c r="B23" s="208">
        <v>0</v>
      </c>
      <c r="C23" s="208">
        <v>0</v>
      </c>
      <c r="D23" s="208">
        <v>0</v>
      </c>
      <c r="E23" s="208">
        <f>'OPEX_ Bdgt_F'!G3141</f>
        <v>0</v>
      </c>
      <c r="F23" s="208">
        <f>'OPEX_ Bdgt_F'!H3141</f>
        <v>0</v>
      </c>
      <c r="G23" s="208">
        <f>'OPEX_ Bdgt_F'!I3141</f>
        <v>0</v>
      </c>
      <c r="H23" s="208">
        <f>'OPEX_ Bdgt_F'!J3141</f>
        <v>0</v>
      </c>
    </row>
    <row r="24" spans="1:8" x14ac:dyDescent="0.2">
      <c r="A24" s="212" t="s">
        <v>4361</v>
      </c>
      <c r="B24" s="208">
        <f>'OPEX_ Bdgt_F'!C3135+'OPEX_ Bdgt_F'!C3137</f>
        <v>-1992535</v>
      </c>
      <c r="C24" s="208">
        <f>'OPEX_ Bdgt_F'!D3135+'OPEX_ Bdgt_F'!D3137</f>
        <v>-4865086</v>
      </c>
      <c r="D24" s="208">
        <f>'OPEX_ Bdgt_F'!E3135+'OPEX_ Bdgt_F'!E3137</f>
        <v>-5721544</v>
      </c>
      <c r="E24" s="208">
        <f>'OPEX_ Bdgt_F'!G3135+'OPEX_ Bdgt_F'!G3137</f>
        <v>-2369424</v>
      </c>
      <c r="F24" s="208">
        <f>'OPEX_ Bdgt_F'!H3135+'OPEX_ Bdgt_F'!H3137</f>
        <v>-6130907</v>
      </c>
      <c r="G24" s="208">
        <f>'OPEX_ Bdgt_F'!I3135+'OPEX_ Bdgt_F'!I3137</f>
        <v>-7704489</v>
      </c>
      <c r="H24" s="208">
        <f>'OPEX_ Bdgt_F'!J3135+'OPEX_ Bdgt_F'!J3137</f>
        <v>-6700973</v>
      </c>
    </row>
    <row r="25" spans="1:8" x14ac:dyDescent="0.2">
      <c r="A25" s="202" t="s">
        <v>1129</v>
      </c>
      <c r="B25" s="207">
        <v>0</v>
      </c>
      <c r="C25" s="208">
        <v>0</v>
      </c>
      <c r="D25" s="208">
        <v>0</v>
      </c>
      <c r="E25" s="208">
        <v>0</v>
      </c>
      <c r="F25" s="208">
        <v>0</v>
      </c>
      <c r="G25" s="208">
        <v>0</v>
      </c>
      <c r="H25" s="208">
        <v>0</v>
      </c>
    </row>
    <row r="26" spans="1:8" x14ac:dyDescent="0.2">
      <c r="A26" s="203"/>
      <c r="B26" s="207"/>
      <c r="C26" s="208"/>
      <c r="D26" s="208"/>
      <c r="E26" s="208"/>
      <c r="F26" s="208"/>
      <c r="G26" s="208"/>
      <c r="H26" s="208"/>
    </row>
    <row r="27" spans="1:8" x14ac:dyDescent="0.2">
      <c r="A27" s="204" t="s">
        <v>1130</v>
      </c>
      <c r="B27" s="209">
        <f>SUM(B9:B25)</f>
        <v>41869437</v>
      </c>
      <c r="C27" s="209">
        <f t="shared" ref="C27:H27" si="0">SUM(C9:C25)</f>
        <v>57439948</v>
      </c>
      <c r="D27" s="209">
        <f t="shared" si="0"/>
        <v>58055440</v>
      </c>
      <c r="E27" s="209">
        <f t="shared" si="0"/>
        <v>57934310.959999993</v>
      </c>
      <c r="F27" s="209">
        <f t="shared" si="0"/>
        <v>86397141</v>
      </c>
      <c r="G27" s="209">
        <f t="shared" si="0"/>
        <v>95160661</v>
      </c>
      <c r="H27" s="209">
        <f t="shared" si="0"/>
        <v>110208080</v>
      </c>
    </row>
    <row r="29" spans="1:8" x14ac:dyDescent="0.2">
      <c r="A29" s="205" t="s">
        <v>1131</v>
      </c>
    </row>
    <row r="30" spans="1:8" x14ac:dyDescent="0.2">
      <c r="A30" s="211" t="s">
        <v>4099</v>
      </c>
    </row>
    <row r="31" spans="1:8" x14ac:dyDescent="0.2">
      <c r="A31" s="211" t="s">
        <v>4100</v>
      </c>
    </row>
    <row r="32" spans="1:8" x14ac:dyDescent="0.2">
      <c r="A32" s="211" t="s">
        <v>4101</v>
      </c>
    </row>
    <row r="33" spans="1:8" x14ac:dyDescent="0.2">
      <c r="A33" s="211" t="s">
        <v>4102</v>
      </c>
    </row>
    <row r="34" spans="1:8" x14ac:dyDescent="0.2">
      <c r="A34" s="211" t="s">
        <v>4103</v>
      </c>
    </row>
    <row r="35" spans="1:8" x14ac:dyDescent="0.2">
      <c r="A35" s="211" t="s">
        <v>4104</v>
      </c>
    </row>
    <row r="36" spans="1:8" x14ac:dyDescent="0.2">
      <c r="A36" s="211" t="s">
        <v>4359</v>
      </c>
    </row>
    <row r="38" spans="1:8" x14ac:dyDescent="0.2">
      <c r="A38" s="205" t="s">
        <v>1132</v>
      </c>
    </row>
    <row r="39" spans="1:8" x14ac:dyDescent="0.2">
      <c r="A39" s="206" t="s">
        <v>4173</v>
      </c>
    </row>
    <row r="40" spans="1:8" x14ac:dyDescent="0.2">
      <c r="A40" s="206" t="s">
        <v>4174</v>
      </c>
    </row>
    <row r="41" spans="1:8" x14ac:dyDescent="0.2">
      <c r="A41" s="206" t="s">
        <v>4089</v>
      </c>
    </row>
    <row r="42" spans="1:8" x14ac:dyDescent="0.2">
      <c r="A42" s="206" t="s">
        <v>4090</v>
      </c>
    </row>
    <row r="43" spans="1:8" x14ac:dyDescent="0.2">
      <c r="A43" s="206" t="s">
        <v>4092</v>
      </c>
    </row>
    <row r="44" spans="1:8" x14ac:dyDescent="0.2">
      <c r="A44" s="180" t="s">
        <v>4091</v>
      </c>
    </row>
    <row r="46" spans="1:8" x14ac:dyDescent="0.2">
      <c r="A46" s="760" t="s">
        <v>2981</v>
      </c>
      <c r="B46" s="760"/>
      <c r="C46" s="760"/>
      <c r="D46" s="760"/>
      <c r="E46" s="760"/>
      <c r="F46" s="760"/>
      <c r="G46" s="760"/>
      <c r="H46" s="760"/>
    </row>
  </sheetData>
  <mergeCells count="1">
    <mergeCell ref="A46:H46"/>
  </mergeCells>
  <phoneticPr fontId="3" type="noConversion"/>
  <pageMargins left="0.74803149606299213" right="0.74803149606299213" top="0.98425196850393704" bottom="0.98425196850393704" header="0.51181102362204722" footer="0.51181102362204722"/>
  <pageSetup paperSize="9" scale="7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3"/>
  <sheetViews>
    <sheetView view="pageBreakPreview" topLeftCell="B6" zoomScaleNormal="100" workbookViewId="0">
      <selection activeCell="H24" sqref="H24"/>
    </sheetView>
  </sheetViews>
  <sheetFormatPr defaultColWidth="10.6640625" defaultRowHeight="12.75" x14ac:dyDescent="0.2"/>
  <cols>
    <col min="1" max="1" width="57.83203125" style="180" customWidth="1"/>
    <col min="2" max="2" width="21.33203125" style="214" bestFit="1" customWidth="1"/>
    <col min="3" max="3" width="24" style="214" bestFit="1" customWidth="1"/>
    <col min="4" max="5" width="23.6640625" style="214" bestFit="1" customWidth="1"/>
    <col min="6" max="6" width="23.83203125" style="214" bestFit="1" customWidth="1"/>
    <col min="7" max="8" width="23.83203125" style="214" customWidth="1"/>
    <col min="9" max="9" width="10.6640625" style="180" customWidth="1"/>
    <col min="10" max="10" width="30.5" style="180" bestFit="1" customWidth="1"/>
    <col min="11" max="17" width="12.5" style="214" customWidth="1"/>
    <col min="18" max="16384" width="10.6640625" style="180"/>
  </cols>
  <sheetData>
    <row r="1" spans="1:17" x14ac:dyDescent="0.2">
      <c r="A1" s="213"/>
      <c r="B1" s="173" t="s">
        <v>1096</v>
      </c>
      <c r="C1" s="174" t="s">
        <v>1097</v>
      </c>
      <c r="D1" s="175"/>
      <c r="E1" s="176"/>
      <c r="F1" s="177" t="s">
        <v>1098</v>
      </c>
      <c r="G1" s="178"/>
      <c r="H1" s="179"/>
    </row>
    <row r="2" spans="1:17" x14ac:dyDescent="0.2">
      <c r="A2" s="181" t="s">
        <v>4362</v>
      </c>
      <c r="B2" s="182" t="s">
        <v>1103</v>
      </c>
      <c r="C2" s="183" t="s">
        <v>4093</v>
      </c>
      <c r="D2" s="184"/>
      <c r="E2" s="185"/>
      <c r="F2" s="186" t="s">
        <v>1100</v>
      </c>
      <c r="G2" s="181" t="s">
        <v>1101</v>
      </c>
      <c r="H2" s="181" t="s">
        <v>1102</v>
      </c>
    </row>
    <row r="3" spans="1:17" x14ac:dyDescent="0.2">
      <c r="A3" s="200"/>
      <c r="B3" s="187"/>
      <c r="C3" s="188"/>
      <c r="D3" s="189"/>
      <c r="E3" s="190"/>
      <c r="F3" s="191" t="s">
        <v>4094</v>
      </c>
      <c r="G3" s="191" t="s">
        <v>4095</v>
      </c>
      <c r="H3" s="191" t="s">
        <v>4096</v>
      </c>
    </row>
    <row r="4" spans="1:17" x14ac:dyDescent="0.2">
      <c r="A4" s="181" t="s">
        <v>4363</v>
      </c>
      <c r="B4" s="192" t="s">
        <v>1104</v>
      </c>
      <c r="C4" s="173" t="s">
        <v>1105</v>
      </c>
      <c r="D4" s="173" t="s">
        <v>1106</v>
      </c>
      <c r="E4" s="193" t="s">
        <v>1107</v>
      </c>
      <c r="F4" s="193" t="s">
        <v>1108</v>
      </c>
      <c r="G4" s="193" t="s">
        <v>1108</v>
      </c>
      <c r="H4" s="193" t="s">
        <v>1108</v>
      </c>
    </row>
    <row r="5" spans="1:17" x14ac:dyDescent="0.2">
      <c r="A5" s="200"/>
      <c r="B5" s="194" t="s">
        <v>1109</v>
      </c>
      <c r="C5" s="181" t="s">
        <v>1109</v>
      </c>
      <c r="D5" s="181" t="s">
        <v>1109</v>
      </c>
      <c r="E5" s="181" t="s">
        <v>1109</v>
      </c>
      <c r="F5" s="181" t="s">
        <v>1109</v>
      </c>
      <c r="G5" s="181" t="s">
        <v>1109</v>
      </c>
      <c r="H5" s="181" t="s">
        <v>1109</v>
      </c>
    </row>
    <row r="6" spans="1:17" x14ac:dyDescent="0.2">
      <c r="A6" s="195"/>
      <c r="B6" s="196" t="s">
        <v>1110</v>
      </c>
      <c r="C6" s="197" t="s">
        <v>1111</v>
      </c>
      <c r="D6" s="197" t="s">
        <v>1112</v>
      </c>
      <c r="E6" s="197" t="s">
        <v>1113</v>
      </c>
      <c r="F6" s="197" t="s">
        <v>1114</v>
      </c>
      <c r="G6" s="198" t="s">
        <v>1115</v>
      </c>
      <c r="H6" s="198" t="s">
        <v>1116</v>
      </c>
      <c r="J6" s="220"/>
    </row>
    <row r="7" spans="1:17" x14ac:dyDescent="0.2">
      <c r="A7" s="238"/>
      <c r="B7" s="230"/>
      <c r="C7" s="242"/>
      <c r="D7" s="230"/>
      <c r="E7" s="242"/>
      <c r="F7" s="230"/>
      <c r="G7" s="242"/>
      <c r="H7" s="242"/>
      <c r="K7" s="216"/>
      <c r="L7" s="217"/>
      <c r="M7" s="217"/>
      <c r="N7" s="216"/>
      <c r="O7" s="216"/>
      <c r="P7" s="216"/>
      <c r="Q7" s="216"/>
    </row>
    <row r="8" spans="1:17" x14ac:dyDescent="0.2">
      <c r="A8" s="218" t="s">
        <v>4371</v>
      </c>
      <c r="B8" s="240">
        <f>'S Table 2 - IDP Budget Opex_11'!C8+'S Table 2 - IDP Budget Opex_11'!C9+'S Table 2 - IDP Budget Opex_11'!C10+'S Table 2 - IDP Budget Opex_11'!C11+'S Table 2 - IDP Budget Opex_11'!C12+'S Table 2 - IDP Budget Opex_11'!C13</f>
        <v>4157649.76</v>
      </c>
      <c r="C8" s="243">
        <f>'S Table 2 - IDP Budget Opex_11'!D8+'S Table 2 - IDP Budget Opex_11'!D9+'S Table 2 - IDP Budget Opex_11'!D10+'S Table 2 - IDP Budget Opex_11'!D11+'S Table 2 - IDP Budget Opex_11'!D12+'S Table 2 - IDP Budget Opex_11'!D13</f>
        <v>7025016</v>
      </c>
      <c r="D8" s="240">
        <f>'S Table 2 - IDP Budget Opex_11'!E8+'S Table 2 - IDP Budget Opex_11'!E9+'S Table 2 - IDP Budget Opex_11'!E10+'S Table 2 - IDP Budget Opex_11'!E11+'S Table 2 - IDP Budget Opex_11'!E12+'S Table 2 - IDP Budget Opex_11'!E13</f>
        <v>7475016</v>
      </c>
      <c r="E8" s="243">
        <f>'S Table 2 - IDP Budget Opex_11'!F8+'S Table 2 - IDP Budget Opex_11'!F9+'S Table 2 - IDP Budget Opex_11'!F10+'S Table 2 - IDP Budget Opex_11'!F11+'S Table 2 - IDP Budget Opex_11'!F12+'S Table 2 - IDP Budget Opex_11'!F13</f>
        <v>5598481.9000000013</v>
      </c>
      <c r="F8" s="240">
        <f>'S Table 2 - IDP Budget Opex_11'!G8+'S Table 2 - IDP Budget Opex_11'!G9+'S Table 2 - IDP Budget Opex_11'!G10+'S Table 2 - IDP Budget Opex_11'!G11+'S Table 2 - IDP Budget Opex_11'!G12+'S Table 2 - IDP Budget Opex_11'!G13</f>
        <v>8941513</v>
      </c>
      <c r="G8" s="243">
        <f>'S Table 2 - IDP Budget Opex_11'!H8+'S Table 2 - IDP Budget Opex_11'!H9+'S Table 2 - IDP Budget Opex_11'!H10+'S Table 2 - IDP Budget Opex_11'!H11+'S Table 2 - IDP Budget Opex_11'!H12+'S Table 2 - IDP Budget Opex_11'!H13</f>
        <v>9591984</v>
      </c>
      <c r="H8" s="243">
        <f>'S Table 2 - IDP Budget Opex_11'!I8+'S Table 2 - IDP Budget Opex_11'!I9+'S Table 2 - IDP Budget Opex_11'!I10+'S Table 2 - IDP Budget Opex_11'!I11+'S Table 2 - IDP Budget Opex_11'!I12+'S Table 2 - IDP Budget Opex_11'!I13</f>
        <v>10318335</v>
      </c>
    </row>
    <row r="9" spans="1:17" x14ac:dyDescent="0.2">
      <c r="A9" s="201" t="s">
        <v>4372</v>
      </c>
      <c r="B9" s="240">
        <f>+'S Table 2 - IDP Budget Opex_11'!C14+'S Table 2 - IDP Budget Opex_11'!C15+'S Table 2 - IDP Budget Opex_11'!C16+'S Table 2 - IDP Budget Opex_11'!C17+'S Table 2 - IDP Budget Opex_11'!C18+'S Table 2 - IDP Budget Opex_11'!C19+'S Table 2 - IDP Budget Opex_11'!C20+'S Table 2 - IDP Budget Opex_11'!C21</f>
        <v>15555672</v>
      </c>
      <c r="C9" s="243">
        <f>+'S Table 2 - IDP Budget Opex_11'!D14+'S Table 2 - IDP Budget Opex_11'!D15+'S Table 2 - IDP Budget Opex_11'!D16+'S Table 2 - IDP Budget Opex_11'!D17+'S Table 2 - IDP Budget Opex_11'!D18+'S Table 2 - IDP Budget Opex_11'!D19+'S Table 2 - IDP Budget Opex_11'!D20+'S Table 2 - IDP Budget Opex_11'!D21</f>
        <v>15049532</v>
      </c>
      <c r="D9" s="240">
        <f>+'S Table 2 - IDP Budget Opex_11'!E14+'S Table 2 - IDP Budget Opex_11'!E15+'S Table 2 - IDP Budget Opex_11'!E16+'S Table 2 - IDP Budget Opex_11'!E17+'S Table 2 - IDP Budget Opex_11'!E18+'S Table 2 - IDP Budget Opex_11'!E19+'S Table 2 - IDP Budget Opex_11'!E20+'S Table 2 - IDP Budget Opex_11'!E21</f>
        <v>15901532</v>
      </c>
      <c r="E9" s="243">
        <f>+'S Table 2 - IDP Budget Opex_11'!F14+'S Table 2 - IDP Budget Opex_11'!F15+'S Table 2 - IDP Budget Opex_11'!F16+'S Table 2 - IDP Budget Opex_11'!F17+'S Table 2 - IDP Budget Opex_11'!F18+'S Table 2 - IDP Budget Opex_11'!F19+'S Table 2 - IDP Budget Opex_11'!F20+'S Table 2 - IDP Budget Opex_11'!F21</f>
        <v>17312548.799999997</v>
      </c>
      <c r="F9" s="240">
        <f>+'S Table 2 - IDP Budget Opex_11'!G14+'S Table 2 - IDP Budget Opex_11'!G15+'S Table 2 - IDP Budget Opex_11'!G16+'S Table 2 - IDP Budget Opex_11'!G17+'S Table 2 - IDP Budget Opex_11'!G18+'S Table 2 - IDP Budget Opex_11'!G19+'S Table 2 - IDP Budget Opex_11'!G20+'S Table 2 - IDP Budget Opex_11'!G21</f>
        <v>21068441</v>
      </c>
      <c r="G9" s="243">
        <f>+'S Table 2 - IDP Budget Opex_11'!H14+'S Table 2 - IDP Budget Opex_11'!H15+'S Table 2 - IDP Budget Opex_11'!H16+'S Table 2 - IDP Budget Opex_11'!H17+'S Table 2 - IDP Budget Opex_11'!H18+'S Table 2 - IDP Budget Opex_11'!H19+'S Table 2 - IDP Budget Opex_11'!H20+'S Table 2 - IDP Budget Opex_11'!H21</f>
        <v>21449825</v>
      </c>
      <c r="H9" s="243">
        <f>+'S Table 2 - IDP Budget Opex_11'!I14+'S Table 2 - IDP Budget Opex_11'!I15+'S Table 2 - IDP Budget Opex_11'!I16+'S Table 2 - IDP Budget Opex_11'!I17+'S Table 2 - IDP Budget Opex_11'!I18+'S Table 2 - IDP Budget Opex_11'!I19+'S Table 2 - IDP Budget Opex_11'!I20+'S Table 2 - IDP Budget Opex_11'!I21</f>
        <v>22732583</v>
      </c>
    </row>
    <row r="10" spans="1:17" x14ac:dyDescent="0.2">
      <c r="A10" s="218" t="s">
        <v>4373</v>
      </c>
      <c r="B10" s="240">
        <f>'S Table 2 - IDP Budget Opex_11'!C22</f>
        <v>467343</v>
      </c>
      <c r="C10" s="243">
        <f>'S Table 2 - IDP Budget Opex_11'!D22</f>
        <v>936532</v>
      </c>
      <c r="D10" s="240">
        <f>'S Table 2 - IDP Budget Opex_11'!E22</f>
        <v>1036532</v>
      </c>
      <c r="E10" s="243">
        <f>'S Table 2 - IDP Budget Opex_11'!F22</f>
        <v>526707.6</v>
      </c>
      <c r="F10" s="240">
        <f>'S Table 2 - IDP Budget Opex_11'!G22</f>
        <v>1966028</v>
      </c>
      <c r="G10" s="243">
        <f>'S Table 2 - IDP Budget Opex_11'!H22</f>
        <v>2587468</v>
      </c>
      <c r="H10" s="243">
        <f>'S Table 2 - IDP Budget Opex_11'!I22</f>
        <v>2739372</v>
      </c>
    </row>
    <row r="11" spans="1:17" x14ac:dyDescent="0.2">
      <c r="A11" s="218" t="s">
        <v>4374</v>
      </c>
      <c r="B11" s="232">
        <f>'S Table 2 - IDP Budget Opex_11'!C23</f>
        <v>0</v>
      </c>
      <c r="C11" s="219">
        <f>'S Table 2 - IDP Budget Opex_11'!D23</f>
        <v>0</v>
      </c>
      <c r="D11" s="232">
        <f>'S Table 2 - IDP Budget Opex_11'!E23</f>
        <v>0</v>
      </c>
      <c r="E11" s="219">
        <f>'S Table 2 - IDP Budget Opex_11'!F23</f>
        <v>67014</v>
      </c>
      <c r="F11" s="232">
        <f>'S Table 2 - IDP Budget Opex_11'!G23</f>
        <v>216573</v>
      </c>
      <c r="G11" s="219">
        <f>'S Table 2 - IDP Budget Opex_11'!H23</f>
        <v>233542</v>
      </c>
      <c r="H11" s="219">
        <f>'S Table 2 - IDP Budget Opex_11'!I23</f>
        <v>251849</v>
      </c>
    </row>
    <row r="12" spans="1:17" x14ac:dyDescent="0.2">
      <c r="A12" s="218" t="s">
        <v>4375</v>
      </c>
      <c r="B12" s="241">
        <f>'S Table 2 - IDP Budget Opex_11'!C24+'S Table 2 - IDP Budget Opex_11'!C25+'S Table 2 - IDP Budget Opex_11'!C26+'S Table 2 - IDP Budget Opex_11'!C27</f>
        <v>1720513</v>
      </c>
      <c r="C12" s="208">
        <f>'S Table 2 - IDP Budget Opex_11'!D24+'S Table 2 - IDP Budget Opex_11'!D25+'S Table 2 - IDP Budget Opex_11'!D26+'S Table 2 - IDP Budget Opex_11'!D27</f>
        <v>3667555</v>
      </c>
      <c r="D12" s="241">
        <f>'S Table 2 - IDP Budget Opex_11'!E24+'S Table 2 - IDP Budget Opex_11'!E25+'S Table 2 - IDP Budget Opex_11'!E26+'S Table 2 - IDP Budget Opex_11'!E27</f>
        <v>3067555</v>
      </c>
      <c r="E12" s="208">
        <f>'S Table 2 - IDP Budget Opex_11'!F24+'S Table 2 - IDP Budget Opex_11'!F25+'S Table 2 - IDP Budget Opex_11'!F26+'S Table 2 - IDP Budget Opex_11'!F27</f>
        <v>2305503.6</v>
      </c>
      <c r="F12" s="241">
        <f>'S Table 2 - IDP Budget Opex_11'!G24+'S Table 2 - IDP Budget Opex_11'!G25+'S Table 2 - IDP Budget Opex_11'!G26+'S Table 2 - IDP Budget Opex_11'!G27</f>
        <v>2951771</v>
      </c>
      <c r="G12" s="208">
        <f>'S Table 2 - IDP Budget Opex_11'!H24+'S Table 2 - IDP Budget Opex_11'!H25+'S Table 2 - IDP Budget Opex_11'!H26+'S Table 2 - IDP Budget Opex_11'!H27</f>
        <v>3164735</v>
      </c>
      <c r="H12" s="208">
        <f>'S Table 2 - IDP Budget Opex_11'!I24+'S Table 2 - IDP Budget Opex_11'!I25+'S Table 2 - IDP Budget Opex_11'!I26+'S Table 2 - IDP Budget Opex_11'!I27</f>
        <v>3393254</v>
      </c>
      <c r="I12" s="241"/>
    </row>
    <row r="13" spans="1:17" x14ac:dyDescent="0.2">
      <c r="A13" s="218" t="s">
        <v>4376</v>
      </c>
      <c r="B13" s="241">
        <f>'S Table 2 - IDP Budget Opex_11'!C28</f>
        <v>538459</v>
      </c>
      <c r="C13" s="208">
        <f>'S Table 2 - IDP Budget Opex_11'!D28</f>
        <v>546450</v>
      </c>
      <c r="D13" s="241">
        <f>'S Table 2 - IDP Budget Opex_11'!E28</f>
        <v>550765</v>
      </c>
      <c r="E13" s="208">
        <f>'S Table 2 - IDP Budget Opex_11'!F28</f>
        <v>454564.8000000001</v>
      </c>
      <c r="F13" s="241">
        <f>'S Table 2 - IDP Budget Opex_11'!G28</f>
        <v>864992</v>
      </c>
      <c r="G13" s="208">
        <f>'S Table 2 - IDP Budget Opex_11'!H28</f>
        <v>933759</v>
      </c>
      <c r="H13" s="208">
        <f>'S Table 2 - IDP Budget Opex_11'!I28</f>
        <v>1008000</v>
      </c>
    </row>
    <row r="14" spans="1:17" x14ac:dyDescent="0.2">
      <c r="A14" s="201" t="s">
        <v>4377</v>
      </c>
      <c r="B14" s="241">
        <f>'S Table 2 - IDP Budget Opex_11'!C29+'S Table 2 - IDP Budget Opex_11'!C30+'S Table 2 - IDP Budget Opex_11'!C31</f>
        <v>2806713</v>
      </c>
      <c r="C14" s="208">
        <f>'S Table 2 - IDP Budget Opex_11'!D29+'S Table 2 - IDP Budget Opex_11'!D30+'S Table 2 - IDP Budget Opex_11'!D31</f>
        <v>2485440</v>
      </c>
      <c r="D14" s="241">
        <f>'S Table 2 - IDP Budget Opex_11'!E29+'S Table 2 - IDP Budget Opex_11'!E30+'S Table 2 - IDP Budget Opex_11'!E31</f>
        <v>2335440</v>
      </c>
      <c r="E14" s="208">
        <f>'S Table 2 - IDP Budget Opex_11'!F29+'S Table 2 - IDP Budget Opex_11'!F30+'S Table 2 - IDP Budget Opex_11'!F31</f>
        <v>6564259.1999999993</v>
      </c>
      <c r="F14" s="241">
        <f>'S Table 2 - IDP Budget Opex_11'!G29+'S Table 2 - IDP Budget Opex_11'!G30+'S Table 2 - IDP Budget Opex_11'!G31</f>
        <v>2635680</v>
      </c>
      <c r="G14" s="208">
        <f>'S Table 2 - IDP Budget Opex_11'!H29+'S Table 2 - IDP Budget Opex_11'!H30+'S Table 2 - IDP Budget Opex_11'!H31</f>
        <v>2811797</v>
      </c>
      <c r="H14" s="208">
        <f>'S Table 2 - IDP Budget Opex_11'!I29+'S Table 2 - IDP Budget Opex_11'!I30+'S Table 2 - IDP Budget Opex_11'!I31</f>
        <v>2999965</v>
      </c>
      <c r="I14" s="241"/>
      <c r="J14" s="235"/>
    </row>
    <row r="15" spans="1:17" x14ac:dyDescent="0.2">
      <c r="A15" s="201" t="s">
        <v>4378</v>
      </c>
      <c r="B15" s="241">
        <f>'S Table 2 - IDP Budget Opex_11'!C32+'S Table 2 - IDP Budget Opex_11'!C33</f>
        <v>1202942</v>
      </c>
      <c r="C15" s="208">
        <f>'S Table 2 - IDP Budget Opex_11'!D32+'S Table 2 - IDP Budget Opex_11'!D33</f>
        <v>2240946</v>
      </c>
      <c r="D15" s="241">
        <f>'S Table 2 - IDP Budget Opex_11'!E32+'S Table 2 - IDP Budget Opex_11'!E33</f>
        <v>2240946</v>
      </c>
      <c r="E15" s="208">
        <f>'S Table 2 - IDP Budget Opex_11'!F32+'S Table 2 - IDP Budget Opex_11'!F33</f>
        <v>1359164.4000000001</v>
      </c>
      <c r="F15" s="241">
        <f>'S Table 2 - IDP Budget Opex_11'!G32+'S Table 2 - IDP Budget Opex_11'!G33</f>
        <v>3064690</v>
      </c>
      <c r="G15" s="208">
        <f>'S Table 2 - IDP Budget Opex_11'!H32+'S Table 2 - IDP Budget Opex_11'!H33</f>
        <v>3317579</v>
      </c>
      <c r="H15" s="208">
        <f>'S Table 2 - IDP Budget Opex_11'!I32+'S Table 2 - IDP Budget Opex_11'!I33</f>
        <v>3593454</v>
      </c>
    </row>
    <row r="16" spans="1:17" x14ac:dyDescent="0.2">
      <c r="A16" s="218" t="s">
        <v>4379</v>
      </c>
      <c r="B16" s="241">
        <f>'S Table 2 - IDP Budget Opex_11'!C34</f>
        <v>5178613</v>
      </c>
      <c r="C16" s="208">
        <f>'S Table 2 - IDP Budget Opex_11'!D34</f>
        <v>4761043</v>
      </c>
      <c r="D16" s="241">
        <f>'S Table 2 - IDP Budget Opex_11'!E34</f>
        <v>4761043</v>
      </c>
      <c r="E16" s="208">
        <f>'S Table 2 - IDP Budget Opex_11'!F34</f>
        <v>2717603.9999999995</v>
      </c>
      <c r="F16" s="241">
        <f>'S Table 2 - IDP Budget Opex_11'!G34</f>
        <v>7923143</v>
      </c>
      <c r="G16" s="208">
        <f>'S Table 2 - IDP Budget Opex_11'!H34</f>
        <v>8593247</v>
      </c>
      <c r="H16" s="208">
        <f>'S Table 2 - IDP Budget Opex_11'!I34</f>
        <v>9313912</v>
      </c>
    </row>
    <row r="17" spans="1:17" x14ac:dyDescent="0.2">
      <c r="A17" s="218" t="s">
        <v>4380</v>
      </c>
      <c r="B17" s="241">
        <f>'S Table 2 - IDP Budget Opex_11'!C35</f>
        <v>7474715</v>
      </c>
      <c r="C17" s="208">
        <f>'S Table 2 - IDP Budget Opex_11'!D35</f>
        <v>7391984</v>
      </c>
      <c r="D17" s="241">
        <f>'S Table 2 - IDP Budget Opex_11'!E35</f>
        <v>7291984</v>
      </c>
      <c r="E17" s="208">
        <f>'S Table 2 - IDP Budget Opex_11'!F35</f>
        <v>5509267.1999999993</v>
      </c>
      <c r="F17" s="241">
        <f>'S Table 2 - IDP Budget Opex_11'!G35</f>
        <v>8272033</v>
      </c>
      <c r="G17" s="208">
        <f>'S Table 2 - IDP Budget Opex_11'!H35</f>
        <v>8937360</v>
      </c>
      <c r="H17" s="208">
        <f>'S Table 2 - IDP Budget Opex_11'!I35</f>
        <v>9682213</v>
      </c>
    </row>
    <row r="18" spans="1:17" x14ac:dyDescent="0.2">
      <c r="A18" s="218" t="s">
        <v>4381</v>
      </c>
      <c r="B18" s="241">
        <f>'S Table 2 - IDP Budget Opex_11'!C36</f>
        <v>1994731</v>
      </c>
      <c r="C18" s="208">
        <f>'S Table 2 - IDP Budget Opex_11'!D36</f>
        <v>2686026</v>
      </c>
      <c r="D18" s="241">
        <f>'S Table 2 - IDP Budget Opex_11'!E36</f>
        <v>2532334</v>
      </c>
      <c r="E18" s="208">
        <f>'S Table 2 - IDP Budget Opex_11'!F36</f>
        <v>2921811.6</v>
      </c>
      <c r="F18" s="241">
        <f>'S Table 2 - IDP Budget Opex_11'!G36</f>
        <v>7805533</v>
      </c>
      <c r="G18" s="208">
        <f>'S Table 2 - IDP Budget Opex_11'!H36</f>
        <v>8317953</v>
      </c>
      <c r="H18" s="208">
        <f>'S Table 2 - IDP Budget Opex_11'!I36</f>
        <v>9022406</v>
      </c>
      <c r="J18" s="220"/>
      <c r="K18" s="221"/>
      <c r="L18" s="221"/>
      <c r="M18" s="221"/>
      <c r="N18" s="221"/>
      <c r="O18" s="221"/>
      <c r="P18" s="221"/>
      <c r="Q18" s="221"/>
    </row>
    <row r="19" spans="1:17" x14ac:dyDescent="0.2">
      <c r="A19" s="218" t="s">
        <v>444</v>
      </c>
      <c r="B19" s="241">
        <f>'S Table 2 - IDP Budget Opex_11'!C37</f>
        <v>7094443</v>
      </c>
      <c r="C19" s="208">
        <f>'S Table 2 - IDP Budget Opex_11'!D37</f>
        <v>6930726</v>
      </c>
      <c r="D19" s="241">
        <f>'S Table 2 - IDP Budget Opex_11'!E37</f>
        <v>6930726</v>
      </c>
      <c r="E19" s="208">
        <f>'S Table 2 - IDP Budget Opex_11'!F37</f>
        <v>5338705.2000000011</v>
      </c>
      <c r="F19" s="241">
        <f>'S Table 2 - IDP Budget Opex_11'!G37</f>
        <v>8562718</v>
      </c>
      <c r="G19" s="208">
        <f>'S Table 2 - IDP Budget Opex_11'!H37</f>
        <v>9006002</v>
      </c>
      <c r="H19" s="208">
        <f>'S Table 2 - IDP Budget Opex_11'!I37</f>
        <v>9734985</v>
      </c>
    </row>
    <row r="20" spans="1:17" x14ac:dyDescent="0.2">
      <c r="A20" s="218" t="s">
        <v>4382</v>
      </c>
      <c r="B20" s="241">
        <f>'S Table 2 - IDP Budget Opex_11'!C38</f>
        <v>44064</v>
      </c>
      <c r="C20" s="208">
        <f>'S Table 2 - IDP Budget Opex_11'!D38</f>
        <v>340418</v>
      </c>
      <c r="D20" s="241">
        <f>'S Table 2 - IDP Budget Opex_11'!E38</f>
        <v>340418</v>
      </c>
      <c r="E20" s="208">
        <f>'S Table 2 - IDP Budget Opex_11'!F38</f>
        <v>337134</v>
      </c>
      <c r="F20" s="241">
        <f>'S Table 2 - IDP Budget Opex_11'!G38</f>
        <v>11114918</v>
      </c>
      <c r="G20" s="208">
        <f>'S Table 2 - IDP Budget Opex_11'!H38</f>
        <v>13626884</v>
      </c>
      <c r="H20" s="208">
        <f>'S Table 2 - IDP Budget Opex_11'!I38</f>
        <v>16758796</v>
      </c>
    </row>
    <row r="21" spans="1:17" x14ac:dyDescent="0.2">
      <c r="A21" s="218" t="s">
        <v>4172</v>
      </c>
      <c r="B21" s="241">
        <f>'S Table 2 - IDP Budget Opex_11'!C39</f>
        <v>29824</v>
      </c>
      <c r="C21" s="208">
        <f>'S Table 2 - IDP Budget Opex_11'!D39</f>
        <v>148050</v>
      </c>
      <c r="D21" s="241">
        <f>'S Table 2 - IDP Budget Opex_11'!E39</f>
        <v>148050</v>
      </c>
      <c r="E21" s="208">
        <f>'S Table 2 - IDP Budget Opex_11'!F39</f>
        <v>6355.2000000000007</v>
      </c>
      <c r="F21" s="241">
        <f>'S Table 2 - IDP Budget Opex_11'!G39</f>
        <v>155453</v>
      </c>
      <c r="G21" s="208">
        <f>'S Table 2 - IDP Budget Opex_11'!H39</f>
        <v>164780</v>
      </c>
      <c r="H21" s="208">
        <f>'S Table 2 - IDP Budget Opex_11'!I39</f>
        <v>174666</v>
      </c>
    </row>
    <row r="22" spans="1:17" x14ac:dyDescent="0.2">
      <c r="A22" s="203"/>
      <c r="B22" s="232"/>
      <c r="C22" s="219"/>
      <c r="D22" s="232"/>
      <c r="E22" s="219"/>
      <c r="F22" s="232"/>
      <c r="G22" s="219"/>
      <c r="H22" s="219"/>
    </row>
    <row r="23" spans="1:17" x14ac:dyDescent="0.2">
      <c r="A23" s="239"/>
      <c r="B23" s="236"/>
      <c r="C23" s="244"/>
      <c r="D23" s="236"/>
      <c r="E23" s="244"/>
      <c r="F23" s="236"/>
      <c r="G23" s="244"/>
      <c r="H23" s="244"/>
      <c r="J23" s="223"/>
    </row>
    <row r="24" spans="1:17" x14ac:dyDescent="0.2">
      <c r="A24" s="224" t="s">
        <v>4363</v>
      </c>
      <c r="B24" s="209">
        <f t="shared" ref="B24:H24" si="0">SUM(B8:B23)</f>
        <v>48265681.759999998</v>
      </c>
      <c r="C24" s="209">
        <f t="shared" si="0"/>
        <v>54209718</v>
      </c>
      <c r="D24" s="209">
        <f t="shared" si="0"/>
        <v>54612341</v>
      </c>
      <c r="E24" s="209">
        <f t="shared" si="0"/>
        <v>51019121.500000007</v>
      </c>
      <c r="F24" s="209">
        <f t="shared" si="0"/>
        <v>85543486</v>
      </c>
      <c r="G24" s="209">
        <f t="shared" si="0"/>
        <v>92736915</v>
      </c>
      <c r="H24" s="209">
        <f t="shared" si="0"/>
        <v>101723790</v>
      </c>
      <c r="K24" s="216"/>
      <c r="L24" s="217"/>
      <c r="M24" s="217"/>
      <c r="N24" s="216"/>
      <c r="O24" s="216"/>
      <c r="P24" s="216"/>
      <c r="Q24" s="216"/>
    </row>
    <row r="26" spans="1:17" x14ac:dyDescent="0.2">
      <c r="A26" s="205" t="s">
        <v>1131</v>
      </c>
    </row>
    <row r="27" spans="1:17" x14ac:dyDescent="0.2">
      <c r="A27" s="211" t="s">
        <v>4099</v>
      </c>
    </row>
    <row r="28" spans="1:17" x14ac:dyDescent="0.2">
      <c r="A28" s="211" t="s">
        <v>4100</v>
      </c>
    </row>
    <row r="29" spans="1:17" x14ac:dyDescent="0.2">
      <c r="A29" s="211" t="s">
        <v>4101</v>
      </c>
      <c r="B29" s="225"/>
      <c r="C29" s="226"/>
      <c r="D29" s="226"/>
      <c r="E29" s="226"/>
      <c r="F29" s="226"/>
      <c r="G29" s="225"/>
      <c r="H29" s="225"/>
    </row>
    <row r="30" spans="1:17" x14ac:dyDescent="0.2">
      <c r="A30" s="211" t="s">
        <v>4102</v>
      </c>
      <c r="B30" s="227"/>
      <c r="C30" s="228"/>
      <c r="D30" s="226"/>
      <c r="E30" s="226"/>
      <c r="F30" s="227"/>
      <c r="G30" s="227"/>
      <c r="H30" s="227"/>
      <c r="J30" s="220"/>
      <c r="K30" s="221"/>
      <c r="L30" s="221"/>
      <c r="M30" s="221"/>
      <c r="N30" s="221"/>
      <c r="O30" s="221"/>
      <c r="P30" s="221"/>
      <c r="Q30" s="221"/>
    </row>
    <row r="31" spans="1:17" x14ac:dyDescent="0.2">
      <c r="A31" s="211" t="s">
        <v>4103</v>
      </c>
      <c r="B31" s="226"/>
      <c r="C31" s="225"/>
      <c r="D31" s="225"/>
      <c r="E31" s="226"/>
      <c r="F31" s="226"/>
      <c r="G31" s="226"/>
      <c r="H31" s="226"/>
    </row>
    <row r="32" spans="1:17" x14ac:dyDescent="0.2">
      <c r="A32" s="211" t="s">
        <v>4104</v>
      </c>
      <c r="B32" s="225"/>
      <c r="C32" s="225"/>
      <c r="D32" s="225"/>
      <c r="E32" s="225"/>
      <c r="F32" s="225"/>
      <c r="G32" s="225"/>
      <c r="H32" s="225"/>
    </row>
    <row r="33" spans="1:8" x14ac:dyDescent="0.2">
      <c r="A33" s="211" t="s">
        <v>4359</v>
      </c>
      <c r="B33" s="229"/>
      <c r="C33" s="225"/>
      <c r="D33" s="225"/>
      <c r="E33" s="225"/>
      <c r="F33" s="225"/>
      <c r="G33" s="229"/>
      <c r="H33" s="229"/>
    </row>
    <row r="34" spans="1:8" x14ac:dyDescent="0.2">
      <c r="B34" s="230"/>
      <c r="C34" s="230"/>
      <c r="D34" s="230"/>
      <c r="E34" s="230"/>
      <c r="F34" s="230"/>
      <c r="G34" s="230"/>
      <c r="H34" s="230"/>
    </row>
    <row r="35" spans="1:8" x14ac:dyDescent="0.2">
      <c r="A35" s="205" t="s">
        <v>1132</v>
      </c>
      <c r="B35" s="231"/>
      <c r="C35" s="232"/>
      <c r="D35" s="232"/>
      <c r="E35" s="232"/>
      <c r="F35" s="232"/>
      <c r="G35" s="232"/>
      <c r="H35" s="232"/>
    </row>
    <row r="36" spans="1:8" x14ac:dyDescent="0.2">
      <c r="A36" s="206" t="s">
        <v>4364</v>
      </c>
      <c r="B36" s="232"/>
      <c r="C36" s="232"/>
      <c r="D36" s="232"/>
      <c r="E36" s="232"/>
      <c r="F36" s="232"/>
      <c r="G36" s="232"/>
      <c r="H36" s="232"/>
    </row>
    <row r="37" spans="1:8" x14ac:dyDescent="0.2">
      <c r="A37" s="206" t="s">
        <v>4365</v>
      </c>
      <c r="B37" s="232"/>
      <c r="C37" s="232"/>
      <c r="D37" s="232"/>
      <c r="E37" s="232"/>
      <c r="F37" s="232"/>
      <c r="G37" s="232"/>
      <c r="H37" s="232"/>
    </row>
    <row r="38" spans="1:8" x14ac:dyDescent="0.2">
      <c r="A38" s="206" t="s">
        <v>4366</v>
      </c>
      <c r="B38" s="232"/>
      <c r="C38" s="232"/>
      <c r="D38" s="232"/>
      <c r="E38" s="232"/>
      <c r="F38" s="232"/>
      <c r="G38" s="232"/>
      <c r="H38" s="232"/>
    </row>
    <row r="39" spans="1:8" x14ac:dyDescent="0.2">
      <c r="A39" s="206" t="s">
        <v>4369</v>
      </c>
      <c r="B39" s="232"/>
      <c r="C39" s="232"/>
      <c r="D39" s="232"/>
      <c r="E39" s="232"/>
      <c r="F39" s="232"/>
      <c r="G39" s="232"/>
      <c r="H39" s="232"/>
    </row>
    <row r="40" spans="1:8" x14ac:dyDescent="0.2">
      <c r="A40" s="180" t="s">
        <v>4368</v>
      </c>
      <c r="B40" s="232"/>
      <c r="C40" s="232"/>
      <c r="D40" s="232"/>
      <c r="E40" s="232"/>
      <c r="F40" s="232"/>
      <c r="G40" s="232"/>
      <c r="H40" s="232"/>
    </row>
    <row r="41" spans="1:8" x14ac:dyDescent="0.2">
      <c r="B41" s="232"/>
      <c r="C41" s="232"/>
      <c r="D41" s="232"/>
      <c r="E41" s="232"/>
      <c r="F41" s="232"/>
      <c r="G41" s="232"/>
      <c r="H41" s="232"/>
    </row>
    <row r="42" spans="1:8" x14ac:dyDescent="0.2">
      <c r="A42" s="760" t="s">
        <v>51</v>
      </c>
      <c r="B42" s="760"/>
      <c r="C42" s="760"/>
      <c r="D42" s="760"/>
      <c r="E42" s="760"/>
      <c r="F42" s="760"/>
      <c r="G42" s="760"/>
      <c r="H42" s="760"/>
    </row>
    <row r="43" spans="1:8" x14ac:dyDescent="0.2">
      <c r="A43" s="233"/>
      <c r="B43" s="232"/>
      <c r="C43" s="232"/>
      <c r="D43" s="232"/>
      <c r="E43" s="232"/>
      <c r="F43" s="232"/>
      <c r="G43" s="232"/>
      <c r="H43" s="232"/>
    </row>
    <row r="44" spans="1:8" x14ac:dyDescent="0.2">
      <c r="A44" s="233"/>
      <c r="B44" s="232"/>
      <c r="C44" s="232"/>
      <c r="D44" s="232"/>
      <c r="E44" s="232"/>
      <c r="F44" s="232"/>
      <c r="G44" s="232"/>
      <c r="H44" s="232"/>
    </row>
    <row r="45" spans="1:8" x14ac:dyDescent="0.2">
      <c r="A45" s="234"/>
      <c r="B45" s="232"/>
      <c r="C45" s="232"/>
      <c r="D45" s="232"/>
      <c r="E45" s="232"/>
      <c r="F45" s="232"/>
      <c r="G45" s="232"/>
      <c r="H45" s="232"/>
    </row>
    <row r="46" spans="1:8" x14ac:dyDescent="0.2">
      <c r="A46" s="234"/>
      <c r="B46" s="232"/>
      <c r="C46" s="232"/>
      <c r="D46" s="232"/>
      <c r="E46" s="232"/>
      <c r="F46" s="232"/>
      <c r="G46" s="232"/>
      <c r="H46" s="232"/>
    </row>
    <row r="47" spans="1:8" x14ac:dyDescent="0.2">
      <c r="A47" s="234"/>
      <c r="B47" s="232"/>
      <c r="C47" s="232"/>
      <c r="D47" s="232"/>
      <c r="E47" s="232"/>
      <c r="F47" s="232"/>
      <c r="G47" s="232"/>
      <c r="H47" s="232"/>
    </row>
    <row r="48" spans="1:8" x14ac:dyDescent="0.2">
      <c r="A48" s="234"/>
      <c r="B48" s="232"/>
      <c r="C48" s="232"/>
      <c r="D48" s="232"/>
      <c r="E48" s="232"/>
      <c r="F48" s="232"/>
      <c r="G48" s="232"/>
      <c r="H48" s="232"/>
    </row>
    <row r="49" spans="1:8" x14ac:dyDescent="0.2">
      <c r="A49" s="234"/>
      <c r="B49" s="232"/>
      <c r="C49" s="232"/>
      <c r="D49" s="232"/>
      <c r="E49" s="232"/>
      <c r="F49" s="232"/>
      <c r="G49" s="232"/>
      <c r="H49" s="232"/>
    </row>
    <row r="50" spans="1:8" x14ac:dyDescent="0.2">
      <c r="A50" s="234"/>
      <c r="B50" s="232"/>
      <c r="C50" s="232"/>
      <c r="D50" s="232"/>
      <c r="E50" s="232"/>
      <c r="F50" s="232"/>
      <c r="G50" s="232"/>
      <c r="H50" s="232"/>
    </row>
    <row r="51" spans="1:8" x14ac:dyDescent="0.2">
      <c r="A51" s="234"/>
      <c r="B51" s="232"/>
      <c r="C51" s="232"/>
      <c r="D51" s="232"/>
      <c r="E51" s="232"/>
      <c r="F51" s="232"/>
      <c r="G51" s="232"/>
      <c r="H51" s="232"/>
    </row>
    <row r="52" spans="1:8" x14ac:dyDescent="0.2">
      <c r="A52" s="235"/>
      <c r="B52" s="236"/>
      <c r="C52" s="236"/>
      <c r="D52" s="236"/>
      <c r="E52" s="236"/>
      <c r="F52" s="236"/>
      <c r="G52" s="236"/>
      <c r="H52" s="236"/>
    </row>
    <row r="53" spans="1:8" x14ac:dyDescent="0.2">
      <c r="A53" s="237"/>
      <c r="B53" s="230"/>
      <c r="C53" s="230"/>
      <c r="D53" s="230"/>
      <c r="E53" s="230"/>
      <c r="F53" s="230"/>
      <c r="G53" s="230"/>
      <c r="H53" s="230"/>
    </row>
  </sheetData>
  <mergeCells count="1">
    <mergeCell ref="A42:H42"/>
  </mergeCells>
  <phoneticPr fontId="3" type="noConversion"/>
  <pageMargins left="0.75" right="0.75" top="1" bottom="1" header="0.5" footer="0.5"/>
  <pageSetup paperSize="9" scale="72"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9"/>
  <sheetViews>
    <sheetView view="pageBreakPreview" zoomScaleNormal="100" workbookViewId="0">
      <selection activeCell="F9" sqref="F9"/>
    </sheetView>
  </sheetViews>
  <sheetFormatPr defaultColWidth="10.6640625" defaultRowHeight="12.75" x14ac:dyDescent="0.2"/>
  <cols>
    <col min="1" max="1" width="57.83203125" style="180" customWidth="1"/>
    <col min="2" max="2" width="21.33203125" style="214" bestFit="1" customWidth="1"/>
    <col min="3" max="3" width="24" style="214" bestFit="1" customWidth="1"/>
    <col min="4" max="5" width="23.6640625" style="214" bestFit="1" customWidth="1"/>
    <col min="6" max="6" width="23.83203125" style="214" bestFit="1" customWidth="1"/>
    <col min="7" max="8" width="23.83203125" style="214" customWidth="1"/>
    <col min="9" max="13" width="12.5" style="214" customWidth="1"/>
    <col min="14" max="16384" width="10.6640625" style="180"/>
  </cols>
  <sheetData>
    <row r="1" spans="1:13" x14ac:dyDescent="0.2">
      <c r="A1" s="213"/>
      <c r="B1" s="173" t="s">
        <v>1096</v>
      </c>
      <c r="C1" s="174" t="s">
        <v>1097</v>
      </c>
      <c r="D1" s="175"/>
      <c r="E1" s="176"/>
      <c r="F1" s="177" t="s">
        <v>1098</v>
      </c>
      <c r="G1" s="178"/>
      <c r="H1" s="179"/>
    </row>
    <row r="2" spans="1:13" x14ac:dyDescent="0.2">
      <c r="A2" s="181" t="s">
        <v>4370</v>
      </c>
      <c r="B2" s="182" t="s">
        <v>1103</v>
      </c>
      <c r="C2" s="183" t="s">
        <v>4093</v>
      </c>
      <c r="D2" s="184"/>
      <c r="E2" s="185"/>
      <c r="F2" s="186" t="s">
        <v>1100</v>
      </c>
      <c r="G2" s="181" t="s">
        <v>1101</v>
      </c>
      <c r="H2" s="181" t="s">
        <v>1102</v>
      </c>
    </row>
    <row r="3" spans="1:13" x14ac:dyDescent="0.2">
      <c r="A3" s="200"/>
      <c r="B3" s="187"/>
      <c r="C3" s="188"/>
      <c r="D3" s="189"/>
      <c r="E3" s="190"/>
      <c r="F3" s="191" t="s">
        <v>4094</v>
      </c>
      <c r="G3" s="191" t="s">
        <v>4095</v>
      </c>
      <c r="H3" s="191" t="s">
        <v>4096</v>
      </c>
      <c r="I3" s="221"/>
      <c r="J3" s="221"/>
      <c r="K3" s="221"/>
      <c r="L3" s="221"/>
      <c r="M3" s="221"/>
    </row>
    <row r="4" spans="1:13" x14ac:dyDescent="0.2">
      <c r="A4" s="181" t="s">
        <v>4138</v>
      </c>
      <c r="B4" s="192" t="s">
        <v>1104</v>
      </c>
      <c r="C4" s="173" t="s">
        <v>1105</v>
      </c>
      <c r="D4" s="173" t="s">
        <v>1106</v>
      </c>
      <c r="E4" s="193" t="s">
        <v>1107</v>
      </c>
      <c r="F4" s="193" t="s">
        <v>1108</v>
      </c>
      <c r="G4" s="193" t="s">
        <v>1108</v>
      </c>
      <c r="H4" s="193" t="s">
        <v>1108</v>
      </c>
    </row>
    <row r="5" spans="1:13" x14ac:dyDescent="0.2">
      <c r="A5" s="200"/>
      <c r="B5" s="194" t="s">
        <v>1109</v>
      </c>
      <c r="C5" s="181" t="s">
        <v>1109</v>
      </c>
      <c r="D5" s="181" t="s">
        <v>1109</v>
      </c>
      <c r="E5" s="181" t="s">
        <v>1109</v>
      </c>
      <c r="F5" s="181" t="s">
        <v>1109</v>
      </c>
      <c r="G5" s="181" t="s">
        <v>1109</v>
      </c>
      <c r="H5" s="181" t="s">
        <v>1109</v>
      </c>
    </row>
    <row r="6" spans="1:13" x14ac:dyDescent="0.2">
      <c r="A6" s="195"/>
      <c r="B6" s="196" t="s">
        <v>1110</v>
      </c>
      <c r="C6" s="197" t="s">
        <v>1111</v>
      </c>
      <c r="D6" s="197" t="s">
        <v>1112</v>
      </c>
      <c r="E6" s="197" t="s">
        <v>1113</v>
      </c>
      <c r="F6" s="197" t="s">
        <v>1114</v>
      </c>
      <c r="G6" s="198" t="s">
        <v>1115</v>
      </c>
      <c r="H6" s="198" t="s">
        <v>1116</v>
      </c>
    </row>
    <row r="7" spans="1:13" x14ac:dyDescent="0.2">
      <c r="A7" s="200"/>
      <c r="B7" s="215"/>
      <c r="C7" s="215"/>
      <c r="D7" s="215"/>
      <c r="E7" s="215"/>
      <c r="F7" s="215"/>
      <c r="G7" s="215"/>
      <c r="H7" s="215"/>
      <c r="I7" s="217"/>
      <c r="J7" s="216"/>
      <c r="K7" s="216"/>
      <c r="L7" s="216"/>
      <c r="M7" s="216"/>
    </row>
    <row r="8" spans="1:13" x14ac:dyDescent="0.2">
      <c r="A8" s="218" t="s">
        <v>4371</v>
      </c>
      <c r="B8" s="208">
        <v>103070</v>
      </c>
      <c r="C8" s="208">
        <v>2093221</v>
      </c>
      <c r="D8" s="208">
        <v>2093221</v>
      </c>
      <c r="E8" s="208">
        <v>459351</v>
      </c>
      <c r="F8" s="208">
        <v>1633870</v>
      </c>
      <c r="G8" s="219">
        <v>0</v>
      </c>
      <c r="H8" s="219">
        <v>0</v>
      </c>
    </row>
    <row r="9" spans="1:13" x14ac:dyDescent="0.2">
      <c r="A9" s="201" t="s">
        <v>4372</v>
      </c>
      <c r="B9" s="208">
        <v>292616</v>
      </c>
      <c r="C9" s="208">
        <v>0</v>
      </c>
      <c r="D9" s="208">
        <v>2000000</v>
      </c>
      <c r="E9" s="219">
        <v>0</v>
      </c>
      <c r="F9" s="208">
        <f>2000000+2000000+43000000</f>
        <v>47000000</v>
      </c>
      <c r="G9" s="219">
        <v>0</v>
      </c>
      <c r="H9" s="219">
        <v>0</v>
      </c>
    </row>
    <row r="10" spans="1:13" x14ac:dyDescent="0.2">
      <c r="A10" s="218" t="s">
        <v>4373</v>
      </c>
      <c r="B10" s="219">
        <v>0</v>
      </c>
      <c r="C10" s="208">
        <v>2220000</v>
      </c>
      <c r="D10" s="208">
        <v>2220000</v>
      </c>
      <c r="E10" s="219">
        <v>0</v>
      </c>
      <c r="F10" s="208">
        <v>2220000</v>
      </c>
      <c r="G10" s="219">
        <v>0</v>
      </c>
      <c r="H10" s="219">
        <v>0</v>
      </c>
    </row>
    <row r="11" spans="1:13" x14ac:dyDescent="0.2">
      <c r="A11" s="218" t="s">
        <v>4374</v>
      </c>
      <c r="B11" s="219">
        <v>0</v>
      </c>
      <c r="C11" s="219">
        <v>0</v>
      </c>
      <c r="D11" s="219">
        <v>0</v>
      </c>
      <c r="E11" s="219">
        <v>0</v>
      </c>
      <c r="F11" s="208">
        <v>1500000</v>
      </c>
      <c r="G11" s="208">
        <v>2000000</v>
      </c>
      <c r="H11" s="219">
        <v>0</v>
      </c>
    </row>
    <row r="12" spans="1:13" x14ac:dyDescent="0.2">
      <c r="A12" s="218" t="s">
        <v>4375</v>
      </c>
      <c r="B12" s="219">
        <v>0</v>
      </c>
      <c r="C12" s="219">
        <v>0</v>
      </c>
      <c r="D12" s="219">
        <v>0</v>
      </c>
      <c r="E12" s="219">
        <v>0</v>
      </c>
      <c r="F12" s="219">
        <v>0</v>
      </c>
      <c r="G12" s="219">
        <v>0</v>
      </c>
      <c r="H12" s="219">
        <v>0</v>
      </c>
    </row>
    <row r="13" spans="1:13" x14ac:dyDescent="0.2">
      <c r="A13" s="218" t="s">
        <v>4376</v>
      </c>
      <c r="B13" s="219">
        <v>0</v>
      </c>
      <c r="C13" s="219">
        <v>0</v>
      </c>
      <c r="D13" s="219">
        <v>0</v>
      </c>
      <c r="E13" s="219">
        <v>0</v>
      </c>
      <c r="F13" s="219">
        <v>0</v>
      </c>
      <c r="G13" s="219">
        <v>0</v>
      </c>
      <c r="H13" s="219">
        <v>0</v>
      </c>
    </row>
    <row r="14" spans="1:13" x14ac:dyDescent="0.2">
      <c r="A14" s="201" t="s">
        <v>4377</v>
      </c>
      <c r="B14" s="219">
        <v>0</v>
      </c>
      <c r="C14" s="219">
        <v>0</v>
      </c>
      <c r="D14" s="219">
        <v>0</v>
      </c>
      <c r="E14" s="219">
        <v>0</v>
      </c>
      <c r="F14" s="219">
        <v>0</v>
      </c>
      <c r="G14" s="219">
        <v>0</v>
      </c>
      <c r="H14" s="219">
        <v>0</v>
      </c>
    </row>
    <row r="15" spans="1:13" x14ac:dyDescent="0.2">
      <c r="A15" s="201" t="s">
        <v>4378</v>
      </c>
      <c r="B15" s="219">
        <v>0</v>
      </c>
      <c r="C15" s="219">
        <v>0</v>
      </c>
      <c r="D15" s="219">
        <v>0</v>
      </c>
      <c r="E15" s="219">
        <v>0</v>
      </c>
      <c r="F15" s="219">
        <v>0</v>
      </c>
      <c r="G15" s="219">
        <v>0</v>
      </c>
      <c r="H15" s="219">
        <v>0</v>
      </c>
    </row>
    <row r="16" spans="1:13" x14ac:dyDescent="0.2">
      <c r="A16" s="218" t="s">
        <v>4379</v>
      </c>
      <c r="B16" s="219">
        <v>0</v>
      </c>
      <c r="C16" s="208">
        <v>0</v>
      </c>
      <c r="D16" s="208">
        <v>0</v>
      </c>
      <c r="E16" s="219">
        <v>0</v>
      </c>
      <c r="F16" s="219">
        <v>0</v>
      </c>
      <c r="G16" s="219">
        <v>0</v>
      </c>
      <c r="H16" s="219">
        <v>0</v>
      </c>
      <c r="I16" s="221"/>
      <c r="J16" s="221"/>
      <c r="K16" s="221"/>
      <c r="L16" s="221"/>
      <c r="M16" s="221"/>
    </row>
    <row r="17" spans="1:13" x14ac:dyDescent="0.2">
      <c r="A17" s="218" t="s">
        <v>4380</v>
      </c>
      <c r="B17" s="208">
        <v>3777478</v>
      </c>
      <c r="C17" s="208">
        <v>4301271</v>
      </c>
      <c r="D17" s="208">
        <v>4301271</v>
      </c>
      <c r="E17" s="208">
        <v>8665901</v>
      </c>
      <c r="F17" s="208">
        <v>6892247</v>
      </c>
      <c r="G17" s="219">
        <v>0</v>
      </c>
      <c r="H17" s="219">
        <v>0</v>
      </c>
    </row>
    <row r="18" spans="1:13" x14ac:dyDescent="0.2">
      <c r="A18" s="218" t="s">
        <v>4381</v>
      </c>
      <c r="B18" s="208">
        <v>43827</v>
      </c>
      <c r="C18" s="208">
        <v>0</v>
      </c>
      <c r="D18" s="208">
        <v>797884</v>
      </c>
      <c r="E18" s="208">
        <v>797884</v>
      </c>
      <c r="F18" s="208">
        <v>0</v>
      </c>
      <c r="G18" s="219">
        <v>0</v>
      </c>
      <c r="H18" s="219">
        <v>0</v>
      </c>
    </row>
    <row r="19" spans="1:13" x14ac:dyDescent="0.2">
      <c r="A19" s="218" t="s">
        <v>444</v>
      </c>
      <c r="B19" s="208">
        <f>1339827+382177</f>
        <v>1722004</v>
      </c>
      <c r="C19" s="208">
        <f>11629000+92818</f>
        <v>11721818</v>
      </c>
      <c r="D19" s="208">
        <v>14555468</v>
      </c>
      <c r="E19" s="208">
        <f>250195+656172</f>
        <v>906367</v>
      </c>
      <c r="F19" s="208">
        <v>12913000</v>
      </c>
      <c r="G19" s="208">
        <v>15531000</v>
      </c>
      <c r="H19" s="208">
        <v>18884000</v>
      </c>
    </row>
    <row r="20" spans="1:13" x14ac:dyDescent="0.2">
      <c r="A20" s="218" t="s">
        <v>4382</v>
      </c>
      <c r="B20" s="219">
        <v>0</v>
      </c>
      <c r="C20" s="208">
        <v>3859915</v>
      </c>
      <c r="D20" s="208">
        <v>3859915</v>
      </c>
      <c r="E20" s="208">
        <v>1035845</v>
      </c>
      <c r="F20" s="208">
        <v>2824071</v>
      </c>
      <c r="G20" s="208">
        <v>300000</v>
      </c>
      <c r="H20" s="208">
        <v>500000</v>
      </c>
    </row>
    <row r="21" spans="1:13" x14ac:dyDescent="0.2">
      <c r="A21" s="218" t="s">
        <v>4172</v>
      </c>
      <c r="B21" s="219">
        <v>0</v>
      </c>
      <c r="C21" s="219">
        <v>0</v>
      </c>
      <c r="D21" s="219">
        <v>0</v>
      </c>
      <c r="E21" s="219">
        <v>0</v>
      </c>
      <c r="F21" s="219">
        <v>0</v>
      </c>
      <c r="G21" s="219">
        <v>0</v>
      </c>
      <c r="H21" s="219">
        <v>0</v>
      </c>
    </row>
    <row r="22" spans="1:13" x14ac:dyDescent="0.2">
      <c r="A22" s="203"/>
      <c r="B22" s="222"/>
      <c r="C22" s="222"/>
      <c r="D22" s="222"/>
      <c r="E22" s="222"/>
      <c r="F22" s="222"/>
      <c r="G22" s="222"/>
      <c r="H22" s="222"/>
    </row>
    <row r="23" spans="1:13" x14ac:dyDescent="0.2">
      <c r="A23" s="224" t="s">
        <v>4383</v>
      </c>
      <c r="B23" s="209">
        <f t="shared" ref="B23:H23" si="0">SUM(B8:B22)</f>
        <v>5938995</v>
      </c>
      <c r="C23" s="209">
        <f>SUM(C8:C22)</f>
        <v>24196225</v>
      </c>
      <c r="D23" s="209">
        <f>SUM(D8:D22)</f>
        <v>29827759</v>
      </c>
      <c r="E23" s="209">
        <f t="shared" si="0"/>
        <v>11865348</v>
      </c>
      <c r="F23" s="209">
        <f t="shared" si="0"/>
        <v>74983188</v>
      </c>
      <c r="G23" s="209">
        <f t="shared" si="0"/>
        <v>17831000</v>
      </c>
      <c r="H23" s="209">
        <f t="shared" si="0"/>
        <v>19384000</v>
      </c>
      <c r="I23" s="217"/>
      <c r="J23" s="216"/>
      <c r="K23" s="216"/>
      <c r="L23" s="216"/>
      <c r="M23" s="216"/>
    </row>
    <row r="25" spans="1:13" x14ac:dyDescent="0.2">
      <c r="A25" s="205" t="s">
        <v>1131</v>
      </c>
      <c r="F25" s="245"/>
    </row>
    <row r="26" spans="1:13" x14ac:dyDescent="0.2">
      <c r="A26" s="211" t="s">
        <v>4099</v>
      </c>
    </row>
    <row r="27" spans="1:13" x14ac:dyDescent="0.2">
      <c r="A27" s="211" t="s">
        <v>4100</v>
      </c>
    </row>
    <row r="28" spans="1:13" x14ac:dyDescent="0.2">
      <c r="A28" s="211" t="s">
        <v>4101</v>
      </c>
    </row>
    <row r="29" spans="1:13" x14ac:dyDescent="0.2">
      <c r="A29" s="211" t="s">
        <v>4102</v>
      </c>
    </row>
    <row r="30" spans="1:13" x14ac:dyDescent="0.2">
      <c r="A30" s="211" t="s">
        <v>4103</v>
      </c>
      <c r="I30" s="221"/>
      <c r="J30" s="221"/>
      <c r="K30" s="221"/>
      <c r="L30" s="221"/>
      <c r="M30" s="221"/>
    </row>
    <row r="31" spans="1:13" x14ac:dyDescent="0.2">
      <c r="A31" s="211" t="s">
        <v>4104</v>
      </c>
    </row>
    <row r="32" spans="1:13" x14ac:dyDescent="0.2">
      <c r="A32" s="211" t="s">
        <v>4359</v>
      </c>
    </row>
    <row r="34" spans="1:8" x14ac:dyDescent="0.2">
      <c r="A34" s="205" t="s">
        <v>1132</v>
      </c>
    </row>
    <row r="35" spans="1:8" x14ac:dyDescent="0.2">
      <c r="A35" s="206" t="s">
        <v>4384</v>
      </c>
    </row>
    <row r="36" spans="1:8" x14ac:dyDescent="0.2">
      <c r="A36" s="206" t="s">
        <v>4171</v>
      </c>
    </row>
    <row r="37" spans="1:8" x14ac:dyDescent="0.2">
      <c r="A37" s="180" t="s">
        <v>4170</v>
      </c>
    </row>
    <row r="39" spans="1:8" x14ac:dyDescent="0.2">
      <c r="A39" s="760" t="s">
        <v>4015</v>
      </c>
      <c r="B39" s="760"/>
      <c r="C39" s="760"/>
      <c r="D39" s="760"/>
      <c r="E39" s="760"/>
      <c r="F39" s="760"/>
      <c r="G39" s="760"/>
      <c r="H39" s="760"/>
    </row>
  </sheetData>
  <mergeCells count="1">
    <mergeCell ref="A39:H39"/>
  </mergeCells>
  <phoneticPr fontId="3" type="noConversion"/>
  <pageMargins left="0.75" right="0.75" top="1" bottom="1" header="0.5" footer="0.5"/>
  <pageSetup paperSize="9" scale="72"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8"/>
  <sheetViews>
    <sheetView view="pageBreakPreview" zoomScaleNormal="100" workbookViewId="0">
      <selection activeCell="F29" sqref="F29"/>
    </sheetView>
  </sheetViews>
  <sheetFormatPr defaultColWidth="10.6640625" defaultRowHeight="12.75" x14ac:dyDescent="0.2"/>
  <cols>
    <col min="1" max="1" width="57.83203125" style="180" customWidth="1"/>
    <col min="2" max="2" width="21.33203125" style="180" bestFit="1" customWidth="1"/>
    <col min="3" max="3" width="24" style="180" bestFit="1" customWidth="1"/>
    <col min="4" max="5" width="23.6640625" style="180" bestFit="1" customWidth="1"/>
    <col min="6" max="6" width="23.83203125" style="180" bestFit="1" customWidth="1"/>
    <col min="7" max="8" width="23.83203125" style="180" customWidth="1"/>
    <col min="9" max="14" width="12.5" style="214" customWidth="1"/>
    <col min="15" max="16384" width="10.6640625" style="180"/>
  </cols>
  <sheetData>
    <row r="1" spans="1:14" x14ac:dyDescent="0.2">
      <c r="A1" s="213"/>
      <c r="B1" s="173" t="s">
        <v>1096</v>
      </c>
      <c r="C1" s="174" t="s">
        <v>1097</v>
      </c>
      <c r="D1" s="175"/>
      <c r="E1" s="176"/>
      <c r="F1" s="177" t="s">
        <v>1098</v>
      </c>
      <c r="G1" s="178"/>
      <c r="H1" s="179"/>
    </row>
    <row r="2" spans="1:14" x14ac:dyDescent="0.2">
      <c r="A2" s="181" t="s">
        <v>601</v>
      </c>
      <c r="B2" s="182" t="s">
        <v>1103</v>
      </c>
      <c r="C2" s="183" t="s">
        <v>4093</v>
      </c>
      <c r="D2" s="184"/>
      <c r="E2" s="185"/>
      <c r="F2" s="186" t="s">
        <v>1100</v>
      </c>
      <c r="G2" s="181" t="s">
        <v>1101</v>
      </c>
      <c r="H2" s="181" t="s">
        <v>1102</v>
      </c>
    </row>
    <row r="3" spans="1:14" x14ac:dyDescent="0.2">
      <c r="A3" s="200"/>
      <c r="B3" s="187"/>
      <c r="C3" s="188"/>
      <c r="D3" s="189"/>
      <c r="E3" s="190"/>
      <c r="F3" s="191" t="s">
        <v>4094</v>
      </c>
      <c r="G3" s="191" t="s">
        <v>4095</v>
      </c>
      <c r="H3" s="191" t="s">
        <v>4096</v>
      </c>
    </row>
    <row r="4" spans="1:14" x14ac:dyDescent="0.2">
      <c r="A4" s="181" t="s">
        <v>4139</v>
      </c>
      <c r="B4" s="192" t="s">
        <v>1104</v>
      </c>
      <c r="C4" s="173" t="s">
        <v>1105</v>
      </c>
      <c r="D4" s="173" t="s">
        <v>1106</v>
      </c>
      <c r="E4" s="193" t="s">
        <v>1107</v>
      </c>
      <c r="F4" s="193" t="s">
        <v>1108</v>
      </c>
      <c r="G4" s="193" t="s">
        <v>1108</v>
      </c>
      <c r="H4" s="193" t="s">
        <v>1108</v>
      </c>
    </row>
    <row r="5" spans="1:14" x14ac:dyDescent="0.2">
      <c r="A5" s="181"/>
      <c r="B5" s="194" t="s">
        <v>1109</v>
      </c>
      <c r="C5" s="181" t="s">
        <v>1109</v>
      </c>
      <c r="D5" s="181" t="s">
        <v>1109</v>
      </c>
      <c r="E5" s="181" t="s">
        <v>1109</v>
      </c>
      <c r="F5" s="181" t="s">
        <v>1109</v>
      </c>
      <c r="G5" s="181" t="s">
        <v>1109</v>
      </c>
      <c r="H5" s="181" t="s">
        <v>1109</v>
      </c>
    </row>
    <row r="6" spans="1:14" x14ac:dyDescent="0.2">
      <c r="A6" s="239"/>
      <c r="B6" s="196" t="s">
        <v>1110</v>
      </c>
      <c r="C6" s="197" t="s">
        <v>1111</v>
      </c>
      <c r="D6" s="197" t="s">
        <v>1112</v>
      </c>
      <c r="E6" s="197" t="s">
        <v>1113</v>
      </c>
      <c r="F6" s="197" t="s">
        <v>1114</v>
      </c>
      <c r="G6" s="198" t="s">
        <v>1115</v>
      </c>
      <c r="H6" s="198" t="s">
        <v>1116</v>
      </c>
    </row>
    <row r="7" spans="1:14" x14ac:dyDescent="0.2">
      <c r="A7" s="200"/>
      <c r="B7" s="246"/>
      <c r="C7" s="246"/>
      <c r="D7" s="246"/>
      <c r="E7" s="246"/>
      <c r="F7" s="246"/>
      <c r="G7" s="246"/>
      <c r="H7" s="246"/>
      <c r="I7" s="217"/>
      <c r="J7" s="217"/>
      <c r="K7" s="247"/>
      <c r="L7" s="247"/>
      <c r="M7" s="247"/>
      <c r="N7" s="247"/>
    </row>
    <row r="8" spans="1:14" x14ac:dyDescent="0.2">
      <c r="A8" s="200" t="s">
        <v>602</v>
      </c>
      <c r="B8" s="246"/>
      <c r="C8" s="246"/>
      <c r="D8" s="246"/>
      <c r="E8" s="246"/>
      <c r="F8" s="248"/>
      <c r="G8" s="248"/>
      <c r="H8" s="248"/>
    </row>
    <row r="9" spans="1:14" x14ac:dyDescent="0.2">
      <c r="A9" s="203" t="s">
        <v>603</v>
      </c>
      <c r="B9" s="208">
        <v>6670000</v>
      </c>
      <c r="C9" s="208">
        <f>11629000+2950000</f>
        <v>14579000</v>
      </c>
      <c r="D9" s="208">
        <f>11629000+2950000</f>
        <v>14579000</v>
      </c>
      <c r="E9" s="208">
        <v>0</v>
      </c>
      <c r="F9" s="208">
        <f>12913000</f>
        <v>12913000</v>
      </c>
      <c r="G9" s="208">
        <f>15531000+300000</f>
        <v>15831000</v>
      </c>
      <c r="H9" s="208">
        <f>18884000+500000</f>
        <v>19384000</v>
      </c>
    </row>
    <row r="10" spans="1:14" x14ac:dyDescent="0.2">
      <c r="A10" s="201" t="s">
        <v>604</v>
      </c>
      <c r="B10" s="208">
        <f>4301272+1497204+55530</f>
        <v>5854006</v>
      </c>
      <c r="C10" s="208">
        <v>4301271</v>
      </c>
      <c r="D10" s="208">
        <v>7134921</v>
      </c>
      <c r="E10" s="208">
        <f>8665901+250195+656172+1035845</f>
        <v>10608113</v>
      </c>
      <c r="F10" s="208">
        <f>6892247+2824071</f>
        <v>9716318</v>
      </c>
      <c r="G10" s="251">
        <v>0</v>
      </c>
      <c r="H10" s="251">
        <v>0</v>
      </c>
    </row>
    <row r="11" spans="1:14" x14ac:dyDescent="0.2">
      <c r="A11" s="224" t="s">
        <v>605</v>
      </c>
      <c r="B11" s="209">
        <f t="shared" ref="B11:H11" si="0">SUM(B9:B10)</f>
        <v>12524006</v>
      </c>
      <c r="C11" s="209">
        <f t="shared" si="0"/>
        <v>18880271</v>
      </c>
      <c r="D11" s="209">
        <f t="shared" si="0"/>
        <v>21713921</v>
      </c>
      <c r="E11" s="209">
        <f t="shared" si="0"/>
        <v>10608113</v>
      </c>
      <c r="F11" s="209">
        <f t="shared" si="0"/>
        <v>22629318</v>
      </c>
      <c r="G11" s="209">
        <f t="shared" si="0"/>
        <v>15831000</v>
      </c>
      <c r="H11" s="209">
        <f t="shared" si="0"/>
        <v>19384000</v>
      </c>
      <c r="I11" s="232"/>
      <c r="J11" s="232"/>
      <c r="K11" s="232"/>
      <c r="L11" s="232"/>
      <c r="M11" s="232"/>
      <c r="N11" s="232"/>
    </row>
    <row r="12" spans="1:14" x14ac:dyDescent="0.2">
      <c r="A12" s="201"/>
      <c r="B12" s="207"/>
      <c r="C12" s="207"/>
      <c r="D12" s="207"/>
      <c r="E12" s="207"/>
      <c r="F12" s="249"/>
      <c r="G12" s="249"/>
      <c r="H12" s="249"/>
      <c r="I12" s="221"/>
      <c r="J12" s="221"/>
      <c r="K12" s="221"/>
      <c r="L12" s="221"/>
      <c r="M12" s="221"/>
      <c r="N12" s="221"/>
    </row>
    <row r="13" spans="1:14" x14ac:dyDescent="0.2">
      <c r="A13" s="200" t="s">
        <v>606</v>
      </c>
      <c r="B13" s="203"/>
      <c r="C13" s="203"/>
      <c r="D13" s="203"/>
      <c r="E13" s="203"/>
      <c r="F13" s="253"/>
      <c r="G13" s="253"/>
      <c r="H13" s="253"/>
    </row>
    <row r="14" spans="1:14" x14ac:dyDescent="0.2">
      <c r="A14" s="203" t="s">
        <v>603</v>
      </c>
      <c r="B14" s="207">
        <v>0</v>
      </c>
      <c r="C14" s="207">
        <v>0</v>
      </c>
      <c r="D14" s="207">
        <v>0</v>
      </c>
      <c r="E14" s="207">
        <v>0</v>
      </c>
      <c r="F14" s="249">
        <v>0</v>
      </c>
      <c r="G14" s="249">
        <v>0</v>
      </c>
      <c r="H14" s="249">
        <v>0</v>
      </c>
    </row>
    <row r="15" spans="1:14" x14ac:dyDescent="0.2">
      <c r="A15" s="201" t="s">
        <v>604</v>
      </c>
      <c r="B15" s="255">
        <f>2093221+2220000+92818+909915</f>
        <v>5315954</v>
      </c>
      <c r="C15" s="208">
        <f>1990151+176085+2220000+92818+909915</f>
        <v>5388969</v>
      </c>
      <c r="D15" s="208">
        <f>C15</f>
        <v>5388969</v>
      </c>
      <c r="E15" s="208">
        <v>459351</v>
      </c>
      <c r="F15" s="208">
        <f>1633870+2220000</f>
        <v>3853870</v>
      </c>
      <c r="G15" s="251">
        <v>0</v>
      </c>
      <c r="H15" s="251">
        <v>0</v>
      </c>
    </row>
    <row r="16" spans="1:14" x14ac:dyDescent="0.2">
      <c r="A16" s="224" t="s">
        <v>607</v>
      </c>
      <c r="B16" s="209">
        <f t="shared" ref="B16:H16" si="1">SUM(B14:B15)</f>
        <v>5315954</v>
      </c>
      <c r="C16" s="209">
        <f t="shared" si="1"/>
        <v>5388969</v>
      </c>
      <c r="D16" s="209">
        <f t="shared" si="1"/>
        <v>5388969</v>
      </c>
      <c r="E16" s="209">
        <f t="shared" si="1"/>
        <v>459351</v>
      </c>
      <c r="F16" s="209">
        <f t="shared" si="1"/>
        <v>3853870</v>
      </c>
      <c r="G16" s="209">
        <f t="shared" si="1"/>
        <v>0</v>
      </c>
      <c r="H16" s="209">
        <f t="shared" si="1"/>
        <v>0</v>
      </c>
    </row>
    <row r="17" spans="1:8" x14ac:dyDescent="0.2">
      <c r="A17" s="201"/>
      <c r="B17" s="207"/>
      <c r="C17" s="207"/>
      <c r="D17" s="207"/>
      <c r="E17" s="207"/>
      <c r="F17" s="249"/>
      <c r="G17" s="249"/>
      <c r="H17" s="249"/>
    </row>
    <row r="18" spans="1:8" x14ac:dyDescent="0.2">
      <c r="A18" s="200" t="s">
        <v>608</v>
      </c>
      <c r="B18" s="203"/>
      <c r="C18" s="203"/>
      <c r="D18" s="203"/>
      <c r="E18" s="203"/>
      <c r="F18" s="253"/>
      <c r="G18" s="253"/>
      <c r="H18" s="253"/>
    </row>
    <row r="19" spans="1:8" x14ac:dyDescent="0.2">
      <c r="A19" s="203" t="s">
        <v>609</v>
      </c>
      <c r="B19" s="207">
        <v>0</v>
      </c>
      <c r="C19" s="207">
        <v>0</v>
      </c>
      <c r="D19" s="207">
        <v>0</v>
      </c>
      <c r="E19" s="207"/>
      <c r="F19" s="249"/>
      <c r="G19" s="249"/>
      <c r="H19" s="249"/>
    </row>
    <row r="20" spans="1:8" x14ac:dyDescent="0.2">
      <c r="A20" s="201" t="s">
        <v>604</v>
      </c>
      <c r="B20" s="250">
        <v>0</v>
      </c>
      <c r="C20" s="250">
        <v>0</v>
      </c>
      <c r="D20" s="250">
        <v>0</v>
      </c>
      <c r="E20" s="250"/>
      <c r="F20" s="251"/>
      <c r="G20" s="251"/>
      <c r="H20" s="251"/>
    </row>
    <row r="21" spans="1:8" x14ac:dyDescent="0.2">
      <c r="A21" s="224" t="s">
        <v>610</v>
      </c>
      <c r="B21" s="252">
        <f t="shared" ref="B21:H21" si="2">SUM(B19:B20)</f>
        <v>0</v>
      </c>
      <c r="C21" s="252">
        <f t="shared" si="2"/>
        <v>0</v>
      </c>
      <c r="D21" s="252">
        <f t="shared" si="2"/>
        <v>0</v>
      </c>
      <c r="E21" s="252">
        <f t="shared" si="2"/>
        <v>0</v>
      </c>
      <c r="F21" s="252">
        <f t="shared" si="2"/>
        <v>0</v>
      </c>
      <c r="G21" s="252">
        <f t="shared" si="2"/>
        <v>0</v>
      </c>
      <c r="H21" s="252">
        <f t="shared" si="2"/>
        <v>0</v>
      </c>
    </row>
    <row r="22" spans="1:8" x14ac:dyDescent="0.2">
      <c r="A22" s="203"/>
      <c r="B22" s="203"/>
      <c r="C22" s="203"/>
      <c r="D22" s="203"/>
      <c r="E22" s="203"/>
      <c r="F22" s="253"/>
      <c r="G22" s="253"/>
      <c r="H22" s="253"/>
    </row>
    <row r="23" spans="1:8" x14ac:dyDescent="0.2">
      <c r="A23" s="200" t="s">
        <v>611</v>
      </c>
      <c r="B23" s="246">
        <v>0</v>
      </c>
      <c r="C23" s="246">
        <v>0</v>
      </c>
      <c r="D23" s="246">
        <v>0</v>
      </c>
      <c r="E23" s="246">
        <v>0</v>
      </c>
      <c r="F23" s="248">
        <v>0</v>
      </c>
      <c r="G23" s="248">
        <v>0</v>
      </c>
      <c r="H23" s="248">
        <v>0</v>
      </c>
    </row>
    <row r="24" spans="1:8" x14ac:dyDescent="0.2">
      <c r="A24" s="203"/>
      <c r="B24" s="203"/>
      <c r="C24" s="203"/>
      <c r="D24" s="203"/>
      <c r="E24" s="203"/>
      <c r="F24" s="253"/>
      <c r="G24" s="253"/>
      <c r="H24" s="253"/>
    </row>
    <row r="25" spans="1:8" x14ac:dyDescent="0.2">
      <c r="A25" s="200" t="s">
        <v>612</v>
      </c>
      <c r="B25" s="256">
        <v>292616</v>
      </c>
      <c r="C25" s="246">
        <v>0</v>
      </c>
      <c r="D25" s="256">
        <v>1797884</v>
      </c>
      <c r="E25" s="256">
        <v>797884</v>
      </c>
      <c r="F25" s="256">
        <f>1000000+1000000+1500000</f>
        <v>3500000</v>
      </c>
      <c r="G25" s="256">
        <v>2000000</v>
      </c>
      <c r="H25" s="248">
        <v>0</v>
      </c>
    </row>
    <row r="26" spans="1:8" x14ac:dyDescent="0.2">
      <c r="A26" s="200"/>
      <c r="B26" s="256"/>
      <c r="C26" s="246"/>
      <c r="D26" s="256"/>
      <c r="E26" s="256"/>
      <c r="F26" s="585"/>
      <c r="G26" s="585"/>
      <c r="H26" s="248"/>
    </row>
    <row r="27" spans="1:8" x14ac:dyDescent="0.2">
      <c r="A27" s="200" t="s">
        <v>626</v>
      </c>
      <c r="B27" s="256">
        <v>0</v>
      </c>
      <c r="C27" s="246">
        <v>0</v>
      </c>
      <c r="D27" s="256">
        <v>0</v>
      </c>
      <c r="E27" s="256">
        <v>0</v>
      </c>
      <c r="F27" s="585">
        <v>0</v>
      </c>
      <c r="G27" s="585">
        <v>0</v>
      </c>
      <c r="H27" s="248">
        <v>0</v>
      </c>
    </row>
    <row r="28" spans="1:8" x14ac:dyDescent="0.2">
      <c r="A28" s="203"/>
      <c r="B28" s="203"/>
      <c r="C28" s="203"/>
      <c r="D28" s="203"/>
      <c r="E28" s="203"/>
      <c r="F28" s="253"/>
      <c r="G28" s="253"/>
      <c r="H28" s="253"/>
    </row>
    <row r="29" spans="1:8" x14ac:dyDescent="0.2">
      <c r="A29" s="200" t="s">
        <v>613</v>
      </c>
      <c r="B29" s="246">
        <v>0</v>
      </c>
      <c r="C29" s="246">
        <v>0</v>
      </c>
      <c r="D29" s="256">
        <v>1000000</v>
      </c>
      <c r="E29" s="256">
        <v>0</v>
      </c>
      <c r="F29" s="256">
        <f>2000000+25003400</f>
        <v>27003400</v>
      </c>
      <c r="G29" s="248">
        <v>0</v>
      </c>
      <c r="H29" s="248">
        <v>0</v>
      </c>
    </row>
    <row r="30" spans="1:8" x14ac:dyDescent="0.2">
      <c r="A30" s="203"/>
      <c r="B30" s="203"/>
      <c r="C30" s="203"/>
      <c r="D30" s="203"/>
      <c r="E30" s="203"/>
      <c r="F30" s="253"/>
      <c r="G30" s="253"/>
      <c r="H30" s="253"/>
    </row>
    <row r="31" spans="1:8" ht="14.25" x14ac:dyDescent="0.2">
      <c r="A31" s="224" t="s">
        <v>618</v>
      </c>
      <c r="B31" s="209">
        <f t="shared" ref="B31:H31" si="3">SUM(B23:B30)+B11+B16+B21</f>
        <v>18132576</v>
      </c>
      <c r="C31" s="209">
        <f t="shared" si="3"/>
        <v>24269240</v>
      </c>
      <c r="D31" s="209">
        <f t="shared" si="3"/>
        <v>29900774</v>
      </c>
      <c r="E31" s="209">
        <f t="shared" si="3"/>
        <v>11865348</v>
      </c>
      <c r="F31" s="209">
        <f t="shared" si="3"/>
        <v>56986588</v>
      </c>
      <c r="G31" s="209">
        <f t="shared" si="3"/>
        <v>17831000</v>
      </c>
      <c r="H31" s="209">
        <f t="shared" si="3"/>
        <v>19384000</v>
      </c>
    </row>
    <row r="32" spans="1:8" x14ac:dyDescent="0.2">
      <c r="A32" s="223"/>
      <c r="B32" s="254"/>
      <c r="C32" s="254"/>
      <c r="D32" s="254"/>
      <c r="E32" s="254"/>
      <c r="F32" s="254"/>
      <c r="G32" s="254"/>
      <c r="H32" s="254"/>
    </row>
    <row r="33" spans="1:8" x14ac:dyDescent="0.2">
      <c r="A33" s="205" t="s">
        <v>1131</v>
      </c>
    </row>
    <row r="34" spans="1:8" x14ac:dyDescent="0.2">
      <c r="A34" s="211" t="s">
        <v>4099</v>
      </c>
    </row>
    <row r="35" spans="1:8" x14ac:dyDescent="0.2">
      <c r="A35" s="211" t="s">
        <v>4100</v>
      </c>
    </row>
    <row r="36" spans="1:8" x14ac:dyDescent="0.2">
      <c r="A36" s="211" t="s">
        <v>4101</v>
      </c>
    </row>
    <row r="37" spans="1:8" x14ac:dyDescent="0.2">
      <c r="A37" s="211" t="s">
        <v>4102</v>
      </c>
    </row>
    <row r="38" spans="1:8" x14ac:dyDescent="0.2">
      <c r="A38" s="211" t="s">
        <v>4103</v>
      </c>
    </row>
    <row r="39" spans="1:8" x14ac:dyDescent="0.2">
      <c r="A39" s="211" t="s">
        <v>4104</v>
      </c>
    </row>
    <row r="40" spans="1:8" x14ac:dyDescent="0.2">
      <c r="A40" s="211" t="s">
        <v>4359</v>
      </c>
    </row>
    <row r="42" spans="1:8" x14ac:dyDescent="0.2">
      <c r="A42" s="205" t="s">
        <v>1132</v>
      </c>
    </row>
    <row r="43" spans="1:8" x14ac:dyDescent="0.2">
      <c r="A43" s="206" t="s">
        <v>614</v>
      </c>
    </row>
    <row r="44" spans="1:8" x14ac:dyDescent="0.2">
      <c r="A44" s="206" t="s">
        <v>615</v>
      </c>
    </row>
    <row r="45" spans="1:8" x14ac:dyDescent="0.2">
      <c r="A45" s="180" t="s">
        <v>616</v>
      </c>
    </row>
    <row r="46" spans="1:8" x14ac:dyDescent="0.2">
      <c r="A46" s="180" t="s">
        <v>617</v>
      </c>
    </row>
    <row r="48" spans="1:8" x14ac:dyDescent="0.2">
      <c r="A48" s="760" t="s">
        <v>4030</v>
      </c>
      <c r="B48" s="760"/>
      <c r="C48" s="760"/>
      <c r="D48" s="760"/>
      <c r="E48" s="760"/>
      <c r="F48" s="760"/>
      <c r="G48" s="760"/>
      <c r="H48" s="760"/>
    </row>
  </sheetData>
  <mergeCells count="1">
    <mergeCell ref="A48:H48"/>
  </mergeCells>
  <phoneticPr fontId="3" type="noConversion"/>
  <pageMargins left="0.75" right="0.75" top="1" bottom="1" header="0.5" footer="0.5"/>
  <pageSetup paperSize="9" scale="7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37</vt:i4>
      </vt:variant>
      <vt:variant>
        <vt:lpstr>Charts</vt:lpstr>
      </vt:variant>
      <vt:variant>
        <vt:i4>9</vt:i4>
      </vt:variant>
      <vt:variant>
        <vt:lpstr>Named Ranges</vt:lpstr>
      </vt:variant>
      <vt:variant>
        <vt:i4>59</vt:i4>
      </vt:variant>
    </vt:vector>
  </HeadingPairs>
  <TitlesOfParts>
    <vt:vector size="105" baseType="lpstr">
      <vt:lpstr>Logo</vt:lpstr>
      <vt:lpstr>Index</vt:lpstr>
      <vt:lpstr>Budget Speech</vt:lpstr>
      <vt:lpstr>Resolution_1</vt:lpstr>
      <vt:lpstr>Exec_Sum_2-13</vt:lpstr>
      <vt:lpstr>Schedule 1 - Rev by Source_5</vt:lpstr>
      <vt:lpstr>Schedule 2 -Opex by Vote_6</vt:lpstr>
      <vt:lpstr>Schedule 3(a) - Capex by GFS_7</vt:lpstr>
      <vt:lpstr>Schedule 4 - Capex Funding_8</vt:lpstr>
      <vt:lpstr>Table 5 - Sum of R&amp; E by Vote_9</vt:lpstr>
      <vt:lpstr>S Table 1 - IDP Budget Rev_10</vt:lpstr>
      <vt:lpstr>S Table 2 - IDP Budget Opex_11</vt:lpstr>
      <vt:lpstr>S Table 3 - IDP Budget Capex_12</vt:lpstr>
      <vt:lpstr>S Table 4 - Investments_13</vt:lpstr>
      <vt:lpstr>S Table 4a - Investments_14</vt:lpstr>
      <vt:lpstr>S Table 5-Allocations Rec_15</vt:lpstr>
      <vt:lpstr>S Table 6 - New Borrowing</vt:lpstr>
      <vt:lpstr>S Table 7 - Allocations Made</vt:lpstr>
      <vt:lpstr>S Table 8 - Salaries etc</vt:lpstr>
      <vt:lpstr>S Table 8a - Personnel Costs</vt:lpstr>
      <vt:lpstr>S Table 8b - Personnel Numbers</vt:lpstr>
      <vt:lpstr>STable 9 - Cash Flow Projection</vt:lpstr>
      <vt:lpstr>STable 10 - Performance by Vote</vt:lpstr>
      <vt:lpstr>STable 11 - Capex by Category</vt:lpstr>
      <vt:lpstr> Table 1 - Rev by Source</vt:lpstr>
      <vt:lpstr>Table 2 - Opex by Vote</vt:lpstr>
      <vt:lpstr>Table 3 - Capex by Vote</vt:lpstr>
      <vt:lpstr>Table 4 - Capex Funding</vt:lpstr>
      <vt:lpstr>Table 6 - Exp by Type</vt:lpstr>
      <vt:lpstr>OPEX_ Bdgt_F</vt:lpstr>
      <vt:lpstr>CAPEX_Bdgt</vt:lpstr>
      <vt:lpstr>Levies</vt:lpstr>
      <vt:lpstr>RATES_CALC</vt:lpstr>
      <vt:lpstr>TARIFF_TOWN</vt:lpstr>
      <vt:lpstr>TARIFF_FARMS</vt:lpstr>
      <vt:lpstr>DBSA</vt:lpstr>
      <vt:lpstr>Accounts</vt:lpstr>
      <vt:lpstr>Chart - Rev by Major Source_G</vt:lpstr>
      <vt:lpstr>Chart - Rev By Minor Source_H</vt:lpstr>
      <vt:lpstr>Chart - Opex by Major Vote_I</vt:lpstr>
      <vt:lpstr>Chart - Opex by Minor Vote_J</vt:lpstr>
      <vt:lpstr>Chart - Capex by Major Vote_K</vt:lpstr>
      <vt:lpstr>Chart - Capex by Minor Vote_L</vt:lpstr>
      <vt:lpstr>Chart - Capex Funding_M</vt:lpstr>
      <vt:lpstr>Chart - Opex by Major Nature_N</vt:lpstr>
      <vt:lpstr>Chart - Opex by Minor Nature_O</vt:lpstr>
      <vt:lpstr>_1010_Council</vt:lpstr>
      <vt:lpstr>_1020_Municipal_Manager</vt:lpstr>
      <vt:lpstr>_1021_Manager_Admin</vt:lpstr>
      <vt:lpstr>_1022_CFO</vt:lpstr>
      <vt:lpstr>_1023_Manager_Comm</vt:lpstr>
      <vt:lpstr>_1024_Manager_Technical</vt:lpstr>
      <vt:lpstr>_1110_Finance</vt:lpstr>
      <vt:lpstr>_1111_Internal_Audit</vt:lpstr>
      <vt:lpstr>_1112_Property_Rates</vt:lpstr>
      <vt:lpstr>_1120_IT</vt:lpstr>
      <vt:lpstr>_1131_Council_Properties</vt:lpstr>
      <vt:lpstr>_1132_Camps</vt:lpstr>
      <vt:lpstr>_1140_HR</vt:lpstr>
      <vt:lpstr>_1150_Administration</vt:lpstr>
      <vt:lpstr>_1210_IDP</vt:lpstr>
      <vt:lpstr>_1310_Environmental_Health</vt:lpstr>
      <vt:lpstr>_1410_Community_Services</vt:lpstr>
      <vt:lpstr>_1420_Libraries</vt:lpstr>
      <vt:lpstr>_1430_Halls</vt:lpstr>
      <vt:lpstr>_1440_Cemeteries</vt:lpstr>
      <vt:lpstr>_1510_Housing</vt:lpstr>
      <vt:lpstr>_1610_Traffic</vt:lpstr>
      <vt:lpstr>_1620_Fire_Fighting</vt:lpstr>
      <vt:lpstr>_1630_Pound</vt:lpstr>
      <vt:lpstr>_1710_Parks</vt:lpstr>
      <vt:lpstr>_1720_Sport_Grounds</vt:lpstr>
      <vt:lpstr>_1810_Refuse</vt:lpstr>
      <vt:lpstr>_1910_Sanitation</vt:lpstr>
      <vt:lpstr>_2010_Roads_Streets</vt:lpstr>
      <vt:lpstr>_2110_Water</vt:lpstr>
      <vt:lpstr>_2210_Electricity</vt:lpstr>
      <vt:lpstr>_2310_Cattle_Farming</vt:lpstr>
      <vt:lpstr>' Table 1 - Rev by Source'!Print_Area</vt:lpstr>
      <vt:lpstr>Accounts!Print_Area</vt:lpstr>
      <vt:lpstr>CAPEX_Bdgt!Print_Area</vt:lpstr>
      <vt:lpstr>DBSA!Print_Area</vt:lpstr>
      <vt:lpstr>'Exec_Sum_2-13'!Print_Area</vt:lpstr>
      <vt:lpstr>'OPEX_ Bdgt_F'!Print_Area</vt:lpstr>
      <vt:lpstr>Resolution_1!Print_Area</vt:lpstr>
      <vt:lpstr>'S Table 1 - IDP Budget Rev_10'!Print_Area</vt:lpstr>
      <vt:lpstr>'S Table 2 - IDP Budget Opex_11'!Print_Area</vt:lpstr>
      <vt:lpstr>'S Table 3 - IDP Budget Capex_12'!Print_Area</vt:lpstr>
      <vt:lpstr>'S Table 4 - Investments_13'!Print_Area</vt:lpstr>
      <vt:lpstr>'S Table 4a - Investments_14'!Print_Area</vt:lpstr>
      <vt:lpstr>'S Table 5-Allocations Rec_15'!Print_Area</vt:lpstr>
      <vt:lpstr>'S Table 8a - Personnel Costs'!Print_Area</vt:lpstr>
      <vt:lpstr>'Schedule 1 - Rev by Source_5'!Print_Area</vt:lpstr>
      <vt:lpstr>'Schedule 2 -Opex by Vote_6'!Print_Area</vt:lpstr>
      <vt:lpstr>'Schedule 3(a) - Capex by GFS_7'!Print_Area</vt:lpstr>
      <vt:lpstr>'Schedule 4 - Capex Funding_8'!Print_Area</vt:lpstr>
      <vt:lpstr>'STable 11 - Capex by Category'!Print_Area</vt:lpstr>
      <vt:lpstr>'STable 9 - Cash Flow Projection'!Print_Area</vt:lpstr>
      <vt:lpstr>'Table 2 - Opex by Vote'!Print_Area</vt:lpstr>
      <vt:lpstr>'Table 3 - Capex by Vote'!Print_Area</vt:lpstr>
      <vt:lpstr>'Table 4 - Capex Funding'!Print_Area</vt:lpstr>
      <vt:lpstr>'Table 5 - Sum of R&amp; E by Vote_9'!Print_Area</vt:lpstr>
      <vt:lpstr>'Table 6 - Exp by Type'!Print_Area</vt:lpstr>
      <vt:lpstr>'OPEX_ Bdgt_F'!Print_Titles</vt:lpstr>
      <vt:lpstr>Summary</vt:lpstr>
    </vt:vector>
  </TitlesOfParts>
  <Company>National Treasury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Jeffery Smith</dc:creator>
  <cp:lastModifiedBy>Fikile Mhlafu</cp:lastModifiedBy>
  <cp:lastPrinted>2010-06-14T15:49:31Z</cp:lastPrinted>
  <dcterms:created xsi:type="dcterms:W3CDTF">2009-04-09T07:29:22Z</dcterms:created>
  <dcterms:modified xsi:type="dcterms:W3CDTF">2015-03-10T11:41:59Z</dcterms:modified>
</cp:coreProperties>
</file>